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24226"/>
  <mc:AlternateContent xmlns:mc="http://schemas.openxmlformats.org/markup-compatibility/2006">
    <mc:Choice Requires="x15">
      <x15ac:absPath xmlns:x15ac="http://schemas.microsoft.com/office/spreadsheetml/2010/11/ac" url="C:\Users\KEVIN\Desktop\INFORME MENSUAL ABRIL 2022 - CORREGIDO\1.- EJECUCION FISICA Y FINANCIERA\1.1 EJECUCIÓN FÍSICA\"/>
    </mc:Choice>
  </mc:AlternateContent>
  <xr:revisionPtr revIDLastSave="0" documentId="13_ncr:1_{E6FB9054-8EF5-4B6A-AC63-7EEF132B9252}" xr6:coauthVersionLast="47" xr6:coauthVersionMax="47" xr10:uidLastSave="{00000000-0000-0000-0000-000000000000}"/>
  <bookViews>
    <workbookView xWindow="-120" yWindow="-120" windowWidth="20730" windowHeight="11160" tabRatio="751" firstSheet="2" activeTab="7" xr2:uid="{00000000-000D-0000-FFFF-FFFF00000000}"/>
  </bookViews>
  <sheets>
    <sheet name="Hoja2" sheetId="70" state="hidden" r:id="rId1"/>
    <sheet name="CRONGRAMA JULIO" sheetId="61" state="hidden" r:id="rId2"/>
    <sheet name="FICHA 1" sheetId="129" r:id="rId3"/>
    <sheet name="Hoja5" sheetId="77" state="hidden" r:id="rId4"/>
    <sheet name="Hoja6" sheetId="78" state="hidden" r:id="rId5"/>
    <sheet name="Hoja7" sheetId="79" state="hidden" r:id="rId6"/>
    <sheet name="METRADOS PN" sheetId="63" state="hidden" r:id="rId7"/>
    <sheet name="FICHA 2 MAR" sheetId="118" r:id="rId8"/>
    <sheet name="PARTIDAS EJEC. dic" sheetId="131" r:id="rId9"/>
    <sheet name="P EJE MM" sheetId="133" r:id="rId10"/>
    <sheet name="P EJE PN" sheetId="134" r:id="rId11"/>
    <sheet name="DATOS GENERALES" sheetId="97"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AMP 3 DEDUCTIVO" sheetId="136" state="hidden" r:id="rId30"/>
    <sheet name="VAL. PRINC" sheetId="72" r:id="rId31"/>
    <sheet name="VAL AMP4 MM" sheetId="123" r:id="rId32"/>
    <sheet name="VAL AMP 4 PN" sheetId="125"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s>
  <definedNames>
    <definedName name="\C" localSheetId="13">#REF!</definedName>
    <definedName name="\C" localSheetId="8">#REF!</definedName>
    <definedName name="\C">#REF!</definedName>
    <definedName name="\E" localSheetId="13">#REF!</definedName>
    <definedName name="\E" localSheetId="8">#REF!</definedName>
    <definedName name="\E">#REF!</definedName>
    <definedName name="\N" localSheetId="13">#REF!</definedName>
    <definedName name="\N" localSheetId="8">#REF!</definedName>
    <definedName name="\N">#REF!</definedName>
    <definedName name="\S" localSheetId="13">#REF!</definedName>
    <definedName name="\S" localSheetId="8">#REF!</definedName>
    <definedName name="\S">#REF!</definedName>
    <definedName name="\W" localSheetId="13">#REF!</definedName>
    <definedName name="\W" localSheetId="8">#REF!</definedName>
    <definedName name="\W">#REF!</definedName>
    <definedName name="___PAG1" localSheetId="13">#REF!</definedName>
    <definedName name="___PAG1" localSheetId="8">#REF!</definedName>
    <definedName name="___PAG1">#REF!</definedName>
    <definedName name="__AGO1" localSheetId="13">#REF!</definedName>
    <definedName name="__AGO1" localSheetId="8">#REF!</definedName>
    <definedName name="__AGO1">#REF!</definedName>
    <definedName name="__PAG1" localSheetId="13">#REF!</definedName>
    <definedName name="__PAG1" localSheetId="8">#REF!</definedName>
    <definedName name="__PAG1">#REF!</definedName>
    <definedName name="_1_0EL" localSheetId="13">'[1]#¡REF'!#REF!</definedName>
    <definedName name="_1_0EL" localSheetId="8">'[1]#¡REF'!#REF!</definedName>
    <definedName name="_1_0EL">'[1]#¡REF'!#REF!</definedName>
    <definedName name="_10_0ELECT" localSheetId="13">'[1]#¡REF'!#REF!</definedName>
    <definedName name="_10_0ELECT" localSheetId="8">'[1]#¡REF'!#REF!</definedName>
    <definedName name="_10_0ELECT">'[1]#¡REF'!#REF!</definedName>
    <definedName name="_10_0HIDRAND" localSheetId="13">'[1]#¡REF'!#REF!</definedName>
    <definedName name="_10_0HIDRAND" localSheetId="8">'[1]#¡REF'!#REF!</definedName>
    <definedName name="_10_0HIDRAND">'[1]#¡REF'!#REF!</definedName>
    <definedName name="_107_0ELSURE" localSheetId="13">'[2]#¡REF'!#REF!</definedName>
    <definedName name="_107_0ELSURE" localSheetId="8">'[2]#¡REF'!#REF!</definedName>
    <definedName name="_107_0ELSURE" localSheetId="12">'[2]#¡REF'!#REF!</definedName>
    <definedName name="_107_0ELSURE" localSheetId="28">'[2]#¡REF'!#REF!</definedName>
    <definedName name="_107_0ELSURE" localSheetId="29">'[2]#¡REF'!#REF!</definedName>
    <definedName name="_107_0ELSURE" localSheetId="32">'[2]#¡REF'!#REF!</definedName>
    <definedName name="_107_0ELSURE" localSheetId="31">'[2]#¡REF'!#REF!</definedName>
    <definedName name="_107_0ELSURE" localSheetId="27">'[2]#¡REF'!#REF!</definedName>
    <definedName name="_107_0ELSURE">'[2]#¡REF'!#REF!</definedName>
    <definedName name="_108_0ELSURE" localSheetId="13">'[2]#¡REF'!#REF!</definedName>
    <definedName name="_108_0ELSURE" localSheetId="8">'[2]#¡REF'!#REF!</definedName>
    <definedName name="_108_0ELSURE" localSheetId="12">'[2]#¡REF'!#REF!</definedName>
    <definedName name="_108_0ELSURE" localSheetId="28">'[2]#¡REF'!#REF!</definedName>
    <definedName name="_108_0ELSURE" localSheetId="29">'[2]#¡REF'!#REF!</definedName>
    <definedName name="_108_0ELSURE" localSheetId="32">'[2]#¡REF'!#REF!</definedName>
    <definedName name="_108_0ELSURE" localSheetId="31">'[2]#¡REF'!#REF!</definedName>
    <definedName name="_108_0ELSURE" localSheetId="27">'[2]#¡REF'!#REF!</definedName>
    <definedName name="_108_0ELSURE">'[2]#¡REF'!#REF!</definedName>
    <definedName name="_11_0EL" localSheetId="13">'[2]#¡REF'!#REF!</definedName>
    <definedName name="_11_0EL" localSheetId="8">'[2]#¡REF'!#REF!</definedName>
    <definedName name="_11_0EL" localSheetId="12">'[2]#¡REF'!#REF!</definedName>
    <definedName name="_11_0EL" localSheetId="28">'[2]#¡REF'!#REF!</definedName>
    <definedName name="_11_0EL" localSheetId="29">'[2]#¡REF'!#REF!</definedName>
    <definedName name="_11_0EL" localSheetId="32">'[2]#¡REF'!#REF!</definedName>
    <definedName name="_11_0EL" localSheetId="31">'[2]#¡REF'!#REF!</definedName>
    <definedName name="_11_0EL" localSheetId="27">'[2]#¡REF'!#REF!</definedName>
    <definedName name="_11_0EL">'[2]#¡REF'!#REF!</definedName>
    <definedName name="_11_0S" localSheetId="13">'[1]#¡REF'!#REF!</definedName>
    <definedName name="_11_0S" localSheetId="8">'[1]#¡REF'!#REF!</definedName>
    <definedName name="_11_0S">'[1]#¡REF'!#REF!</definedName>
    <definedName name="_119_0HIDRAND" localSheetId="13">'[2]#¡REF'!#REF!</definedName>
    <definedName name="_119_0HIDRAND" localSheetId="8">'[2]#¡REF'!#REF!</definedName>
    <definedName name="_119_0HIDRAND" localSheetId="12">'[2]#¡REF'!#REF!</definedName>
    <definedName name="_119_0HIDRAND" localSheetId="28">'[2]#¡REF'!#REF!</definedName>
    <definedName name="_119_0HIDRAND" localSheetId="29">'[2]#¡REF'!#REF!</definedName>
    <definedName name="_119_0HIDRAND" localSheetId="32">'[2]#¡REF'!#REF!</definedName>
    <definedName name="_119_0HIDRAND" localSheetId="31">'[2]#¡REF'!#REF!</definedName>
    <definedName name="_119_0HIDRAND" localSheetId="27">'[2]#¡REF'!#REF!</definedName>
    <definedName name="_119_0HIDRAND">'[2]#¡REF'!#REF!</definedName>
    <definedName name="_12_0EL" localSheetId="13">'[2]#¡REF'!#REF!</definedName>
    <definedName name="_12_0EL" localSheetId="8">'[2]#¡REF'!#REF!</definedName>
    <definedName name="_12_0EL" localSheetId="12">'[2]#¡REF'!#REF!</definedName>
    <definedName name="_12_0EL" localSheetId="28">'[2]#¡REF'!#REF!</definedName>
    <definedName name="_12_0EL" localSheetId="29">'[2]#¡REF'!#REF!</definedName>
    <definedName name="_12_0EL" localSheetId="32">'[2]#¡REF'!#REF!</definedName>
    <definedName name="_12_0EL" localSheetId="31">'[2]#¡REF'!#REF!</definedName>
    <definedName name="_12_0EL" localSheetId="27">'[2]#¡REF'!#REF!</definedName>
    <definedName name="_12_0EL">'[2]#¡REF'!#REF!</definedName>
    <definedName name="_12_0ELECTROL" localSheetId="13">'[1]#¡REF'!#REF!</definedName>
    <definedName name="_12_0ELECTROL" localSheetId="8">'[1]#¡REF'!#REF!</definedName>
    <definedName name="_12_0ELECTROL">'[1]#¡REF'!#REF!</definedName>
    <definedName name="_120_0HIDRAND" localSheetId="13">'[2]#¡REF'!#REF!</definedName>
    <definedName name="_120_0HIDRAND" localSheetId="8">'[2]#¡REF'!#REF!</definedName>
    <definedName name="_120_0HIDRAND" localSheetId="12">'[2]#¡REF'!#REF!</definedName>
    <definedName name="_120_0HIDRAND" localSheetId="28">'[2]#¡REF'!#REF!</definedName>
    <definedName name="_120_0HIDRAND" localSheetId="29">'[2]#¡REF'!#REF!</definedName>
    <definedName name="_120_0HIDRAND" localSheetId="32">'[2]#¡REF'!#REF!</definedName>
    <definedName name="_120_0HIDRAND" localSheetId="31">'[2]#¡REF'!#REF!</definedName>
    <definedName name="_120_0HIDRAND" localSheetId="27">'[2]#¡REF'!#REF!</definedName>
    <definedName name="_120_0HIDRAND">'[2]#¡REF'!#REF!</definedName>
    <definedName name="_131_0S" localSheetId="13">'[2]#¡REF'!#REF!</definedName>
    <definedName name="_131_0S" localSheetId="8">'[2]#¡REF'!#REF!</definedName>
    <definedName name="_131_0S" localSheetId="12">'[2]#¡REF'!#REF!</definedName>
    <definedName name="_131_0S" localSheetId="28">'[2]#¡REF'!#REF!</definedName>
    <definedName name="_131_0S" localSheetId="29">'[2]#¡REF'!#REF!</definedName>
    <definedName name="_131_0S" localSheetId="32">'[2]#¡REF'!#REF!</definedName>
    <definedName name="_131_0S" localSheetId="31">'[2]#¡REF'!#REF!</definedName>
    <definedName name="_131_0S" localSheetId="27">'[2]#¡REF'!#REF!</definedName>
    <definedName name="_131_0S">'[2]#¡REF'!#REF!</definedName>
    <definedName name="_132_0S" localSheetId="13">'[2]#¡REF'!#REF!</definedName>
    <definedName name="_132_0S" localSheetId="8">'[2]#¡REF'!#REF!</definedName>
    <definedName name="_132_0S" localSheetId="12">'[2]#¡REF'!#REF!</definedName>
    <definedName name="_132_0S" localSheetId="28">'[2]#¡REF'!#REF!</definedName>
    <definedName name="_132_0S" localSheetId="29">'[2]#¡REF'!#REF!</definedName>
    <definedName name="_132_0S" localSheetId="32">'[2]#¡REF'!#REF!</definedName>
    <definedName name="_132_0S" localSheetId="31">'[2]#¡REF'!#REF!</definedName>
    <definedName name="_132_0S" localSheetId="27">'[2]#¡REF'!#REF!</definedName>
    <definedName name="_132_0S">'[2]#¡REF'!#REF!</definedName>
    <definedName name="_14_0ELEORIE" localSheetId="13">'[1]#¡REF'!#REF!</definedName>
    <definedName name="_14_0ELEORIE" localSheetId="8">'[1]#¡REF'!#REF!</definedName>
    <definedName name="_14_0ELEORIE">'[1]#¡REF'!#REF!</definedName>
    <definedName name="_16_0ELNO" localSheetId="13">'[1]#¡REF'!#REF!</definedName>
    <definedName name="_16_0ELNO" localSheetId="8">'[1]#¡REF'!#REF!</definedName>
    <definedName name="_16_0ELNO">'[1]#¡REF'!#REF!</definedName>
    <definedName name="_18_0ELSURE" localSheetId="13">'[1]#¡REF'!#REF!</definedName>
    <definedName name="_18_0ELSURE" localSheetId="8">'[1]#¡REF'!#REF!</definedName>
    <definedName name="_18_0ELSURE">'[1]#¡REF'!#REF!</definedName>
    <definedName name="_2.6.2.3.2.6" localSheetId="13">#REF!</definedName>
    <definedName name="_2.6.2.3.2.6" localSheetId="8">#REF!</definedName>
    <definedName name="_2.6.2.3.2.6">#REF!</definedName>
    <definedName name="_2_0EL" localSheetId="13">'[1]#¡REF'!#REF!</definedName>
    <definedName name="_2_0EL" localSheetId="8">'[1]#¡REF'!#REF!</definedName>
    <definedName name="_2_0EL">'[1]#¡REF'!#REF!</definedName>
    <definedName name="_2_0ELCEN" localSheetId="13">'[1]#¡REF'!#REF!</definedName>
    <definedName name="_2_0ELCEN" localSheetId="8">'[1]#¡REF'!#REF!</definedName>
    <definedName name="_2_0ELCEN">'[1]#¡REF'!#REF!</definedName>
    <definedName name="_20_0HIDRAND" localSheetId="13">'[1]#¡REF'!#REF!</definedName>
    <definedName name="_20_0HIDRAND" localSheetId="8">'[1]#¡REF'!#REF!</definedName>
    <definedName name="_20_0HIDRAND">'[1]#¡REF'!#REF!</definedName>
    <definedName name="_22_0S" localSheetId="13">'[1]#¡REF'!#REF!</definedName>
    <definedName name="_22_0S" localSheetId="8">'[1]#¡REF'!#REF!</definedName>
    <definedName name="_22_0S">'[1]#¡REF'!#REF!</definedName>
    <definedName name="_23_0ELCEN" localSheetId="13">'[2]#¡REF'!#REF!</definedName>
    <definedName name="_23_0ELCEN" localSheetId="8">'[2]#¡REF'!#REF!</definedName>
    <definedName name="_23_0ELCEN" localSheetId="12">'[2]#¡REF'!#REF!</definedName>
    <definedName name="_23_0ELCEN" localSheetId="28">'[2]#¡REF'!#REF!</definedName>
    <definedName name="_23_0ELCEN" localSheetId="29">'[2]#¡REF'!#REF!</definedName>
    <definedName name="_23_0ELCEN" localSheetId="32">'[2]#¡REF'!#REF!</definedName>
    <definedName name="_23_0ELCEN" localSheetId="31">'[2]#¡REF'!#REF!</definedName>
    <definedName name="_23_0ELCEN" localSheetId="27">'[2]#¡REF'!#REF!</definedName>
    <definedName name="_23_0ELCEN">'[2]#¡REF'!#REF!</definedName>
    <definedName name="_24_0ELCEN" localSheetId="13">'[2]#¡REF'!#REF!</definedName>
    <definedName name="_24_0ELCEN" localSheetId="8">'[2]#¡REF'!#REF!</definedName>
    <definedName name="_24_0ELCEN" localSheetId="12">'[2]#¡REF'!#REF!</definedName>
    <definedName name="_24_0ELCEN" localSheetId="28">'[2]#¡REF'!#REF!</definedName>
    <definedName name="_24_0ELCEN" localSheetId="29">'[2]#¡REF'!#REF!</definedName>
    <definedName name="_24_0ELCEN" localSheetId="32">'[2]#¡REF'!#REF!</definedName>
    <definedName name="_24_0ELCEN" localSheetId="31">'[2]#¡REF'!#REF!</definedName>
    <definedName name="_24_0ELCEN" localSheetId="27">'[2]#¡REF'!#REF!</definedName>
    <definedName name="_24_0ELCEN">'[2]#¡REF'!#REF!</definedName>
    <definedName name="_3_0ELECSURE" localSheetId="13">'[1]#¡REF'!#REF!</definedName>
    <definedName name="_3_0ELECSURE" localSheetId="8">'[1]#¡REF'!#REF!</definedName>
    <definedName name="_3_0ELECSURE">'[1]#¡REF'!#REF!</definedName>
    <definedName name="_35_0ELECSURE" localSheetId="13">'[2]#¡REF'!#REF!</definedName>
    <definedName name="_35_0ELECSURE" localSheetId="8">'[2]#¡REF'!#REF!</definedName>
    <definedName name="_35_0ELECSURE" localSheetId="12">'[2]#¡REF'!#REF!</definedName>
    <definedName name="_35_0ELECSURE" localSheetId="28">'[2]#¡REF'!#REF!</definedName>
    <definedName name="_35_0ELECSURE" localSheetId="29">'[2]#¡REF'!#REF!</definedName>
    <definedName name="_35_0ELECSURE" localSheetId="32">'[2]#¡REF'!#REF!</definedName>
    <definedName name="_35_0ELECSURE" localSheetId="31">'[2]#¡REF'!#REF!</definedName>
    <definedName name="_35_0ELECSURE" localSheetId="27">'[2]#¡REF'!#REF!</definedName>
    <definedName name="_35_0ELECSURE">'[2]#¡REF'!#REF!</definedName>
    <definedName name="_36_0ELECSURE" localSheetId="13">'[2]#¡REF'!#REF!</definedName>
    <definedName name="_36_0ELECSURE" localSheetId="8">'[2]#¡REF'!#REF!</definedName>
    <definedName name="_36_0ELECSURE" localSheetId="12">'[2]#¡REF'!#REF!</definedName>
    <definedName name="_36_0ELECSURE" localSheetId="28">'[2]#¡REF'!#REF!</definedName>
    <definedName name="_36_0ELECSURE" localSheetId="29">'[2]#¡REF'!#REF!</definedName>
    <definedName name="_36_0ELECSURE" localSheetId="32">'[2]#¡REF'!#REF!</definedName>
    <definedName name="_36_0ELECSURE" localSheetId="31">'[2]#¡REF'!#REF!</definedName>
    <definedName name="_36_0ELECSURE" localSheetId="27">'[2]#¡REF'!#REF!</definedName>
    <definedName name="_36_0ELECSURE">'[2]#¡REF'!#REF!</definedName>
    <definedName name="_4" localSheetId="13">'[3]#¡REF'!#REF!</definedName>
    <definedName name="_4" localSheetId="8">'[3]#¡REF'!#REF!</definedName>
    <definedName name="_4" localSheetId="12">'[3]#¡REF'!#REF!</definedName>
    <definedName name="_4" localSheetId="31">'[3]#¡REF'!#REF!</definedName>
    <definedName name="_4">'[3]#¡REF'!#REF!</definedName>
    <definedName name="_4_0ELCEN" localSheetId="13">'[1]#¡REF'!#REF!</definedName>
    <definedName name="_4_0ELCEN" localSheetId="8">'[1]#¡REF'!#REF!</definedName>
    <definedName name="_4_0ELCEN">'[1]#¡REF'!#REF!</definedName>
    <definedName name="_4_0ELECSURME" localSheetId="13">'[1]#¡REF'!#REF!</definedName>
    <definedName name="_4_0ELECSURME" localSheetId="8">'[1]#¡REF'!#REF!</definedName>
    <definedName name="_4_0ELECSURME">'[1]#¡REF'!#REF!</definedName>
    <definedName name="_47_0ELECSURME" localSheetId="13">'[2]#¡REF'!#REF!</definedName>
    <definedName name="_47_0ELECSURME" localSheetId="8">'[2]#¡REF'!#REF!</definedName>
    <definedName name="_47_0ELECSURME" localSheetId="12">'[2]#¡REF'!#REF!</definedName>
    <definedName name="_47_0ELECSURME" localSheetId="28">'[2]#¡REF'!#REF!</definedName>
    <definedName name="_47_0ELECSURME" localSheetId="29">'[2]#¡REF'!#REF!</definedName>
    <definedName name="_47_0ELECSURME" localSheetId="32">'[2]#¡REF'!#REF!</definedName>
    <definedName name="_47_0ELECSURME" localSheetId="31">'[2]#¡REF'!#REF!</definedName>
    <definedName name="_47_0ELECSURME" localSheetId="27">'[2]#¡REF'!#REF!</definedName>
    <definedName name="_47_0ELECSURME">'[2]#¡REF'!#REF!</definedName>
    <definedName name="_48_0ELECSURME" localSheetId="13">'[2]#¡REF'!#REF!</definedName>
    <definedName name="_48_0ELECSURME" localSheetId="8">'[2]#¡REF'!#REF!</definedName>
    <definedName name="_48_0ELECSURME" localSheetId="12">'[2]#¡REF'!#REF!</definedName>
    <definedName name="_48_0ELECSURME" localSheetId="28">'[2]#¡REF'!#REF!</definedName>
    <definedName name="_48_0ELECSURME" localSheetId="29">'[2]#¡REF'!#REF!</definedName>
    <definedName name="_48_0ELECSURME" localSheetId="32">'[2]#¡REF'!#REF!</definedName>
    <definedName name="_48_0ELECSURME" localSheetId="31">'[2]#¡REF'!#REF!</definedName>
    <definedName name="_48_0ELECSURME" localSheetId="27">'[2]#¡REF'!#REF!</definedName>
    <definedName name="_48_0ELECSURME">'[2]#¡REF'!#REF!</definedName>
    <definedName name="_5_0ELECT" localSheetId="13">'[1]#¡REF'!#REF!</definedName>
    <definedName name="_5_0ELECT" localSheetId="8">'[1]#¡REF'!#REF!</definedName>
    <definedName name="_5_0ELECT">'[1]#¡REF'!#REF!</definedName>
    <definedName name="_59_0ELECT" localSheetId="13">'[2]#¡REF'!#REF!</definedName>
    <definedName name="_59_0ELECT" localSheetId="8">'[2]#¡REF'!#REF!</definedName>
    <definedName name="_59_0ELECT" localSheetId="12">'[2]#¡REF'!#REF!</definedName>
    <definedName name="_59_0ELECT" localSheetId="28">'[2]#¡REF'!#REF!</definedName>
    <definedName name="_59_0ELECT" localSheetId="29">'[2]#¡REF'!#REF!</definedName>
    <definedName name="_59_0ELECT" localSheetId="32">'[2]#¡REF'!#REF!</definedName>
    <definedName name="_59_0ELECT" localSheetId="31">'[2]#¡REF'!#REF!</definedName>
    <definedName name="_59_0ELECT" localSheetId="27">'[2]#¡REF'!#REF!</definedName>
    <definedName name="_59_0ELECT">'[2]#¡REF'!#REF!</definedName>
    <definedName name="_6_0ELECSURE" localSheetId="13">'[1]#¡REF'!#REF!</definedName>
    <definedName name="_6_0ELECSURE" localSheetId="8">'[1]#¡REF'!#REF!</definedName>
    <definedName name="_6_0ELECSURE">'[1]#¡REF'!#REF!</definedName>
    <definedName name="_6_0ELECTROL" localSheetId="13">'[1]#¡REF'!#REF!</definedName>
    <definedName name="_6_0ELECTROL" localSheetId="8">'[1]#¡REF'!#REF!</definedName>
    <definedName name="_6_0ELECTROL">'[1]#¡REF'!#REF!</definedName>
    <definedName name="_60_0ELECT" localSheetId="13">'[2]#¡REF'!#REF!</definedName>
    <definedName name="_60_0ELECT" localSheetId="8">'[2]#¡REF'!#REF!</definedName>
    <definedName name="_60_0ELECT" localSheetId="12">'[2]#¡REF'!#REF!</definedName>
    <definedName name="_60_0ELECT" localSheetId="28">'[2]#¡REF'!#REF!</definedName>
    <definedName name="_60_0ELECT" localSheetId="29">'[2]#¡REF'!#REF!</definedName>
    <definedName name="_60_0ELECT" localSheetId="32">'[2]#¡REF'!#REF!</definedName>
    <definedName name="_60_0ELECT" localSheetId="31">'[2]#¡REF'!#REF!</definedName>
    <definedName name="_60_0ELECT" localSheetId="27">'[2]#¡REF'!#REF!</definedName>
    <definedName name="_60_0ELECT">'[2]#¡REF'!#REF!</definedName>
    <definedName name="_7_0ELEORIE" localSheetId="13">'[1]#¡REF'!#REF!</definedName>
    <definedName name="_7_0ELEORIE" localSheetId="8">'[1]#¡REF'!#REF!</definedName>
    <definedName name="_7_0ELEORIE">'[1]#¡REF'!#REF!</definedName>
    <definedName name="_71_0ELECTROL" localSheetId="13">'[2]#¡REF'!#REF!</definedName>
    <definedName name="_71_0ELECTROL" localSheetId="8">'[2]#¡REF'!#REF!</definedName>
    <definedName name="_71_0ELECTROL" localSheetId="12">'[2]#¡REF'!#REF!</definedName>
    <definedName name="_71_0ELECTROL" localSheetId="28">'[2]#¡REF'!#REF!</definedName>
    <definedName name="_71_0ELECTROL" localSheetId="29">'[2]#¡REF'!#REF!</definedName>
    <definedName name="_71_0ELECTROL" localSheetId="32">'[2]#¡REF'!#REF!</definedName>
    <definedName name="_71_0ELECTROL" localSheetId="31">'[2]#¡REF'!#REF!</definedName>
    <definedName name="_71_0ELECTROL" localSheetId="27">'[2]#¡REF'!#REF!</definedName>
    <definedName name="_71_0ELECTROL">'[2]#¡REF'!#REF!</definedName>
    <definedName name="_72_0ELECTROL" localSheetId="13">'[2]#¡REF'!#REF!</definedName>
    <definedName name="_72_0ELECTROL" localSheetId="8">'[2]#¡REF'!#REF!</definedName>
    <definedName name="_72_0ELECTROL" localSheetId="12">'[2]#¡REF'!#REF!</definedName>
    <definedName name="_72_0ELECTROL" localSheetId="28">'[2]#¡REF'!#REF!</definedName>
    <definedName name="_72_0ELECTROL" localSheetId="29">'[2]#¡REF'!#REF!</definedName>
    <definedName name="_72_0ELECTROL" localSheetId="32">'[2]#¡REF'!#REF!</definedName>
    <definedName name="_72_0ELECTROL" localSheetId="31">'[2]#¡REF'!#REF!</definedName>
    <definedName name="_72_0ELECTROL" localSheetId="27">'[2]#¡REF'!#REF!</definedName>
    <definedName name="_72_0ELECTROL">'[2]#¡REF'!#REF!</definedName>
    <definedName name="_8_0ELECSURME" localSheetId="13">'[1]#¡REF'!#REF!</definedName>
    <definedName name="_8_0ELECSURME" localSheetId="8">'[1]#¡REF'!#REF!</definedName>
    <definedName name="_8_0ELECSURME">'[1]#¡REF'!#REF!</definedName>
    <definedName name="_8_0ELNO" localSheetId="13">'[1]#¡REF'!#REF!</definedName>
    <definedName name="_8_0ELNO" localSheetId="8">'[1]#¡REF'!#REF!</definedName>
    <definedName name="_8_0ELNO">'[1]#¡REF'!#REF!</definedName>
    <definedName name="_83_0ELEORIE" localSheetId="13">'[2]#¡REF'!#REF!</definedName>
    <definedName name="_83_0ELEORIE" localSheetId="8">'[2]#¡REF'!#REF!</definedName>
    <definedName name="_83_0ELEORIE" localSheetId="12">'[2]#¡REF'!#REF!</definedName>
    <definedName name="_83_0ELEORIE" localSheetId="28">'[2]#¡REF'!#REF!</definedName>
    <definedName name="_83_0ELEORIE" localSheetId="29">'[2]#¡REF'!#REF!</definedName>
    <definedName name="_83_0ELEORIE" localSheetId="32">'[2]#¡REF'!#REF!</definedName>
    <definedName name="_83_0ELEORIE" localSheetId="31">'[2]#¡REF'!#REF!</definedName>
    <definedName name="_83_0ELEORIE" localSheetId="27">'[2]#¡REF'!#REF!</definedName>
    <definedName name="_83_0ELEORIE">'[2]#¡REF'!#REF!</definedName>
    <definedName name="_84_0ELEORIE" localSheetId="13">'[2]#¡REF'!#REF!</definedName>
    <definedName name="_84_0ELEORIE" localSheetId="8">'[2]#¡REF'!#REF!</definedName>
    <definedName name="_84_0ELEORIE" localSheetId="12">'[2]#¡REF'!#REF!</definedName>
    <definedName name="_84_0ELEORIE" localSheetId="28">'[2]#¡REF'!#REF!</definedName>
    <definedName name="_84_0ELEORIE" localSheetId="29">'[2]#¡REF'!#REF!</definedName>
    <definedName name="_84_0ELEORIE" localSheetId="32">'[2]#¡REF'!#REF!</definedName>
    <definedName name="_84_0ELEORIE" localSheetId="31">'[2]#¡REF'!#REF!</definedName>
    <definedName name="_84_0ELEORIE" localSheetId="27">'[2]#¡REF'!#REF!</definedName>
    <definedName name="_84_0ELEORIE">'[2]#¡REF'!#REF!</definedName>
    <definedName name="_9_0ELSURE" localSheetId="13">'[1]#¡REF'!#REF!</definedName>
    <definedName name="_9_0ELSURE" localSheetId="8">'[1]#¡REF'!#REF!</definedName>
    <definedName name="_9_0ELSURE">'[1]#¡REF'!#REF!</definedName>
    <definedName name="_95_0ELNO" localSheetId="13">'[2]#¡REF'!#REF!</definedName>
    <definedName name="_95_0ELNO" localSheetId="8">'[2]#¡REF'!#REF!</definedName>
    <definedName name="_95_0ELNO" localSheetId="12">'[2]#¡REF'!#REF!</definedName>
    <definedName name="_95_0ELNO" localSheetId="28">'[2]#¡REF'!#REF!</definedName>
    <definedName name="_95_0ELNO" localSheetId="29">'[2]#¡REF'!#REF!</definedName>
    <definedName name="_95_0ELNO" localSheetId="32">'[2]#¡REF'!#REF!</definedName>
    <definedName name="_95_0ELNO" localSheetId="31">'[2]#¡REF'!#REF!</definedName>
    <definedName name="_95_0ELNO" localSheetId="27">'[2]#¡REF'!#REF!</definedName>
    <definedName name="_95_0ELNO">'[2]#¡REF'!#REF!</definedName>
    <definedName name="_96_0ELNO" localSheetId="13">'[2]#¡REF'!#REF!</definedName>
    <definedName name="_96_0ELNO" localSheetId="8">'[2]#¡REF'!#REF!</definedName>
    <definedName name="_96_0ELNO" localSheetId="12">'[2]#¡REF'!#REF!</definedName>
    <definedName name="_96_0ELNO" localSheetId="28">'[2]#¡REF'!#REF!</definedName>
    <definedName name="_96_0ELNO" localSheetId="29">'[2]#¡REF'!#REF!</definedName>
    <definedName name="_96_0ELNO" localSheetId="32">'[2]#¡REF'!#REF!</definedName>
    <definedName name="_96_0ELNO" localSheetId="31">'[2]#¡REF'!#REF!</definedName>
    <definedName name="_96_0ELNO" localSheetId="27">'[2]#¡REF'!#REF!</definedName>
    <definedName name="_96_0ELNO">'[2]#¡REF'!#REF!</definedName>
    <definedName name="_98" localSheetId="13">'[2]#¡REF'!#REF!</definedName>
    <definedName name="_98" localSheetId="8">'[2]#¡REF'!#REF!</definedName>
    <definedName name="_98" localSheetId="12">'[2]#¡REF'!#REF!</definedName>
    <definedName name="_98" localSheetId="31">'[2]#¡REF'!#REF!</definedName>
    <definedName name="_98">'[2]#¡REF'!#REF!</definedName>
    <definedName name="_A" localSheetId="13">'[2]#¡REF'!#REF!</definedName>
    <definedName name="_A" localSheetId="8">'[2]#¡REF'!#REF!</definedName>
    <definedName name="_A" localSheetId="12">'[2]#¡REF'!#REF!</definedName>
    <definedName name="_A" localSheetId="31">'[2]#¡REF'!#REF!</definedName>
    <definedName name="_A">'[2]#¡REF'!#REF!</definedName>
    <definedName name="_AGO1" localSheetId="13">#REF!</definedName>
    <definedName name="_AGO1" localSheetId="8">#REF!</definedName>
    <definedName name="_AGO1">#REF!</definedName>
    <definedName name="_C0001">[4]MATERIAL!$A$2:$R$57</definedName>
    <definedName name="_C002">[4]MATERIAL!$A$96:$R$146</definedName>
    <definedName name="_Fill" localSheetId="13" hidden="1">#REF!</definedName>
    <definedName name="_Fill" localSheetId="8"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29" hidden="1">'VAL AMP 3 DEDUCTIVO'!$L$1:$L$57</definedName>
    <definedName name="_xlnm._FilterDatabase" localSheetId="32" hidden="1">'VAL AMP 4 PN'!$C$1:$C$214</definedName>
    <definedName name="_xlnm._FilterDatabase" localSheetId="31" hidden="1">'VAL AMP4 MM'!$C$1:$C$283</definedName>
    <definedName name="_xlnm._FilterDatabase" localSheetId="27" hidden="1">'VAL. AMP.2 COVID'!$A$14:$S$39</definedName>
    <definedName name="_xlnm._FilterDatabase" localSheetId="30" hidden="1">'VAL. PRINC'!$U$1:$U$877</definedName>
    <definedName name="_j" localSheetId="13">'[2]#¡REF'!#REF!</definedName>
    <definedName name="_j" localSheetId="7">'[2]#¡REF'!#REF!</definedName>
    <definedName name="_j" localSheetId="8">'[2]#¡REF'!#REF!</definedName>
    <definedName name="_j" localSheetId="12">'[2]#¡REF'!#REF!</definedName>
    <definedName name="_j" localSheetId="28">'[2]#¡REF'!#REF!</definedName>
    <definedName name="_j" localSheetId="29">'[2]#¡REF'!#REF!</definedName>
    <definedName name="_j" localSheetId="32">'[2]#¡REF'!#REF!</definedName>
    <definedName name="_j" localSheetId="31">'[2]#¡REF'!#REF!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8">#REF!</definedName>
    <definedName name="_PAG1">#REF!</definedName>
    <definedName name="_Regression_Out" hidden="1">'[5]ALT-PREC'!$I$7</definedName>
    <definedName name="_Sort" hidden="1">'[5]ALT-PREC'!$C$10:$E$18</definedName>
    <definedName name="´ññ" localSheetId="13">#REF!</definedName>
    <definedName name="´ññ" localSheetId="8">#REF!</definedName>
    <definedName name="´ññ">#REF!</definedName>
    <definedName name="A" localSheetId="13">'[2]#¡REF'!#REF!</definedName>
    <definedName name="A" localSheetId="8">'[2]#¡REF'!#REF!</definedName>
    <definedName name="A" localSheetId="12">#REF!</definedName>
    <definedName name="A" localSheetId="28">'[2]#¡REF'!#REF!</definedName>
    <definedName name="A" localSheetId="29">'[2]#¡REF'!#REF!</definedName>
    <definedName name="A" localSheetId="32">'[2]#¡REF'!#REF!</definedName>
    <definedName name="A" localSheetId="31">'[2]#¡REF'!#REF!</definedName>
    <definedName name="A" localSheetId="27">'[2]#¡REF'!#REF!</definedName>
    <definedName name="A">'[2]#¡REF'!#REF!</definedName>
    <definedName name="AB" localSheetId="13">#REF!</definedName>
    <definedName name="AB" localSheetId="7">#REF!</definedName>
    <definedName name="AB" localSheetId="8">#REF!</definedName>
    <definedName name="AB" localSheetId="12">#REF!</definedName>
    <definedName name="AB" localSheetId="28">#REF!</definedName>
    <definedName name="AB" localSheetId="29">#REF!</definedName>
    <definedName name="AB" localSheetId="32">#REF!</definedName>
    <definedName name="AB" localSheetId="31">#REF!</definedName>
    <definedName name="AB" localSheetId="27">#REF!</definedName>
    <definedName name="AB">#REF!</definedName>
    <definedName name="ABC" localSheetId="13">'[6]#¡REF'!#REF!</definedName>
    <definedName name="ABC" localSheetId="8">'[6]#¡REF'!#REF!</definedName>
    <definedName name="ABC" localSheetId="12">#REF!</definedName>
    <definedName name="ABC" localSheetId="28">'[6]#¡REF'!#REF!</definedName>
    <definedName name="ABC" localSheetId="29">'[6]#¡REF'!#REF!</definedName>
    <definedName name="ABC" localSheetId="32">'[6]#¡REF'!#REF!</definedName>
    <definedName name="ABC" localSheetId="31">'[6]#¡REF'!#REF!</definedName>
    <definedName name="ABC" localSheetId="27">'[6]#¡REF'!#REF!</definedName>
    <definedName name="ABC">'[6]#¡REF'!#REF!</definedName>
    <definedName name="ACOSTOS">[7]AC!$A$5:$M$429</definedName>
    <definedName name="AD" localSheetId="13">#REF!</definedName>
    <definedName name="AD" localSheetId="8">#REF!</definedName>
    <definedName name="AD">#REF!</definedName>
    <definedName name="ADM" localSheetId="13">#REF!</definedName>
    <definedName name="ADM" localSheetId="8">#REF!</definedName>
    <definedName name="ADM">#REF!</definedName>
    <definedName name="ADV" localSheetId="13">'[3]#¡REF'!#REF!</definedName>
    <definedName name="ADV" localSheetId="8">'[3]#¡REF'!#REF!</definedName>
    <definedName name="ADV" localSheetId="12">'[3]#¡REF'!#REF!</definedName>
    <definedName name="ADV" localSheetId="28">'[3]#¡REF'!#REF!</definedName>
    <definedName name="ADV" localSheetId="29">'[3]#¡REF'!#REF!</definedName>
    <definedName name="ADV" localSheetId="32">'[3]#¡REF'!#REF!</definedName>
    <definedName name="ADV" localSheetId="31">'[3]#¡REF'!#REF!</definedName>
    <definedName name="ADV" localSheetId="27">'[3]#¡REF'!#REF!</definedName>
    <definedName name="ADV">'[3]#¡REF'!#REF!</definedName>
    <definedName name="ADVCC" localSheetId="13">'[8]#¡REF'!#REF!</definedName>
    <definedName name="ADVCC" localSheetId="8">'[8]#¡REF'!#REF!</definedName>
    <definedName name="ADVCC">'[8]#¡REF'!#REF!</definedName>
    <definedName name="afdxbv">[9]NTM!$C$28</definedName>
    <definedName name="AGO" localSheetId="13">#REF!</definedName>
    <definedName name="AGO" localSheetId="7">#REF!</definedName>
    <definedName name="AGO" localSheetId="8">#REF!</definedName>
    <definedName name="AGO" localSheetId="12">#REF!</definedName>
    <definedName name="AGO" localSheetId="28">#REF!</definedName>
    <definedName name="AGO" localSheetId="29">#REF!</definedName>
    <definedName name="AGO" localSheetId="32">#REF!</definedName>
    <definedName name="AGO" localSheetId="31">#REF!</definedName>
    <definedName name="AGO" localSheetId="27">#REF!</definedName>
    <definedName name="AGO">#REF!</definedName>
    <definedName name="ALIS" localSheetId="13">#REF!</definedName>
    <definedName name="ALIS" localSheetId="8">#REF!</definedName>
    <definedName name="ALIS">#REF!</definedName>
    <definedName name="almacen" localSheetId="13">#REF!</definedName>
    <definedName name="almacen" localSheetId="8">#REF!</definedName>
    <definedName name="almacen">#REF!</definedName>
    <definedName name="almcen" localSheetId="13">#REF!</definedName>
    <definedName name="almcen" localSheetId="8">#REF!</definedName>
    <definedName name="almcen">#REF!</definedName>
    <definedName name="AMBIENTE" localSheetId="13">#REF!</definedName>
    <definedName name="AMBIENTE" localSheetId="8">#REF!</definedName>
    <definedName name="AMBIENTE">#REF!</definedName>
    <definedName name="AMBIENTEANT" localSheetId="13">#REF!</definedName>
    <definedName name="AMBIENTEANT" localSheetId="8">#REF!</definedName>
    <definedName name="AMBIENTEANT">#REF!</definedName>
    <definedName name="_xlnm.Extract" localSheetId="13">#REF!</definedName>
    <definedName name="_xlnm.Extract" localSheetId="8">#REF!</definedName>
    <definedName name="_xlnm.Extract" localSheetId="12">#REF!</definedName>
    <definedName name="_xlnm.Extract" localSheetId="28">#REF!</definedName>
    <definedName name="_xlnm.Extract" localSheetId="29">#REF!</definedName>
    <definedName name="_xlnm.Extract" localSheetId="32">#REF!</definedName>
    <definedName name="_xlnm.Extract" localSheetId="31">#REF!</definedName>
    <definedName name="_xlnm.Extract" localSheetId="27">#REF!</definedName>
    <definedName name="_xlnm.Extract">#REF!</definedName>
    <definedName name="_xlnm.Print_Area" localSheetId="37">CRON!$B$6:$K$161</definedName>
    <definedName name="_xlnm.Print_Area" localSheetId="13">'Curvaa SN (2)'!$A$1:$M$106</definedName>
    <definedName name="_xlnm.Print_Area" localSheetId="11">'DATOS GENERALES'!$A$1:$G$28</definedName>
    <definedName name="_xlnm.Print_Area" localSheetId="2">'FICHA 1'!$B$1:$G$103</definedName>
    <definedName name="_xlnm.Print_Area" localSheetId="7">'FICHA 2 MAR'!$A$1:$AO$202</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3">Hoja5!$A$1:$AI$167</definedName>
    <definedName name="_xlnm.Print_Area" localSheetId="4">Hoja6!$A$1:$AI$146</definedName>
    <definedName name="_xlnm.Print_Area" localSheetId="5">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9">'P EJE MM'!$B$2:$G$250</definedName>
    <definedName name="_xlnm.Print_Area" localSheetId="10">'P EJE PN'!$B$1:$G$182</definedName>
    <definedName name="_xlnm.Print_Area" localSheetId="24">'P.NUEVAS PROYECTADAS'!$A$1:$AI$66</definedName>
    <definedName name="_xlnm.Print_Area" localSheetId="8">'PARTIDAS EJEC. dic'!$B$1:$G$609</definedName>
    <definedName name="_xlnm.Print_Area" localSheetId="14">'RES. VAL. '!$A$1:$K$34</definedName>
    <definedName name="_xlnm.Print_Area" localSheetId="12">'RESUMEN GENERAL'!$A$1:$L$67</definedName>
    <definedName name="_xlnm.Print_Area" localSheetId="28">'VAL AMP 3'!$B$1:$S$74</definedName>
    <definedName name="_xlnm.Print_Area" localSheetId="29">'VAL AMP 3 DEDUCTIVO'!$B$1:$S$33</definedName>
    <definedName name="_xlnm.Print_Area" localSheetId="32">'VAL AMP 4 PN'!$B$1:$S$197</definedName>
    <definedName name="_xlnm.Print_Area" localSheetId="31">'VAL AMP4 MM'!$B$1:$S$262</definedName>
    <definedName name="_xlnm.Print_Area" localSheetId="27">'VAL. AMP.2 COVID'!$B$1:$S$56</definedName>
    <definedName name="_xlnm.Print_Area" localSheetId="30">'VAL. PRINC'!$A$1:$AB$852</definedName>
    <definedName name="ARTE" localSheetId="13">#REF!</definedName>
    <definedName name="ARTE" localSheetId="8">#REF!</definedName>
    <definedName name="ARTE">#REF!</definedName>
    <definedName name="ARTEANT" localSheetId="13">#REF!</definedName>
    <definedName name="ARTEANT" localSheetId="8">#REF!</definedName>
    <definedName name="ARTEANT">#REF!</definedName>
    <definedName name="asadsfdgfhgjhkl" localSheetId="13">#REF!</definedName>
    <definedName name="asadsfdgfhgjhkl" localSheetId="8">#REF!</definedName>
    <definedName name="asadsfdgfhgjhkl">#REF!</definedName>
    <definedName name="b" localSheetId="13">'[2]#¡REF'!#REF!</definedName>
    <definedName name="b" localSheetId="7">'[2]#¡REF'!#REF!</definedName>
    <definedName name="b" localSheetId="8">'[2]#¡REF'!#REF!</definedName>
    <definedName name="b" localSheetId="12">#REF!</definedName>
    <definedName name="b" localSheetId="28">'[2]#¡REF'!#REF!</definedName>
    <definedName name="b" localSheetId="29">'[2]#¡REF'!#REF!</definedName>
    <definedName name="b" localSheetId="32">'[2]#¡REF'!#REF!</definedName>
    <definedName name="b" localSheetId="31">'[2]#¡REF'!#REF!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8">#REF!</definedName>
    <definedName name="_xlnm.Database" localSheetId="14">#REF!</definedName>
    <definedName name="_xlnm.Database" localSheetId="12">#REF!</definedName>
    <definedName name="_xlnm.Database" localSheetId="28">#REF!</definedName>
    <definedName name="_xlnm.Database" localSheetId="29">#REF!</definedName>
    <definedName name="_xlnm.Database" localSheetId="32">#REF!</definedName>
    <definedName name="_xlnm.Database" localSheetId="31">#REF!</definedName>
    <definedName name="_xlnm.Database" localSheetId="27">#REF!</definedName>
    <definedName name="_xlnm.Database">#REF!</definedName>
    <definedName name="BBBB" localSheetId="13">#REF!</definedName>
    <definedName name="BBBB" localSheetId="8">#REF!</definedName>
    <definedName name="BBBB">#REF!</definedName>
    <definedName name="BLOQUE01" localSheetId="13">#REF!</definedName>
    <definedName name="BLOQUE01" localSheetId="8">#REF!</definedName>
    <definedName name="BLOQUE01" localSheetId="12">#REF!</definedName>
    <definedName name="BLOQUE01" localSheetId="28">#REF!</definedName>
    <definedName name="BLOQUE01" localSheetId="29">#REF!</definedName>
    <definedName name="BLOQUE01" localSheetId="32">#REF!</definedName>
    <definedName name="BLOQUE01" localSheetId="31">#REF!</definedName>
    <definedName name="BLOQUE01">#REF!</definedName>
    <definedName name="BuiltIn_Print_Area" localSheetId="13">#REF!</definedName>
    <definedName name="BuiltIn_Print_Area" localSheetId="8">#REF!</definedName>
    <definedName name="BuiltIn_Print_Area">#REF!</definedName>
    <definedName name="BuiltIn_Print_Area___0" localSheetId="13">#REF!</definedName>
    <definedName name="BuiltIn_Print_Area___0" localSheetId="8">#REF!</definedName>
    <definedName name="BuiltIn_Print_Area___0">#REF!</definedName>
    <definedName name="CAB" localSheetId="13">[10]NTM!#REF!</definedName>
    <definedName name="CAB" localSheetId="8">[10]NTM!#REF!</definedName>
    <definedName name="CAB" localSheetId="12">[11]NTM!#REF!</definedName>
    <definedName name="CAB" localSheetId="28">[11]NTM!#REF!</definedName>
    <definedName name="CAB" localSheetId="29">[11]NTM!#REF!</definedName>
    <definedName name="CAB" localSheetId="31">[10]NTM!#REF!</definedName>
    <definedName name="CAB">[10]NTM!#REF!</definedName>
    <definedName name="cccc" localSheetId="13">#REF!</definedName>
    <definedName name="cccc" localSheetId="8">#REF!</definedName>
    <definedName name="cccc">#REF!</definedName>
    <definedName name="CD" localSheetId="13">#REF!</definedName>
    <definedName name="CD" localSheetId="8">#REF!</definedName>
    <definedName name="CD">#REF!</definedName>
    <definedName name="CHALLHUA" localSheetId="13">'[2]#¡REF'!#REF!</definedName>
    <definedName name="CHALLHUA" localSheetId="8">'[2]#¡REF'!#REF!</definedName>
    <definedName name="CHALLHUA">'[2]#¡REF'!#REF!</definedName>
    <definedName name="CONCLP" localSheetId="12">[11]NTM!$C$85:$C$90</definedName>
    <definedName name="CONCLP" localSheetId="28">[11]NTM!$C$85:$C$90</definedName>
    <definedName name="CONCLP" localSheetId="29">[11]NTM!$C$85:$C$90</definedName>
    <definedName name="CONCLP">[12]NTM!$C$85:$C$90</definedName>
    <definedName name="CORT" localSheetId="12">[11]NTM!$C$70:$C$74</definedName>
    <definedName name="CORT" localSheetId="28">[11]NTM!$C$70:$C$74</definedName>
    <definedName name="CORT" localSheetId="29">[11]NTM!$C$70:$C$74</definedName>
    <definedName name="CORT">[13]NTM!$C$70:$C$74</definedName>
    <definedName name="Corte" localSheetId="13">#REF!</definedName>
    <definedName name="Corte" localSheetId="8">#REF!</definedName>
    <definedName name="Corte">#REF!</definedName>
    <definedName name="_xlnm.Criteria" localSheetId="13">#REF!</definedName>
    <definedName name="_xlnm.Criteria" localSheetId="8">#REF!</definedName>
    <definedName name="_xlnm.Criteria" localSheetId="12">#REF!</definedName>
    <definedName name="_xlnm.Criteria" localSheetId="28">#REF!</definedName>
    <definedName name="_xlnm.Criteria" localSheetId="29">#REF!</definedName>
    <definedName name="_xlnm.Criteria" localSheetId="32">#REF!</definedName>
    <definedName name="_xlnm.Criteria" localSheetId="31">#REF!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8">#REF!</definedName>
    <definedName name="DDD">#REF!</definedName>
    <definedName name="DDDD" localSheetId="13">#REF!</definedName>
    <definedName name="DDDD" localSheetId="8">#REF!</definedName>
    <definedName name="DDDD">#REF!</definedName>
    <definedName name="DEFWEFRQF" localSheetId="13">#REF!</definedName>
    <definedName name="DEFWEFRQF" localSheetId="8">#REF!</definedName>
    <definedName name="DEFWEFRQF">#REF!</definedName>
    <definedName name="der" localSheetId="13">#REF!</definedName>
    <definedName name="der" localSheetId="8">#REF!</definedName>
    <definedName name="der">#REF!</definedName>
    <definedName name="DESCRIPCION" localSheetId="13">#REF!</definedName>
    <definedName name="DESCRIPCION" localSheetId="8">#REF!</definedName>
    <definedName name="DESCRIPCION" localSheetId="12">#REF!</definedName>
    <definedName name="DESCRIPCION" localSheetId="28">#REF!</definedName>
    <definedName name="DESCRIPCION" localSheetId="29">#REF!</definedName>
    <definedName name="DESCRIPCION" localSheetId="32">#REF!</definedName>
    <definedName name="DESCRIPCION" localSheetId="31">#REF!</definedName>
    <definedName name="DESCRIPCION" localSheetId="27">#REF!</definedName>
    <definedName name="DESCRIPCION">#REF!</definedName>
    <definedName name="DF" localSheetId="13">[15]Mensual!#REF!</definedName>
    <definedName name="DF" localSheetId="8">[15]Mensual!#REF!</definedName>
    <definedName name="DF">[15]Mensual!#REF!</definedName>
    <definedName name="DIAMD" localSheetId="12">[11]DATOS!$B$2:$B$10</definedName>
    <definedName name="DIAMD" localSheetId="28">[11]DATOS!$B$2:$B$10</definedName>
    <definedName name="DIAMD" localSheetId="29">[11]DATOS!$B$2:$B$10</definedName>
    <definedName name="DIAMD">[10]DATOS!$B$2:$B$10</definedName>
    <definedName name="DIAMD2" localSheetId="12">[11]DATOS!$F$5:$F$9</definedName>
    <definedName name="DIAMD2" localSheetId="28">[11]DATOS!$F$5:$F$9</definedName>
    <definedName name="DIAMD2" localSheetId="29">[11]DATOS!$F$5:$F$9</definedName>
    <definedName name="DIAMD2">[10]DATOS!$F$5:$F$9</definedName>
    <definedName name="DIC" localSheetId="13">#REF!</definedName>
    <definedName name="DIC" localSheetId="8">#REF!</definedName>
    <definedName name="DIC" localSheetId="12">#REF!</definedName>
    <definedName name="DIC" localSheetId="28">#REF!</definedName>
    <definedName name="DIC" localSheetId="29">#REF!</definedName>
    <definedName name="DIC" localSheetId="32">#REF!</definedName>
    <definedName name="DIC" localSheetId="31">#REF!</definedName>
    <definedName name="DIC" localSheetId="27">#REF!</definedName>
    <definedName name="DIC">#REF!</definedName>
    <definedName name="DIRECTO" localSheetId="13">#REF!</definedName>
    <definedName name="DIRECTO" localSheetId="8">#REF!</definedName>
    <definedName name="DIRECTO">#REF!</definedName>
    <definedName name="dist" localSheetId="12">[11]NTM!$C$28</definedName>
    <definedName name="dist" localSheetId="28">[11]NTM!$C$28</definedName>
    <definedName name="dist" localSheetId="29">[11]NTM!$C$28</definedName>
    <definedName name="dist">[12]NTM!$C$28</definedName>
    <definedName name="dist2" localSheetId="12">[11]NTM!$E$52:$E$61</definedName>
    <definedName name="dist2" localSheetId="28">[11]NTM!$E$52:$E$61</definedName>
    <definedName name="dist2" localSheetId="29">[11]NTM!$E$52:$E$61</definedName>
    <definedName name="dist2">[12]NTM!$E$52:$E$61</definedName>
    <definedName name="e" localSheetId="13">#REF!</definedName>
    <definedName name="e" localSheetId="8">#REF!</definedName>
    <definedName name="e">#REF!</definedName>
    <definedName name="ENE" localSheetId="13">#REF!</definedName>
    <definedName name="ENE" localSheetId="8">#REF!</definedName>
    <definedName name="ENE" localSheetId="12">#REF!</definedName>
    <definedName name="ENE" localSheetId="28">#REF!</definedName>
    <definedName name="ENE" localSheetId="29">#REF!</definedName>
    <definedName name="ENE" localSheetId="32">#REF!</definedName>
    <definedName name="ENE" localSheetId="31">#REF!</definedName>
    <definedName name="ENE" localSheetId="27">#REF!</definedName>
    <definedName name="ENE">#REF!</definedName>
    <definedName name="erte88" localSheetId="13">#REF!</definedName>
    <definedName name="erte88" localSheetId="8">#REF!</definedName>
    <definedName name="erte88" localSheetId="12">#REF!</definedName>
    <definedName name="erte88" localSheetId="28">#REF!</definedName>
    <definedName name="erte88" localSheetId="29">#REF!</definedName>
    <definedName name="erte88">#REF!</definedName>
    <definedName name="ESTRUCTURAS" localSheetId="13">#REF!</definedName>
    <definedName name="ESTRUCTURAS" localSheetId="8">#REF!</definedName>
    <definedName name="ESTRUCTURAS">#REF!</definedName>
    <definedName name="EXCAVACION" localSheetId="13">#REF!</definedName>
    <definedName name="EXCAVACION" localSheetId="8">#REF!</definedName>
    <definedName name="EXCAVACION">#REF!</definedName>
    <definedName name="EXCAVACIONANT" localSheetId="13">#REF!</definedName>
    <definedName name="EXCAVACIONANT" localSheetId="8">#REF!</definedName>
    <definedName name="EXCAVACIONANT">#REF!</definedName>
    <definedName name="Extracción_IM">[4]MATERIAL!$U$9:$U$39</definedName>
    <definedName name="facr" localSheetId="12">[11]NTM!$D$122</definedName>
    <definedName name="facr" localSheetId="28">[11]NTM!$D$122</definedName>
    <definedName name="facr" localSheetId="29">[11]NTM!$D$122</definedName>
    <definedName name="facr">[12]NTM!$D$122</definedName>
    <definedName name="FACTRELACION" localSheetId="13">#REF!</definedName>
    <definedName name="FACTRELACION" localSheetId="8">#REF!</definedName>
    <definedName name="FACTRELACION">#REF!</definedName>
    <definedName name="fconc" localSheetId="12">[11]NTM!$C$120:$C$123</definedName>
    <definedName name="fconc" localSheetId="28">[11]NTM!$C$120:$C$123</definedName>
    <definedName name="fconc" localSheetId="29">[11]NTM!$C$120:$C$123</definedName>
    <definedName name="fconc">[12]NTM!$C$120:$C$123</definedName>
    <definedName name="FEB" localSheetId="13">#REF!</definedName>
    <definedName name="FEB" localSheetId="8">#REF!</definedName>
    <definedName name="FEB" localSheetId="12">#REF!</definedName>
    <definedName name="FEB" localSheetId="28">#REF!</definedName>
    <definedName name="FEB" localSheetId="29">#REF!</definedName>
    <definedName name="FEB" localSheetId="32">#REF!</definedName>
    <definedName name="FEB" localSheetId="31">#REF!</definedName>
    <definedName name="FEB" localSheetId="27">#REF!</definedName>
    <definedName name="FEB">#REF!</definedName>
    <definedName name="FEB0_7" localSheetId="13">#REF!</definedName>
    <definedName name="FEB0_7" localSheetId="8">#REF!</definedName>
    <definedName name="FEB0_7" localSheetId="12">#REF!</definedName>
    <definedName name="FEB0_7" localSheetId="31">#REF!</definedName>
    <definedName name="FEB0_7">#REF!</definedName>
    <definedName name="FHS6HJ6J" localSheetId="13">'[2]#¡REF'!#REF!</definedName>
    <definedName name="FHS6HJ6J" localSheetId="8">'[2]#¡REF'!#REF!</definedName>
    <definedName name="FHS6HJ6J" localSheetId="12">'[2]#¡REF'!#REF!</definedName>
    <definedName name="FHS6HJ6J" localSheetId="31">'[2]#¡REF'!#REF!</definedName>
    <definedName name="FHS6HJ6J">'[2]#¡REF'!#REF!</definedName>
    <definedName name="fnvkdnklgtrmtrlñ">[16]SOCTA2!$Q$10:$R$40</definedName>
    <definedName name="formato03" localSheetId="13">#REF!</definedName>
    <definedName name="formato03" localSheetId="8">#REF!</definedName>
    <definedName name="formato03">#REF!</definedName>
    <definedName name="formato04" localSheetId="13">#REF!</definedName>
    <definedName name="formato04" localSheetId="8">#REF!</definedName>
    <definedName name="formato04">#REF!</definedName>
    <definedName name="formato05" localSheetId="13">#REF!</definedName>
    <definedName name="formato05" localSheetId="8">#REF!</definedName>
    <definedName name="formato05">#REF!</definedName>
    <definedName name="formato06" localSheetId="13">#REF!</definedName>
    <definedName name="formato06" localSheetId="8">#REF!</definedName>
    <definedName name="formato06">#REF!</definedName>
    <definedName name="formato07" localSheetId="13">#REF!</definedName>
    <definedName name="formato07" localSheetId="8">#REF!</definedName>
    <definedName name="formato07">#REF!</definedName>
    <definedName name="formato08" localSheetId="13">#REF!</definedName>
    <definedName name="formato08" localSheetId="8">#REF!</definedName>
    <definedName name="formato08">#REF!</definedName>
    <definedName name="formato10" localSheetId="13">#REF!</definedName>
    <definedName name="formato10" localSheetId="8">#REF!</definedName>
    <definedName name="formato10">#REF!</definedName>
    <definedName name="formato11" localSheetId="13">#REF!</definedName>
    <definedName name="formato11" localSheetId="8">#REF!</definedName>
    <definedName name="formato11">#REF!</definedName>
    <definedName name="formato12" localSheetId="13">#REF!</definedName>
    <definedName name="formato12" localSheetId="8">#REF!</definedName>
    <definedName name="formato12">#REF!</definedName>
    <definedName name="formato13" localSheetId="13">#REF!</definedName>
    <definedName name="formato13" localSheetId="8">#REF!</definedName>
    <definedName name="formato13">#REF!</definedName>
    <definedName name="formato14" localSheetId="13">#REF!</definedName>
    <definedName name="formato14" localSheetId="8">#REF!</definedName>
    <definedName name="formato14">#REF!</definedName>
    <definedName name="formato15" localSheetId="13">#REF!</definedName>
    <definedName name="formato15" localSheetId="8">#REF!</definedName>
    <definedName name="formato15">#REF!</definedName>
    <definedName name="formato16" localSheetId="13">#REF!</definedName>
    <definedName name="formato16" localSheetId="8">#REF!</definedName>
    <definedName name="formato16">#REF!</definedName>
    <definedName name="formato17" localSheetId="13">#REF!</definedName>
    <definedName name="formato17" localSheetId="8">#REF!</definedName>
    <definedName name="formato17">#REF!</definedName>
    <definedName name="formato18" localSheetId="13">#REF!</definedName>
    <definedName name="formato18" localSheetId="8">#REF!</definedName>
    <definedName name="formato18">#REF!</definedName>
    <definedName name="formato201" localSheetId="13">#REF!</definedName>
    <definedName name="formato201" localSheetId="8">#REF!</definedName>
    <definedName name="formato201">#REF!</definedName>
    <definedName name="formato202" localSheetId="13">#REF!</definedName>
    <definedName name="formato202" localSheetId="8">#REF!</definedName>
    <definedName name="formato202">#REF!</definedName>
    <definedName name="formato21" localSheetId="13">#REF!</definedName>
    <definedName name="formato21" localSheetId="8">#REF!</definedName>
    <definedName name="formato21">#REF!</definedName>
    <definedName name="formato23" localSheetId="13">#REF!</definedName>
    <definedName name="formato23" localSheetId="8">#REF!</definedName>
    <definedName name="formato23">#REF!</definedName>
    <definedName name="formato26" localSheetId="13">#REF!</definedName>
    <definedName name="formato26" localSheetId="8">#REF!</definedName>
    <definedName name="formato26">#REF!</definedName>
    <definedName name="formato28" localSheetId="13">#REF!</definedName>
    <definedName name="formato28" localSheetId="8">#REF!</definedName>
    <definedName name="formato28">#REF!</definedName>
    <definedName name="formato29" localSheetId="13">#REF!</definedName>
    <definedName name="formato29" localSheetId="8">#REF!</definedName>
    <definedName name="formato29">#REF!</definedName>
    <definedName name="formato30" localSheetId="13">#REF!</definedName>
    <definedName name="formato30" localSheetId="8">#REF!</definedName>
    <definedName name="formato30">#REF!</definedName>
    <definedName name="formato31" localSheetId="13">#REF!</definedName>
    <definedName name="formato31" localSheetId="8">#REF!</definedName>
    <definedName name="formato31">#REF!</definedName>
    <definedName name="FR">[17]DATOS!$C$23</definedName>
    <definedName name="freddy" hidden="1">'[18]ALT-PREC'!$I$7</definedName>
    <definedName name="GGF" localSheetId="13">#REF!</definedName>
    <definedName name="GGF" localSheetId="8">#REF!</definedName>
    <definedName name="GGF">#REF!</definedName>
    <definedName name="ggg">[19]SOCTA2!$T$9:$U$10</definedName>
    <definedName name="GGT" localSheetId="13">#REF!</definedName>
    <definedName name="GGT" localSheetId="8">#REF!</definedName>
    <definedName name="GGT">#REF!</definedName>
    <definedName name="GGV" localSheetId="13">#REF!</definedName>
    <definedName name="GGV" localSheetId="8">#REF!</definedName>
    <definedName name="GGV">#REF!</definedName>
    <definedName name="HH">[19]SOCTA2!$T$9:$U$10</definedName>
    <definedName name="hhh" localSheetId="13">'[2]#¡REF'!#REF!</definedName>
    <definedName name="hhh" localSheetId="7">'[2]#¡REF'!#REF!</definedName>
    <definedName name="hhh" localSheetId="8">'[2]#¡REF'!#REF!</definedName>
    <definedName name="hhh" localSheetId="12">'[2]#¡REF'!#REF!</definedName>
    <definedName name="hhh" localSheetId="28">'[2]#¡REF'!#REF!</definedName>
    <definedName name="hhh" localSheetId="29">'[2]#¡REF'!#REF!</definedName>
    <definedName name="hhh" localSheetId="32">'[2]#¡REF'!#REF!</definedName>
    <definedName name="hhh" localSheetId="31">'[2]#¡REF'!#REF!</definedName>
    <definedName name="hhh" localSheetId="27">'[2]#¡REF'!#REF!</definedName>
    <definedName name="hhh">'[2]#¡REF'!#REF!</definedName>
    <definedName name="hhhhhhhhhhhhhh" localSheetId="13">'[2]#¡REF'!#REF!</definedName>
    <definedName name="hhhhhhhhhhhhhh" localSheetId="8">'[2]#¡REF'!#REF!</definedName>
    <definedName name="hhhhhhhhhhhhhh" localSheetId="12">'[2]#¡REF'!#REF!</definedName>
    <definedName name="hhhhhhhhhhhhhh" localSheetId="31">'[2]#¡REF'!#REF!</definedName>
    <definedName name="hhhhhhhhhhhhhh">'[2]#¡REF'!#REF!</definedName>
    <definedName name="HUGO">'[20](FF-03)'!$A$21:$F$1586</definedName>
    <definedName name="IE">'[20]R IE'!$C$17:$K$317</definedName>
    <definedName name="IGV" localSheetId="13">#REF!</definedName>
    <definedName name="IGV" localSheetId="8">#REF!</definedName>
    <definedName name="IGV">#REF!</definedName>
    <definedName name="INDICE" localSheetId="13">#REF!</definedName>
    <definedName name="INDICE" localSheetId="7">#REF!</definedName>
    <definedName name="INDICE" localSheetId="8">#REF!</definedName>
    <definedName name="INDICE" localSheetId="12">#REF!</definedName>
    <definedName name="INDICE" localSheetId="28">#REF!</definedName>
    <definedName name="INDICE" localSheetId="29">#REF!</definedName>
    <definedName name="INDICE" localSheetId="32">#REF!</definedName>
    <definedName name="INDICE" localSheetId="31">#REF!</definedName>
    <definedName name="INDICE" localSheetId="27">#REF!</definedName>
    <definedName name="INDICE">#REF!</definedName>
    <definedName name="INVENTARIO" localSheetId="13">#REF!</definedName>
    <definedName name="INVENTARIO" localSheetId="8">#REF!</definedName>
    <definedName name="INVENTARIO">#REF!</definedName>
    <definedName name="ITEMS" localSheetId="12">[11]NTM!$A$2:$A$211</definedName>
    <definedName name="ITEMS" localSheetId="28">[11]NTM!$A$2:$A$211</definedName>
    <definedName name="ITEMS" localSheetId="29">[11]NTM!$A$2:$A$211</definedName>
    <definedName name="ITEMS">[12]NTM!$A$2:$A$203</definedName>
    <definedName name="IU" localSheetId="13">#REF!</definedName>
    <definedName name="IU" localSheetId="8">#REF!</definedName>
    <definedName name="IU" localSheetId="12">#REF!</definedName>
    <definedName name="IU" localSheetId="28">#REF!</definedName>
    <definedName name="IU" localSheetId="29">#REF!</definedName>
    <definedName name="IU" localSheetId="32">#REF!</definedName>
    <definedName name="IU" localSheetId="31">#REF!</definedName>
    <definedName name="IU" localSheetId="27">#REF!</definedName>
    <definedName name="IU">#REF!</definedName>
    <definedName name="JUL" localSheetId="13">#REF!</definedName>
    <definedName name="JUL" localSheetId="8">#REF!</definedName>
    <definedName name="JUL" localSheetId="12">#REF!</definedName>
    <definedName name="JUL" localSheetId="28">#REF!</definedName>
    <definedName name="JUL" localSheetId="29">#REF!</definedName>
    <definedName name="JUL" localSheetId="32">#REF!</definedName>
    <definedName name="JUL" localSheetId="31">#REF!</definedName>
    <definedName name="JUL" localSheetId="27">#REF!</definedName>
    <definedName name="JUL">#REF!</definedName>
    <definedName name="JUN" localSheetId="13">#REF!</definedName>
    <definedName name="JUN" localSheetId="8">#REF!</definedName>
    <definedName name="JUN" localSheetId="12">#REF!</definedName>
    <definedName name="JUN" localSheetId="28">#REF!</definedName>
    <definedName name="JUN" localSheetId="29">#REF!</definedName>
    <definedName name="JUN" localSheetId="32">#REF!</definedName>
    <definedName name="JUN" localSheetId="31">#REF!</definedName>
    <definedName name="JUN" localSheetId="27">#REF!</definedName>
    <definedName name="JUN">#REF!</definedName>
    <definedName name="k" localSheetId="13">'[2]#¡REF'!#REF!</definedName>
    <definedName name="k" localSheetId="7">'[2]#¡REF'!#REF!</definedName>
    <definedName name="k" localSheetId="8">'[2]#¡REF'!#REF!</definedName>
    <definedName name="k" localSheetId="12">'[2]#¡REF'!#REF!</definedName>
    <definedName name="k" localSheetId="28">'[2]#¡REF'!#REF!</definedName>
    <definedName name="k" localSheetId="29">'[2]#¡REF'!#REF!</definedName>
    <definedName name="k" localSheetId="32">'[2]#¡REF'!#REF!</definedName>
    <definedName name="k" localSheetId="31">'[2]#¡REF'!#REF!</definedName>
    <definedName name="k" localSheetId="27">'[2]#¡REF'!#REF!</definedName>
    <definedName name="k">'[2]#¡REF'!#REF!</definedName>
    <definedName name="l" localSheetId="13">#REF!</definedName>
    <definedName name="l" localSheetId="8">#REF!</definedName>
    <definedName name="l">#REF!</definedName>
    <definedName name="LAC" localSheetId="13">[10]NTM!#REF!</definedName>
    <definedName name="LAC" localSheetId="8">[10]NTM!#REF!</definedName>
    <definedName name="LAC" localSheetId="12">[11]NTM!#REF!</definedName>
    <definedName name="LAC" localSheetId="28">[11]NTM!#REF!</definedName>
    <definedName name="LAC" localSheetId="29">[11]NTM!#REF!</definedName>
    <definedName name="LAC" localSheetId="31">[10]NTM!#REF!</definedName>
    <definedName name="LAC">[10]NTM!#REF!</definedName>
    <definedName name="lll" localSheetId="13">#REF!</definedName>
    <definedName name="lll" localSheetId="8">#REF!</definedName>
    <definedName name="lll">#REF!</definedName>
    <definedName name="LUIS" localSheetId="13">#REF!</definedName>
    <definedName name="LUIS" localSheetId="8">#REF!</definedName>
    <definedName name="LUIS">#REF!</definedName>
    <definedName name="m" localSheetId="13">#REF!</definedName>
    <definedName name="m" localSheetId="8">#REF!</definedName>
    <definedName name="m">#REF!</definedName>
    <definedName name="MAR" localSheetId="13">#REF!</definedName>
    <definedName name="MAR" localSheetId="7">#REF!</definedName>
    <definedName name="MAR" localSheetId="8">#REF!</definedName>
    <definedName name="MAR" localSheetId="12">#REF!</definedName>
    <definedName name="MAR" localSheetId="28">#REF!</definedName>
    <definedName name="MAR" localSheetId="29">#REF!</definedName>
    <definedName name="MAR" localSheetId="32">#REF!</definedName>
    <definedName name="MAR" localSheetId="31">#REF!</definedName>
    <definedName name="MAR" localSheetId="27">#REF!</definedName>
    <definedName name="MAR">#REF!</definedName>
    <definedName name="MAY" localSheetId="13">#REF!</definedName>
    <definedName name="MAY" localSheetId="8">#REF!</definedName>
    <definedName name="MAY" localSheetId="12">#REF!</definedName>
    <definedName name="MAY" localSheetId="28">#REF!</definedName>
    <definedName name="MAY" localSheetId="29">#REF!</definedName>
    <definedName name="MAY" localSheetId="32">#REF!</definedName>
    <definedName name="MAY" localSheetId="31">#REF!</definedName>
    <definedName name="MAY" localSheetId="27">#REF!</definedName>
    <definedName name="MAY">#REF!</definedName>
    <definedName name="MC" localSheetId="13">#REF!</definedName>
    <definedName name="MC" localSheetId="8">#REF!</definedName>
    <definedName name="MC">#REF!</definedName>
    <definedName name="MEDIA" localSheetId="13">#REF!</definedName>
    <definedName name="MEDIA" localSheetId="8">#REF!</definedName>
    <definedName name="MEDIA">#REF!</definedName>
    <definedName name="meses" localSheetId="13">#REF!</definedName>
    <definedName name="meses" localSheetId="8">#REF!</definedName>
    <definedName name="meses" localSheetId="12">#REF!</definedName>
    <definedName name="meses" localSheetId="28">#REF!</definedName>
    <definedName name="meses" localSheetId="29">#REF!</definedName>
    <definedName name="meses" localSheetId="32">#REF!</definedName>
    <definedName name="meses" localSheetId="31">#REF!</definedName>
    <definedName name="meses" localSheetId="27">#REF!</definedName>
    <definedName name="meses">#REF!</definedName>
    <definedName name="METR.PART.NUEV" localSheetId="13">#REF!</definedName>
    <definedName name="METR.PART.NUEV" localSheetId="8">#REF!</definedName>
    <definedName name="METR.PART.NUEV">#REF!</definedName>
    <definedName name="mierdaaaaaaaaaaaaaa" localSheetId="13">#REF!</definedName>
    <definedName name="mierdaaaaaaaaaaaaaa" localSheetId="8">#REF!</definedName>
    <definedName name="mierdaaaaaaaaaaaaaa">#REF!</definedName>
    <definedName name="MLMLM" localSheetId="13">#REF!</definedName>
    <definedName name="MLMLM" localSheetId="8">#REF!</definedName>
    <definedName name="MLMLM">#REF!</definedName>
    <definedName name="MNP" localSheetId="13">'[3]#¡REF'!#REF!</definedName>
    <definedName name="MNP" localSheetId="7">'[3]#¡REF'!#REF!</definedName>
    <definedName name="MNP" localSheetId="8">'[3]#¡REF'!#REF!</definedName>
    <definedName name="MNP" localSheetId="12">'[3]#¡REF'!#REF!</definedName>
    <definedName name="MNP" localSheetId="28">'[3]#¡REF'!#REF!</definedName>
    <definedName name="MNP" localSheetId="29">'[3]#¡REF'!#REF!</definedName>
    <definedName name="MNP" localSheetId="32">'[3]#¡REF'!#REF!</definedName>
    <definedName name="MNP" localSheetId="31">'[3]#¡REF'!#REF!</definedName>
    <definedName name="MNP" localSheetId="27">'[3]#¡REF'!#REF!</definedName>
    <definedName name="MNP">'[3]#¡REF'!#REF!</definedName>
    <definedName name="N" localSheetId="13">#REF!</definedName>
    <definedName name="N" localSheetId="8">#REF!</definedName>
    <definedName name="N">#REF!</definedName>
    <definedName name="nb" localSheetId="13">#REF!</definedName>
    <definedName name="nb" localSheetId="8">#REF!</definedName>
    <definedName name="nb">#REF!</definedName>
    <definedName name="ngndfjg" localSheetId="13">#REF!</definedName>
    <definedName name="ngndfjg" localSheetId="8">#REF!</definedName>
    <definedName name="ngndfjg">#REF!</definedName>
    <definedName name="NNDSNDSN">'[21]Precios Estruc.'!$A$1:$E$339</definedName>
    <definedName name="NOB" localSheetId="13">#REF!</definedName>
    <definedName name="NOB" localSheetId="7">#REF!</definedName>
    <definedName name="NOB" localSheetId="8">#REF!</definedName>
    <definedName name="NOB" localSheetId="12">#REF!</definedName>
    <definedName name="NOB" localSheetId="28">#REF!</definedName>
    <definedName name="NOB" localSheetId="29">#REF!</definedName>
    <definedName name="NOB" localSheetId="32">#REF!</definedName>
    <definedName name="NOB" localSheetId="31">#REF!</definedName>
    <definedName name="NOB" localSheetId="27">#REF!</definedName>
    <definedName name="NOB">#REF!</definedName>
    <definedName name="nueva" localSheetId="13">#REF!</definedName>
    <definedName name="nueva" localSheetId="8">#REF!</definedName>
    <definedName name="nueva">#REF!</definedName>
    <definedName name="NUEVO">[19]SOCTA2!$A$2:$R$57</definedName>
    <definedName name="ÑLMKKKKKKKKKKKKKKKKKKK" localSheetId="13">#REF!</definedName>
    <definedName name="ÑLMKKKKKKKKKKKKKKKKKKK" localSheetId="8">#REF!</definedName>
    <definedName name="ÑLMKKKKKKKKKKKKKKKKKKK">#REF!</definedName>
    <definedName name="OBRAS" localSheetId="13">#REF!</definedName>
    <definedName name="OBRAS" localSheetId="8">#REF!</definedName>
    <definedName name="OBRAS">#REF!</definedName>
    <definedName name="OBRASANT" localSheetId="13">#REF!</definedName>
    <definedName name="OBRASANT" localSheetId="8">#REF!</definedName>
    <definedName name="OBRASANT">#REF!</definedName>
    <definedName name="OCT" localSheetId="13">#REF!</definedName>
    <definedName name="OCT" localSheetId="8">#REF!</definedName>
    <definedName name="OCT" localSheetId="12">#REF!</definedName>
    <definedName name="OCT" localSheetId="28">#REF!</definedName>
    <definedName name="OCT" localSheetId="29">#REF!</definedName>
    <definedName name="OCT" localSheetId="32">#REF!</definedName>
    <definedName name="OCT" localSheetId="31">#REF!</definedName>
    <definedName name="OCT" localSheetId="27">#REF!</definedName>
    <definedName name="OCT">#REF!</definedName>
    <definedName name="OLE_LINK1" localSheetId="13">#REF!</definedName>
    <definedName name="OLE_LINK1" localSheetId="8">#REF!</definedName>
    <definedName name="OLE_LINK1">#REF!</definedName>
    <definedName name="ope" localSheetId="13">[22]Hoja4!#REF!</definedName>
    <definedName name="ope" localSheetId="7">[22]Hoja4!#REF!</definedName>
    <definedName name="ope" localSheetId="8">[22]Hoja4!#REF!</definedName>
    <definedName name="ope" localSheetId="12">[22]Hoja4!#REF!</definedName>
    <definedName name="ope" localSheetId="28">[22]Hoja4!#REF!</definedName>
    <definedName name="ope" localSheetId="29">[22]Hoja4!#REF!</definedName>
    <definedName name="ope" localSheetId="32">[22]Hoja4!#REF!</definedName>
    <definedName name="ope" localSheetId="31">[22]Hoja4!#REF!</definedName>
    <definedName name="ope" localSheetId="27">[22]Hoja4!#REF!</definedName>
    <definedName name="ope">[22]Hoja4!#REF!</definedName>
    <definedName name="OPPP" localSheetId="13">#REF!</definedName>
    <definedName name="OPPP" localSheetId="8">#REF!</definedName>
    <definedName name="OPPP">#REF!</definedName>
    <definedName name="PAAA" localSheetId="13">'[2]#¡REF'!#REF!</definedName>
    <definedName name="PAAA" localSheetId="8">'[2]#¡REF'!#REF!</definedName>
    <definedName name="PAAA" localSheetId="12">'[2]#¡REF'!#REF!</definedName>
    <definedName name="PAAA">'[2]#¡REF'!#REF!</definedName>
    <definedName name="PARTIDA" localSheetId="13">#REF!</definedName>
    <definedName name="PARTIDA" localSheetId="7">#REF!</definedName>
    <definedName name="PARTIDA" localSheetId="8">#REF!</definedName>
    <definedName name="PARTIDA" localSheetId="12">#REF!</definedName>
    <definedName name="PARTIDA" localSheetId="28">#REF!</definedName>
    <definedName name="PARTIDA" localSheetId="29">#REF!</definedName>
    <definedName name="PARTIDA" localSheetId="32">#REF!</definedName>
    <definedName name="PARTIDA" localSheetId="31">#REF!</definedName>
    <definedName name="PARTIDA" localSheetId="27">#REF!</definedName>
    <definedName name="PARTIDA">#REF!</definedName>
    <definedName name="PARTIDAS">[23]PARTIDAS!$1:$1048576</definedName>
    <definedName name="PAVIMENTOS" localSheetId="13">#REF!</definedName>
    <definedName name="PAVIMENTOS" localSheetId="8">#REF!</definedName>
    <definedName name="PAVIMENTOS">#REF!</definedName>
    <definedName name="PAVIMENTOSANT" localSheetId="13">#REF!</definedName>
    <definedName name="PAVIMENTOSANT" localSheetId="8">#REF!</definedName>
    <definedName name="PAVIMENTOSANT">#REF!</definedName>
    <definedName name="PGG" localSheetId="13">#REF!</definedName>
    <definedName name="PGG" localSheetId="8">#REF!</definedName>
    <definedName name="PGG">#REF!</definedName>
    <definedName name="PRECIOS" localSheetId="13">#REF!</definedName>
    <definedName name="PRECIOS" localSheetId="8">#REF!</definedName>
    <definedName name="PRECIOS">#REF!</definedName>
    <definedName name="PRECIOS2" localSheetId="13">#REF!</definedName>
    <definedName name="PRECIOS2" localSheetId="8">#REF!</definedName>
    <definedName name="PRECIOS2">#REF!</definedName>
    <definedName name="PRESUP" localSheetId="13">#REF!</definedName>
    <definedName name="PRESUP" localSheetId="8">#REF!</definedName>
    <definedName name="PRESUP">#REF!</definedName>
    <definedName name="Print_Area" localSheetId="13">#REF!</definedName>
    <definedName name="Print_Area" localSheetId="8">#REF!</definedName>
    <definedName name="Print_Area">#REF!</definedName>
    <definedName name="Print_Area_MI" localSheetId="13">#REF!</definedName>
    <definedName name="Print_Area_MI" localSheetId="8">#REF!</definedName>
    <definedName name="Print_Area_MI">#REF!</definedName>
    <definedName name="Progr" localSheetId="13">#REF!</definedName>
    <definedName name="Progr" localSheetId="8">#REF!</definedName>
    <definedName name="Progr">#REF!</definedName>
    <definedName name="PUU" localSheetId="13">#REF!</definedName>
    <definedName name="PUU" localSheetId="8">#REF!</definedName>
    <definedName name="PUU">#REF!</definedName>
    <definedName name="q" localSheetId="13">#REF!</definedName>
    <definedName name="q" localSheetId="8">#REF!</definedName>
    <definedName name="q">#REF!</definedName>
    <definedName name="qsdxs" localSheetId="13">'[2]#¡REF'!#REF!</definedName>
    <definedName name="qsdxs" localSheetId="7">'[2]#¡REF'!#REF!</definedName>
    <definedName name="qsdxs" localSheetId="8">'[2]#¡REF'!#REF!</definedName>
    <definedName name="qsdxs" localSheetId="12">'[2]#¡REF'!#REF!</definedName>
    <definedName name="qsdxs" localSheetId="28">'[2]#¡REF'!#REF!</definedName>
    <definedName name="qsdxs" localSheetId="29">'[2]#¡REF'!#REF!</definedName>
    <definedName name="qsdxs" localSheetId="32">'[2]#¡REF'!#REF!</definedName>
    <definedName name="qsdxs" localSheetId="31">'[2]#¡REF'!#REF!</definedName>
    <definedName name="qsdxs" localSheetId="27">'[2]#¡REF'!#REF!</definedName>
    <definedName name="qsdxs">'[2]#¡REF'!#REF!</definedName>
    <definedName name="qsqns" localSheetId="13">'[2]#¡REF'!#REF!</definedName>
    <definedName name="qsqns" localSheetId="8">'[2]#¡REF'!#REF!</definedName>
    <definedName name="qsqns" localSheetId="12">'[2]#¡REF'!#REF!</definedName>
    <definedName name="qsqns" localSheetId="28">'[2]#¡REF'!#REF!</definedName>
    <definedName name="qsqns" localSheetId="29">'[2]#¡REF'!#REF!</definedName>
    <definedName name="qsqns" localSheetId="32">'[2]#¡REF'!#REF!</definedName>
    <definedName name="qsqns" localSheetId="31">'[2]#¡REF'!#REF!</definedName>
    <definedName name="qsqns" localSheetId="27">'[2]#¡REF'!#REF!</definedName>
    <definedName name="qsqns">'[2]#¡REF'!#REF!</definedName>
    <definedName name="QWE" localSheetId="13">#REF!</definedName>
    <definedName name="QWE" localSheetId="7">#REF!</definedName>
    <definedName name="QWE" localSheetId="8">#REF!</definedName>
    <definedName name="QWE" localSheetId="12">#REF!</definedName>
    <definedName name="QWE" localSheetId="28">#REF!</definedName>
    <definedName name="QWE" localSheetId="29">#REF!</definedName>
    <definedName name="QWE" localSheetId="32">#REF!</definedName>
    <definedName name="QWE" localSheetId="31">#REF!</definedName>
    <definedName name="QWE" localSheetId="27">#REF!</definedName>
    <definedName name="QWE">#REF!</definedName>
    <definedName name="REALIG">[11]NTM!$C$177:$C$178</definedName>
    <definedName name="REVISAR" localSheetId="13">#REF!</definedName>
    <definedName name="REVISAR" localSheetId="8">#REF!</definedName>
    <definedName name="REVISAR" localSheetId="12">#REF!</definedName>
    <definedName name="REVISAR" localSheetId="28">#REF!</definedName>
    <definedName name="REVISAR" localSheetId="29">#REF!</definedName>
    <definedName name="REVISAR" localSheetId="32">#REF!</definedName>
    <definedName name="REVISAR" localSheetId="31">#REF!</definedName>
    <definedName name="REVISAR" localSheetId="27">#REF!</definedName>
    <definedName name="REVISAR">#REF!</definedName>
    <definedName name="REVISAR1" localSheetId="13">#REF!</definedName>
    <definedName name="REVISAR1" localSheetId="8">#REF!</definedName>
    <definedName name="REVISAR1" localSheetId="12">#REF!</definedName>
    <definedName name="REVISAR1" localSheetId="28">#REF!</definedName>
    <definedName name="REVISAR1" localSheetId="29">#REF!</definedName>
    <definedName name="REVISAR1" localSheetId="32">#REF!</definedName>
    <definedName name="REVISAR1" localSheetId="31">#REF!</definedName>
    <definedName name="REVISAR1" localSheetId="27">#REF!</definedName>
    <definedName name="REVISAR1">#REF!</definedName>
    <definedName name="s" localSheetId="13">#REF!</definedName>
    <definedName name="s" localSheetId="8">#REF!</definedName>
    <definedName name="s">#REF!</definedName>
    <definedName name="sdfnhgnfgnfgbsdvsdcax" localSheetId="13">#REF!</definedName>
    <definedName name="sdfnhgnfgnfgbsdvsdcax" localSheetId="8">#REF!</definedName>
    <definedName name="sdfnhgnfgnfgbsdvsdcax">#REF!</definedName>
    <definedName name="SEÑALIZACION" localSheetId="13">#REF!</definedName>
    <definedName name="SEÑALIZACION" localSheetId="8">#REF!</definedName>
    <definedName name="SEÑALIZACION">#REF!</definedName>
    <definedName name="SEÑALIZACIONANT" localSheetId="13">#REF!</definedName>
    <definedName name="SEÑALIZACIONANT" localSheetId="8">#REF!</definedName>
    <definedName name="SEÑALIZACIONANT">#REF!</definedName>
    <definedName name="señalizavion" localSheetId="13">#REF!</definedName>
    <definedName name="señalizavion" localSheetId="8">#REF!</definedName>
    <definedName name="señalizavion">#REF!</definedName>
    <definedName name="SET" localSheetId="13">#REF!</definedName>
    <definedName name="SET" localSheetId="8">#REF!</definedName>
    <definedName name="SET" localSheetId="12">#REF!</definedName>
    <definedName name="SET" localSheetId="28">#REF!</definedName>
    <definedName name="SET" localSheetId="29">#REF!</definedName>
    <definedName name="SET" localSheetId="32">#REF!</definedName>
    <definedName name="SET" localSheetId="31">#REF!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8">#REF!</definedName>
    <definedName name="SSSS">#REF!</definedName>
    <definedName name="TABLA" localSheetId="13">#REF!</definedName>
    <definedName name="TABLA" localSheetId="8">#REF!</definedName>
    <definedName name="TABLA" localSheetId="12">#REF!</definedName>
    <definedName name="TABLA" localSheetId="28">#REF!</definedName>
    <definedName name="TABLA" localSheetId="29">#REF!</definedName>
    <definedName name="TABLA" localSheetId="32">#REF!</definedName>
    <definedName name="TABLA" localSheetId="31">#REF!</definedName>
    <definedName name="TABLA" localSheetId="27">#REF!</definedName>
    <definedName name="TABLA">#REF!</definedName>
    <definedName name="tabtabtab">[24]LINEAS!$A$3:$BR$18</definedName>
    <definedName name="tareo1" localSheetId="13">#REF!</definedName>
    <definedName name="tareo1" localSheetId="8">#REF!</definedName>
    <definedName name="tareo1">#REF!</definedName>
    <definedName name="_xlnm.Print_Titles" localSheetId="37">CRON!$6:$19</definedName>
    <definedName name="_xlnm.Print_Titles" localSheetId="7">'FICHA 2 MAR'!$1:$12</definedName>
    <definedName name="_xlnm.Print_Titles" localSheetId="35">MET.ADIC!$1:$10</definedName>
    <definedName name="_xlnm.Print_Titles" localSheetId="36">MET.EXP!$1:$7</definedName>
    <definedName name="_xlnm.Print_Titles" localSheetId="8">'PARTIDAS EJEC. dic'!$6:$9</definedName>
    <definedName name="_xlnm.Print_Titles" localSheetId="28">'VAL AMP 3'!$1:$13</definedName>
    <definedName name="_xlnm.Print_Titles" localSheetId="29">'VAL AMP 3 DEDUCTIVO'!$1:$13</definedName>
    <definedName name="_xlnm.Print_Titles" localSheetId="32">'VAL AMP 4 PN'!$1:$14</definedName>
    <definedName name="_xlnm.Print_Titles" localSheetId="31">'VAL AMP4 MM'!$1:$12</definedName>
    <definedName name="_xlnm.Print_Titles" localSheetId="27">'VAL. AMP.2 COVID'!$1:$13</definedName>
    <definedName name="_xlnm.Print_Titles" localSheetId="30">'VAL. PRINC'!$1:$13</definedName>
    <definedName name="TOTAL" localSheetId="13">#REF!</definedName>
    <definedName name="TOTAL" localSheetId="8">#REF!</definedName>
    <definedName name="TOTAL">#REF!</definedName>
    <definedName name="TOTORAY" localSheetId="13">'[2]#¡REF'!#REF!</definedName>
    <definedName name="TOTORAY" localSheetId="8">'[2]#¡REF'!#REF!</definedName>
    <definedName name="TOTORAY">'[2]#¡REF'!#REF!</definedName>
    <definedName name="TRANSPORTE" localSheetId="13">#REF!</definedName>
    <definedName name="TRANSPORTE" localSheetId="8">#REF!</definedName>
    <definedName name="TRANSPORTE">#REF!</definedName>
    <definedName name="TRANSPORTEANT" localSheetId="13">#REF!</definedName>
    <definedName name="TRANSPORTEANT" localSheetId="8">#REF!</definedName>
    <definedName name="TRANSPORTEANT">#REF!</definedName>
    <definedName name="UND." localSheetId="13">#REF!</definedName>
    <definedName name="UND." localSheetId="7">#REF!</definedName>
    <definedName name="UND." localSheetId="8">#REF!</definedName>
    <definedName name="UND." localSheetId="12">#REF!</definedName>
    <definedName name="UND." localSheetId="28">#REF!</definedName>
    <definedName name="UND." localSheetId="29">#REF!</definedName>
    <definedName name="UND." localSheetId="32">#REF!</definedName>
    <definedName name="UND." localSheetId="31">#REF!</definedName>
    <definedName name="UND." localSheetId="27">#REF!</definedName>
    <definedName name="UND.">#REF!</definedName>
    <definedName name="UNID" localSheetId="12">[11]DATOS!$P$2:$P$14</definedName>
    <definedName name="UNID" localSheetId="28">[11]DATOS!$P$2:$P$14</definedName>
    <definedName name="UNID" localSheetId="29">[11]DATOS!$P$2:$P$14</definedName>
    <definedName name="UNID">[12]DATOS!$P$2:$P$14</definedName>
    <definedName name="UTILIDAD" localSheetId="13">#REF!</definedName>
    <definedName name="UTILIDAD" localSheetId="8">#REF!</definedName>
    <definedName name="UTILIDAD">#REF!</definedName>
    <definedName name="VAL.PART.NUEV." localSheetId="13">#REF!</definedName>
    <definedName name="VAL.PART.NUEV." localSheetId="8">#REF!</definedName>
    <definedName name="VAL.PART.NUEV.">#REF!</definedName>
    <definedName name="VALO">'[20](FF-03)'!$A$20:$R$1586</definedName>
    <definedName name="VALOREFERENCIAL" localSheetId="13">#REF!</definedName>
    <definedName name="VALOREFERENCIAL" localSheetId="8">#REF!</definedName>
    <definedName name="VALOREFERENCIAL">#REF!</definedName>
    <definedName name="VALORIZACION_MES">'[25]VALORIZACION 10'!$J$90</definedName>
    <definedName name="VARIOS" localSheetId="13">#REF!</definedName>
    <definedName name="VARIOS" localSheetId="8">#REF!</definedName>
    <definedName name="VARIOS">#REF!</definedName>
    <definedName name="VARIOSANT" localSheetId="13">#REF!</definedName>
    <definedName name="VARIOSANT" localSheetId="8">#REF!</definedName>
    <definedName name="VARIOSANT">#REF!</definedName>
    <definedName name="VFDSZFASF" localSheetId="13">#REF!</definedName>
    <definedName name="VFDSZFASF" localSheetId="8">#REF!</definedName>
    <definedName name="VFDSZFASF">#REF!</definedName>
    <definedName name="vg" localSheetId="13">#REF!</definedName>
    <definedName name="vg" localSheetId="8">#REF!</definedName>
    <definedName name="vg">#REF!</definedName>
    <definedName name="VR" localSheetId="13">#REF!</definedName>
    <definedName name="VR" localSheetId="8">#REF!</definedName>
    <definedName name="VR">#REF!</definedName>
    <definedName name="w" localSheetId="13">'[2]#¡REF'!#REF!</definedName>
    <definedName name="w" localSheetId="7">'[2]#¡REF'!#REF!</definedName>
    <definedName name="w" localSheetId="8">'[2]#¡REF'!#REF!</definedName>
    <definedName name="w" localSheetId="12">'[2]#¡REF'!#REF!</definedName>
    <definedName name="w" localSheetId="28">'[2]#¡REF'!#REF!</definedName>
    <definedName name="w" localSheetId="29">'[2]#¡REF'!#REF!</definedName>
    <definedName name="w" localSheetId="32">'[2]#¡REF'!#REF!</definedName>
    <definedName name="w" localSheetId="31">'[2]#¡REF'!#REF!</definedName>
    <definedName name="w" localSheetId="27">'[2]#¡REF'!#REF!</definedName>
    <definedName name="w">'[2]#¡REF'!#REF!</definedName>
    <definedName name="WW" localSheetId="13">[15]Mensual!#REF!</definedName>
    <definedName name="WW" localSheetId="8">[15]Mensual!#REF!</definedName>
    <definedName name="WW">[15]Mensual!#REF!</definedName>
    <definedName name="XC" localSheetId="13">[15]Mensual!#REF!</definedName>
    <definedName name="XC" localSheetId="8">[15]Mensual!#REF!</definedName>
    <definedName name="XC">[15]Mensual!#REF!</definedName>
    <definedName name="XX" localSheetId="13">[15]Mensual!#REF!</definedName>
    <definedName name="XX" localSheetId="8">[15]Mensual!#REF!</definedName>
    <definedName name="XX">[15]Mensual!#REF!</definedName>
    <definedName name="XXXX" localSheetId="13">[15]Mensual!#REF!</definedName>
    <definedName name="XXXX" localSheetId="8">[15]Mensual!#REF!</definedName>
    <definedName name="XXXX">[15]Mensual!#REF!</definedName>
    <definedName name="XXXXXX" localSheetId="13">[15]Mensual!#REF!</definedName>
    <definedName name="XXXXXX" localSheetId="8">[15]Mensual!#REF!</definedName>
    <definedName name="XXXXXX">[15]Mensual!#REF!</definedName>
    <definedName name="XXXXXXXXXXXXXXXXXXXX" localSheetId="13">'[1]#¡REF'!#REF!</definedName>
    <definedName name="XXXXXXXXXXXXXXXXXXXX" localSheetId="8">'[1]#¡REF'!#REF!</definedName>
    <definedName name="XXXXXXXXXXXXXXXXXXXX">'[1]#¡REF'!#REF!</definedName>
    <definedName name="yyyyyyyyy" localSheetId="13">#REF!</definedName>
    <definedName name="yyyyyyyyy" localSheetId="8">#REF!</definedName>
    <definedName name="yyyyyyyyy">#REF!</definedName>
    <definedName name="Z" localSheetId="13">#REF!</definedName>
    <definedName name="Z" localSheetId="8">#REF!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81029"/>
  <fileRecoveryPr autoRecover="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D129" i="118" l="1"/>
  <c r="R126" i="118"/>
  <c r="R125" i="118"/>
  <c r="R124" i="118"/>
  <c r="N46" i="136" l="1"/>
  <c r="M46" i="136"/>
  <c r="H32" i="136"/>
  <c r="H31" i="136"/>
  <c r="H30" i="136"/>
  <c r="H29" i="136"/>
  <c r="K19" i="136"/>
  <c r="N18" i="136"/>
  <c r="O18" i="136" s="1"/>
  <c r="M18" i="136"/>
  <c r="M19" i="136" s="1"/>
  <c r="I18" i="136"/>
  <c r="H18" i="136"/>
  <c r="U18" i="136" s="1"/>
  <c r="T17" i="136"/>
  <c r="I17" i="136"/>
  <c r="H17" i="136"/>
  <c r="U17" i="136" s="1"/>
  <c r="V17" i="136" s="1"/>
  <c r="T16" i="136"/>
  <c r="I16" i="136"/>
  <c r="H16" i="136"/>
  <c r="U16" i="136" s="1"/>
  <c r="T15" i="136"/>
  <c r="I15" i="136"/>
  <c r="H15" i="136"/>
  <c r="U15" i="136" s="1"/>
  <c r="Q18" i="136" l="1"/>
  <c r="R18" i="136" s="1"/>
  <c r="T18" i="136" s="1"/>
  <c r="V18" i="136" s="1"/>
  <c r="P18" i="136"/>
  <c r="V15" i="136"/>
  <c r="V16" i="136"/>
  <c r="H19" i="136"/>
  <c r="K26" i="136" s="1"/>
  <c r="I19" i="136"/>
  <c r="L19" i="136" s="1"/>
  <c r="M40" i="136"/>
  <c r="S18" i="136" l="1"/>
  <c r="M26" i="136"/>
  <c r="O19" i="136"/>
  <c r="N19" i="136" s="1"/>
  <c r="N43" i="136" s="1"/>
  <c r="O43" i="136" s="1"/>
  <c r="J19" i="136"/>
  <c r="K20" i="136" s="1"/>
  <c r="R19" i="136"/>
  <c r="M20" i="136"/>
  <c r="M21" i="136"/>
  <c r="H45" i="136"/>
  <c r="F47" i="136"/>
  <c r="E47" i="136" s="1"/>
  <c r="H28" i="136"/>
  <c r="W19" i="136"/>
  <c r="F46" i="136"/>
  <c r="E46" i="136" s="1"/>
  <c r="N48" i="136"/>
  <c r="I22" i="136"/>
  <c r="I23" i="136" s="1"/>
  <c r="T23" i="136" s="1"/>
  <c r="I40" i="136"/>
  <c r="P26" i="136" l="1"/>
  <c r="P44" i="136"/>
  <c r="K21" i="136"/>
  <c r="O21" i="136" s="1"/>
  <c r="R21" i="136" s="1"/>
  <c r="M22" i="136"/>
  <c r="M23" i="136" s="1"/>
  <c r="L23" i="136" s="1"/>
  <c r="O20" i="136"/>
  <c r="K45" i="136"/>
  <c r="P41" i="136"/>
  <c r="S26" i="136"/>
  <c r="T22" i="136"/>
  <c r="T19" i="136"/>
  <c r="X19" i="136" s="1"/>
  <c r="S19" i="136"/>
  <c r="K22" i="136" l="1"/>
  <c r="K23" i="136" s="1"/>
  <c r="J23" i="136" s="1"/>
  <c r="R20" i="136"/>
  <c r="R22" i="136" s="1"/>
  <c r="R23" i="136" s="1"/>
  <c r="O22" i="136"/>
  <c r="O23" i="136" s="1"/>
  <c r="W23" i="136" l="1"/>
  <c r="X23" i="136" s="1"/>
  <c r="N23" i="136"/>
  <c r="S44" i="136"/>
  <c r="S23" i="136"/>
  <c r="H30" i="127" l="1"/>
  <c r="J30" i="127" s="1"/>
  <c r="K30" i="127" s="1"/>
  <c r="G30" i="127"/>
  <c r="I30" i="127" l="1"/>
  <c r="I124" i="118" l="1"/>
  <c r="I17" i="123" l="1"/>
  <c r="I18" i="123"/>
  <c r="I19" i="123"/>
  <c r="I20" i="123"/>
  <c r="I21" i="123"/>
  <c r="I22" i="123"/>
  <c r="I25" i="123"/>
  <c r="I27" i="123"/>
  <c r="I28" i="123"/>
  <c r="I30" i="123"/>
  <c r="I31" i="123"/>
  <c r="I34" i="123"/>
  <c r="I35" i="123"/>
  <c r="I37" i="123"/>
  <c r="I38" i="123"/>
  <c r="I39" i="123"/>
  <c r="I41" i="123"/>
  <c r="I42" i="123"/>
  <c r="I43" i="123"/>
  <c r="I45" i="123"/>
  <c r="I46" i="123"/>
  <c r="I47" i="123"/>
  <c r="I49" i="123"/>
  <c r="I50" i="123"/>
  <c r="I51" i="123"/>
  <c r="I52" i="123"/>
  <c r="I53" i="123"/>
  <c r="I54" i="123"/>
  <c r="I55" i="123"/>
  <c r="I56" i="123"/>
  <c r="I57" i="123"/>
  <c r="I58" i="123"/>
  <c r="I59" i="123"/>
  <c r="I60" i="123"/>
  <c r="I61" i="123"/>
  <c r="I62" i="123"/>
  <c r="I63" i="123"/>
  <c r="I64" i="123"/>
  <c r="I65" i="123"/>
  <c r="I66" i="123"/>
  <c r="I67" i="123"/>
  <c r="I68" i="123"/>
  <c r="I69" i="123"/>
  <c r="I70" i="123"/>
  <c r="I71" i="123"/>
  <c r="I72" i="123"/>
  <c r="I73" i="123"/>
  <c r="I74" i="123"/>
  <c r="I75" i="123"/>
  <c r="I76" i="123"/>
  <c r="I77" i="123"/>
  <c r="I78" i="123"/>
  <c r="I79" i="123"/>
  <c r="I80" i="123"/>
  <c r="I81" i="123"/>
  <c r="I82" i="123"/>
  <c r="I83" i="123"/>
  <c r="I84" i="123"/>
  <c r="I85" i="123"/>
  <c r="I86" i="123"/>
  <c r="I87" i="123"/>
  <c r="I89" i="123"/>
  <c r="I92" i="123"/>
  <c r="I93" i="123"/>
  <c r="I94" i="123"/>
  <c r="I95" i="123"/>
  <c r="I96" i="123"/>
  <c r="I97" i="123"/>
  <c r="I98" i="123"/>
  <c r="I99" i="123"/>
  <c r="I100" i="123"/>
  <c r="I101" i="123"/>
  <c r="I102" i="123"/>
  <c r="I103" i="123"/>
  <c r="I104" i="123"/>
  <c r="I105" i="123"/>
  <c r="I106" i="123"/>
  <c r="I107" i="123"/>
  <c r="I108" i="123"/>
  <c r="I109" i="123"/>
  <c r="I110" i="123"/>
  <c r="I113" i="123"/>
  <c r="I114" i="123"/>
  <c r="I115" i="123"/>
  <c r="I116" i="123"/>
  <c r="I117" i="123"/>
  <c r="I118" i="123"/>
  <c r="I119" i="123"/>
  <c r="I120" i="123"/>
  <c r="I121" i="123"/>
  <c r="I122" i="123"/>
  <c r="I123" i="123"/>
  <c r="I124" i="123"/>
  <c r="I125" i="123"/>
  <c r="I126" i="123"/>
  <c r="I127" i="123"/>
  <c r="I128" i="123"/>
  <c r="I129" i="123"/>
  <c r="I130" i="123"/>
  <c r="I131" i="123"/>
  <c r="I132" i="123"/>
  <c r="I133" i="123"/>
  <c r="I134" i="123"/>
  <c r="I135" i="123"/>
  <c r="I136" i="123"/>
  <c r="I137" i="123"/>
  <c r="I138" i="123"/>
  <c r="I139" i="123"/>
  <c r="I140" i="123"/>
  <c r="I141" i="123"/>
  <c r="I142" i="123"/>
  <c r="I143" i="123"/>
  <c r="I144" i="123"/>
  <c r="I145" i="123"/>
  <c r="I146" i="123"/>
  <c r="I147" i="123"/>
  <c r="I148" i="123"/>
  <c r="I149" i="123"/>
  <c r="I150" i="123"/>
  <c r="I154" i="123"/>
  <c r="I155" i="123"/>
  <c r="I156" i="123"/>
  <c r="I157" i="123"/>
  <c r="I158" i="123"/>
  <c r="I159" i="123"/>
  <c r="I160" i="123"/>
  <c r="I161" i="123"/>
  <c r="I162" i="123"/>
  <c r="I163" i="123"/>
  <c r="I164" i="123"/>
  <c r="I165" i="123"/>
  <c r="I166" i="123"/>
  <c r="I167" i="123"/>
  <c r="I168" i="123"/>
  <c r="I169" i="123"/>
  <c r="I170" i="123"/>
  <c r="I171" i="123"/>
  <c r="I172" i="123"/>
  <c r="I173" i="123"/>
  <c r="I174" i="123"/>
  <c r="I175" i="123"/>
  <c r="I176" i="123"/>
  <c r="I177" i="123"/>
  <c r="I178" i="123"/>
  <c r="I179" i="123"/>
  <c r="I180" i="123"/>
  <c r="I181" i="123"/>
  <c r="I182" i="123"/>
  <c r="I183" i="123"/>
  <c r="I184" i="123"/>
  <c r="I185" i="123"/>
  <c r="I186" i="123"/>
  <c r="I187" i="123"/>
  <c r="I188" i="123"/>
  <c r="I189" i="123"/>
  <c r="I190" i="123"/>
  <c r="I191" i="123"/>
  <c r="I192" i="123"/>
  <c r="I193" i="123"/>
  <c r="I194" i="123"/>
  <c r="I195" i="123"/>
  <c r="I196" i="123"/>
  <c r="I197" i="123"/>
  <c r="I198" i="123"/>
  <c r="I199" i="123"/>
  <c r="I200" i="123"/>
  <c r="I201" i="123"/>
  <c r="I202" i="123"/>
  <c r="I203" i="123"/>
  <c r="I204" i="123"/>
  <c r="I205" i="123"/>
  <c r="I206" i="123"/>
  <c r="I207" i="123"/>
  <c r="I208" i="123"/>
  <c r="I209" i="123"/>
  <c r="I210" i="123"/>
  <c r="I211" i="123"/>
  <c r="I212" i="123"/>
  <c r="I213" i="123"/>
  <c r="I214" i="123"/>
  <c r="I215" i="123"/>
  <c r="I216" i="123"/>
  <c r="I217" i="123"/>
  <c r="I218" i="123"/>
  <c r="I219" i="123"/>
  <c r="I220" i="123"/>
  <c r="I221" i="123"/>
  <c r="I222" i="123"/>
  <c r="I223" i="123"/>
  <c r="I224" i="123"/>
  <c r="I225" i="123"/>
  <c r="I226" i="123"/>
  <c r="I227" i="123"/>
  <c r="I228" i="123"/>
  <c r="I229" i="123"/>
  <c r="I230" i="123"/>
  <c r="I231" i="123"/>
  <c r="I232" i="123"/>
  <c r="I233" i="123"/>
  <c r="I234" i="123"/>
  <c r="I235" i="123"/>
  <c r="I236" i="123"/>
  <c r="I237" i="123"/>
  <c r="I238" i="123"/>
  <c r="I239" i="123"/>
  <c r="I240" i="123"/>
  <c r="I241" i="123"/>
  <c r="I242" i="123"/>
  <c r="I243" i="123"/>
  <c r="I244" i="123"/>
  <c r="I245" i="123"/>
  <c r="I246" i="123"/>
  <c r="I247" i="123"/>
  <c r="I248" i="123"/>
  <c r="I249" i="123"/>
  <c r="I250" i="123"/>
  <c r="I251" i="123"/>
  <c r="I253" i="123"/>
  <c r="I254" i="123"/>
  <c r="I255" i="123"/>
  <c r="I257" i="123"/>
  <c r="AP17" i="72" l="1"/>
  <c r="AP23" i="72"/>
  <c r="AP28" i="72"/>
  <c r="AP32" i="72"/>
  <c r="AP71" i="72"/>
  <c r="AP73" i="72"/>
  <c r="AP80" i="72"/>
  <c r="AP81" i="72"/>
  <c r="AP88" i="72"/>
  <c r="AP89" i="72"/>
  <c r="AP91" i="72"/>
  <c r="AP93" i="72"/>
  <c r="AP96" i="72"/>
  <c r="AP99" i="72"/>
  <c r="AP104" i="72"/>
  <c r="AP107" i="72"/>
  <c r="AP110" i="72"/>
  <c r="AP118" i="72"/>
  <c r="AP119" i="72"/>
  <c r="AP122" i="72"/>
  <c r="AP126" i="72"/>
  <c r="AP130" i="72"/>
  <c r="AP137" i="72"/>
  <c r="AP141" i="72"/>
  <c r="AP145" i="72"/>
  <c r="AP149" i="72"/>
  <c r="AP153" i="72"/>
  <c r="AP158" i="72"/>
  <c r="AP163" i="72"/>
  <c r="AP168" i="72"/>
  <c r="AP173" i="72"/>
  <c r="AP178" i="72"/>
  <c r="AP183" i="72"/>
  <c r="AP187" i="72"/>
  <c r="AP191" i="72"/>
  <c r="AP195" i="72"/>
  <c r="AP199" i="72"/>
  <c r="AP203" i="72"/>
  <c r="AP207" i="72"/>
  <c r="AP208" i="72"/>
  <c r="AP213" i="72"/>
  <c r="AP217" i="72"/>
  <c r="AP218" i="72"/>
  <c r="AP223" i="72"/>
  <c r="AP229" i="72"/>
  <c r="AP230" i="72"/>
  <c r="AP235" i="72"/>
  <c r="AP244" i="72"/>
  <c r="AP255" i="72"/>
  <c r="AP266" i="72"/>
  <c r="AP270" i="72"/>
  <c r="AP276" i="72"/>
  <c r="AP279" i="72"/>
  <c r="AP280" i="72"/>
  <c r="AP288" i="72"/>
  <c r="AP311" i="72"/>
  <c r="AP314" i="72"/>
  <c r="AP315" i="72"/>
  <c r="AP317" i="72"/>
  <c r="AP331" i="72"/>
  <c r="AP336" i="72"/>
  <c r="AP337" i="72"/>
  <c r="AP341" i="72"/>
  <c r="AP346" i="72"/>
  <c r="AP354" i="72"/>
  <c r="AP355" i="72"/>
  <c r="AP359" i="72"/>
  <c r="AP364" i="72"/>
  <c r="AP374" i="72"/>
  <c r="AP383" i="72"/>
  <c r="AP394" i="72"/>
  <c r="AP398" i="72"/>
  <c r="AP413" i="72"/>
  <c r="AP417" i="72"/>
  <c r="AP424" i="72"/>
  <c r="AP430" i="72"/>
  <c r="AP441" i="72"/>
  <c r="AP442" i="72"/>
  <c r="AP443" i="72"/>
  <c r="AP451" i="72"/>
  <c r="AP473" i="72"/>
  <c r="AP475" i="72"/>
  <c r="AP477" i="72"/>
  <c r="AP478" i="72"/>
  <c r="AP481" i="72"/>
  <c r="AP488" i="72"/>
  <c r="AP491" i="72"/>
  <c r="AP513" i="72"/>
  <c r="AP521" i="72"/>
  <c r="AP525" i="72"/>
  <c r="AP526" i="72"/>
  <c r="AP535" i="72"/>
  <c r="AP551" i="72"/>
  <c r="AP559" i="72"/>
  <c r="AP560" i="72"/>
  <c r="AP565" i="72"/>
  <c r="AP572" i="72"/>
  <c r="AP576" i="72"/>
  <c r="AP594" i="72"/>
  <c r="AP599" i="72"/>
  <c r="AP604" i="72"/>
  <c r="AP605" i="72"/>
  <c r="AP611" i="72"/>
  <c r="AP614" i="72"/>
  <c r="AP617" i="72"/>
  <c r="AP618" i="72"/>
  <c r="AP645" i="72"/>
  <c r="AP664" i="72"/>
  <c r="AP668" i="72"/>
  <c r="AP678" i="72"/>
  <c r="AP681" i="72"/>
  <c r="AP684" i="72"/>
  <c r="AP685" i="72"/>
  <c r="AP692" i="72"/>
  <c r="AP695" i="72"/>
  <c r="AP697" i="72"/>
  <c r="AP700" i="72"/>
  <c r="AP704" i="72"/>
  <c r="AP707" i="72"/>
  <c r="AP710" i="72"/>
  <c r="AP713" i="72"/>
  <c r="AP714" i="72"/>
  <c r="AP717" i="72"/>
  <c r="AP720" i="72"/>
  <c r="AP722" i="72"/>
  <c r="AP723" i="72"/>
  <c r="AP725" i="72"/>
  <c r="AP727" i="72"/>
  <c r="AP729" i="72"/>
  <c r="AP731" i="72"/>
  <c r="AP732" i="72"/>
  <c r="AP733" i="72"/>
  <c r="AP734" i="72"/>
  <c r="AP735" i="72"/>
  <c r="AP743" i="72"/>
  <c r="AP745" i="72"/>
  <c r="AP747" i="72"/>
  <c r="AP751" i="72"/>
  <c r="AP757" i="72"/>
  <c r="AP759" i="72"/>
  <c r="AP762" i="72"/>
  <c r="AP765" i="72"/>
  <c r="AP774" i="72"/>
  <c r="AP775" i="72"/>
  <c r="AP779" i="72"/>
  <c r="AP781" i="72"/>
  <c r="AP783" i="72"/>
  <c r="AP785" i="72"/>
  <c r="AP787" i="72"/>
  <c r="AP790" i="72"/>
  <c r="AP800" i="72"/>
  <c r="AP801" i="72"/>
  <c r="AP803" i="72"/>
  <c r="AP807" i="72"/>
  <c r="AP815" i="72"/>
  <c r="AP816" i="72"/>
  <c r="AP818" i="72"/>
  <c r="AP820" i="72"/>
  <c r="AP823" i="72"/>
  <c r="AP825" i="72"/>
  <c r="AP826" i="72"/>
  <c r="AP828" i="72"/>
  <c r="AP830" i="72"/>
  <c r="AP835" i="72"/>
  <c r="F14" i="129" l="1"/>
  <c r="L94" i="118" l="1"/>
  <c r="AU89" i="118"/>
  <c r="M22" i="127" l="1"/>
  <c r="M24" i="127"/>
  <c r="M25" i="127"/>
  <c r="M31" i="127"/>
  <c r="M41" i="127"/>
  <c r="G139" i="118" l="1"/>
  <c r="AT124" i="118"/>
  <c r="AR124" i="118"/>
  <c r="AS124" i="118"/>
  <c r="O129" i="118" l="1"/>
  <c r="R129" i="118"/>
  <c r="AQ50" i="118"/>
  <c r="AB43" i="118" l="1"/>
  <c r="T18" i="123" l="1"/>
  <c r="N41" i="127" l="1"/>
  <c r="D74" i="127"/>
  <c r="N31" i="127"/>
  <c r="D14" i="127"/>
  <c r="D39" i="127"/>
  <c r="D38" i="127"/>
  <c r="D36" i="127"/>
  <c r="D35" i="127"/>
  <c r="D34" i="127"/>
  <c r="D33" i="127"/>
  <c r="D29" i="127"/>
  <c r="D20" i="127"/>
  <c r="D19" i="127"/>
  <c r="D18" i="127"/>
  <c r="D17" i="127"/>
  <c r="D16" i="127"/>
  <c r="D15" i="127"/>
  <c r="F40" i="127" l="1"/>
  <c r="D40" i="127"/>
  <c r="D37" i="127"/>
  <c r="D28" i="127"/>
  <c r="D27" i="127"/>
  <c r="F12" i="127"/>
  <c r="H12" i="127" s="1"/>
  <c r="J12" i="127" s="1"/>
  <c r="G40" i="127" l="1"/>
  <c r="D26" i="127"/>
  <c r="H40" i="127"/>
  <c r="E40" i="127"/>
  <c r="D13" i="127"/>
  <c r="D32" i="127"/>
  <c r="M40" i="127" l="1"/>
  <c r="I40" i="127"/>
  <c r="J40" i="127"/>
  <c r="K40" i="127" l="1"/>
  <c r="N40" i="127"/>
  <c r="V865" i="72"/>
  <c r="Q140" i="118"/>
  <c r="S140" i="118"/>
  <c r="AA140" i="118" l="1"/>
  <c r="AG140" i="118" s="1"/>
  <c r="Y140" i="118"/>
  <c r="AR92" i="118"/>
  <c r="AI140" i="118" l="1"/>
  <c r="AN140" i="118" s="1"/>
  <c r="AQ95" i="118"/>
  <c r="AV123" i="118" l="1"/>
  <c r="F113" i="131" l="1"/>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5" i="133"/>
  <c r="F126" i="133"/>
  <c r="F128" i="133"/>
  <c r="F129" i="133"/>
  <c r="F130" i="133"/>
  <c r="F131" i="133"/>
  <c r="F132" i="133"/>
  <c r="F133" i="133"/>
  <c r="F135" i="133"/>
  <c r="F136" i="133"/>
  <c r="F138" i="133"/>
  <c r="F139" i="133"/>
  <c r="F141" i="133"/>
  <c r="F143" i="133"/>
  <c r="F147" i="133"/>
  <c r="F148" i="133"/>
  <c r="F149" i="133"/>
  <c r="F150" i="133"/>
  <c r="F151"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70" i="131"/>
  <c r="F471" i="131"/>
  <c r="F472" i="131"/>
  <c r="F474" i="131"/>
  <c r="F475" i="131"/>
  <c r="F476" i="131"/>
  <c r="F478" i="131"/>
  <c r="F479" i="131"/>
  <c r="F481" i="131"/>
  <c r="F482" i="131"/>
  <c r="F483"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09" i="131"/>
  <c r="X124" i="118" l="1"/>
  <c r="AQ125" i="118"/>
  <c r="F244" i="133" l="1"/>
  <c r="F237" i="133"/>
  <c r="F235" i="133"/>
  <c r="F236" i="133"/>
  <c r="F205" i="133"/>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I409" i="72" l="1"/>
  <c r="J409" i="72"/>
  <c r="N409" i="72"/>
  <c r="L409" i="72" s="1"/>
  <c r="O409" i="72" s="1"/>
  <c r="V409" i="72"/>
  <c r="X409" i="72" s="1"/>
  <c r="AP409" i="72" s="1"/>
  <c r="AH409" i="72"/>
  <c r="Q409" i="72" l="1"/>
  <c r="R409" i="72" s="1"/>
  <c r="P409" i="72"/>
  <c r="W409" i="72"/>
  <c r="AF409" i="72" l="1"/>
  <c r="Y409" i="72"/>
  <c r="Z409" i="72"/>
  <c r="AA409" i="72" s="1"/>
  <c r="AD409" i="72" l="1"/>
  <c r="AC409" i="72"/>
  <c r="AB409" i="72"/>
  <c r="F104" i="132" l="1"/>
  <c r="F110" i="132"/>
  <c r="G109" i="132"/>
  <c r="F108" i="132"/>
  <c r="F107" i="132"/>
  <c r="F109" i="132" l="1"/>
  <c r="AT133" i="118" l="1"/>
  <c r="AT131" i="118"/>
  <c r="L129" i="118"/>
  <c r="AV126" i="118" s="1"/>
  <c r="AR30" i="72" l="1"/>
  <c r="AR31" i="72"/>
  <c r="G133" i="118" l="1"/>
  <c r="V69" i="118" l="1"/>
  <c r="V67" i="118"/>
  <c r="L91" i="118" l="1"/>
  <c r="AQ93" i="118" l="1"/>
  <c r="AU91" i="118"/>
  <c r="AA128" i="118"/>
  <c r="AA127" i="118"/>
  <c r="X850" i="72" l="1"/>
  <c r="X849" i="72"/>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2" i="132" l="1"/>
  <c r="B131" i="132"/>
  <c r="AQ102"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821" i="72" l="1"/>
  <c r="V18" i="72" l="1"/>
  <c r="V102" i="123" l="1"/>
  <c r="Y178" i="125" l="1"/>
  <c r="Y179" i="125"/>
  <c r="Y180" i="125"/>
  <c r="Y181" i="125"/>
  <c r="Y177" i="125"/>
  <c r="W179" i="125" l="1"/>
  <c r="W180" i="125"/>
  <c r="W181" i="125"/>
  <c r="W178" i="125"/>
  <c r="F125" i="118" l="1"/>
  <c r="I125" i="118" s="1"/>
  <c r="K258" i="123" l="1"/>
  <c r="AS841" i="72"/>
  <c r="AS842" i="72"/>
  <c r="AS843" i="72"/>
  <c r="AS844" i="72"/>
  <c r="AS845" i="72"/>
  <c r="AS846" i="72"/>
  <c r="AS848" i="72"/>
  <c r="AS849" i="72"/>
  <c r="AS850" i="72"/>
  <c r="AS851" i="72"/>
  <c r="AS840" i="72"/>
  <c r="R43" i="127"/>
  <c r="V147" i="72"/>
  <c r="AR147" i="72" l="1"/>
  <c r="R22" i="127"/>
  <c r="R24" i="127"/>
  <c r="R25" i="127"/>
  <c r="R31" i="127"/>
  <c r="R41" i="127"/>
  <c r="Q22" i="127"/>
  <c r="Q24" i="127"/>
  <c r="Q25" i="127"/>
  <c r="Q31" i="127"/>
  <c r="Q41" i="127"/>
  <c r="G95" i="118" l="1"/>
  <c r="G94" i="118"/>
  <c r="G93" i="118"/>
  <c r="G92" i="118"/>
  <c r="G91" i="118"/>
  <c r="G89" i="118"/>
  <c r="G90" i="118" l="1"/>
  <c r="AR95" i="118" s="1"/>
  <c r="H68" i="127"/>
  <c r="J68" i="127" s="1"/>
  <c r="M68" i="127" s="1"/>
  <c r="H67" i="127"/>
  <c r="J67" i="127" s="1"/>
  <c r="F66" i="127"/>
  <c r="D66" i="127"/>
  <c r="C66" i="127"/>
  <c r="F63" i="127"/>
  <c r="D63" i="127"/>
  <c r="C63" i="127"/>
  <c r="F62" i="127"/>
  <c r="D62" i="127"/>
  <c r="C62" i="127"/>
  <c r="F61" i="127"/>
  <c r="D61" i="127"/>
  <c r="C61" i="127"/>
  <c r="F59" i="127"/>
  <c r="F58" i="127"/>
  <c r="D58" i="127"/>
  <c r="C58" i="127"/>
  <c r="F57" i="127"/>
  <c r="D57" i="127"/>
  <c r="C57" i="127"/>
  <c r="H54" i="127"/>
  <c r="J54" i="127" s="1"/>
  <c r="F54" i="127"/>
  <c r="G54" i="127" s="1"/>
  <c r="D54" i="127"/>
  <c r="E54" i="127" s="1"/>
  <c r="H53" i="127"/>
  <c r="J53" i="127" s="1"/>
  <c r="F53" i="127"/>
  <c r="G53" i="127" s="1"/>
  <c r="D53" i="127"/>
  <c r="E53" i="127" s="1"/>
  <c r="H52" i="127"/>
  <c r="J52" i="127" s="1"/>
  <c r="K52" i="127" s="1"/>
  <c r="F52" i="127"/>
  <c r="G52" i="127" s="1"/>
  <c r="D52" i="127"/>
  <c r="E52" i="127" s="1"/>
  <c r="H51" i="127"/>
  <c r="J51" i="127" s="1"/>
  <c r="F51" i="127"/>
  <c r="G51" i="127" s="1"/>
  <c r="D51" i="127"/>
  <c r="E51" i="127" s="1"/>
  <c r="H50" i="127"/>
  <c r="I50" i="127" s="1"/>
  <c r="F50" i="127"/>
  <c r="G50" i="127" s="1"/>
  <c r="D50" i="127"/>
  <c r="E50" i="127" s="1"/>
  <c r="H49" i="127"/>
  <c r="I49" i="127" s="1"/>
  <c r="F49" i="127"/>
  <c r="G49" i="127" s="1"/>
  <c r="D49" i="127"/>
  <c r="E49" i="127" s="1"/>
  <c r="H48" i="127"/>
  <c r="J48" i="127" s="1"/>
  <c r="F48" i="127"/>
  <c r="G48" i="127" s="1"/>
  <c r="D48" i="127"/>
  <c r="E48" i="127" s="1"/>
  <c r="H47" i="127"/>
  <c r="J47" i="127" s="1"/>
  <c r="F47" i="127"/>
  <c r="G47" i="127" s="1"/>
  <c r="D47" i="127"/>
  <c r="E47" i="127" s="1"/>
  <c r="H46" i="127"/>
  <c r="J46" i="127" s="1"/>
  <c r="M46" i="127" s="1"/>
  <c r="N49" i="127" s="1"/>
  <c r="F46" i="127"/>
  <c r="G46" i="127" s="1"/>
  <c r="D46" i="127"/>
  <c r="E46" i="127" s="1"/>
  <c r="H45" i="127"/>
  <c r="I45" i="127" s="1"/>
  <c r="F45" i="127"/>
  <c r="G45" i="127" s="1"/>
  <c r="D45" i="127"/>
  <c r="E45" i="127" s="1"/>
  <c r="C44" i="127"/>
  <c r="Q16" i="127" l="1"/>
  <c r="Q17" i="127"/>
  <c r="Q18" i="127"/>
  <c r="Q19" i="127"/>
  <c r="Q15" i="127"/>
  <c r="Q20" i="127"/>
  <c r="Q14" i="127"/>
  <c r="D56" i="127"/>
  <c r="Q40" i="127"/>
  <c r="G61" i="127"/>
  <c r="J50" i="127"/>
  <c r="M50" i="127" s="1"/>
  <c r="G58" i="127"/>
  <c r="G57" i="127"/>
  <c r="E62" i="127"/>
  <c r="I46" i="127"/>
  <c r="H57" i="127"/>
  <c r="I57" i="127" s="1"/>
  <c r="J45" i="127"/>
  <c r="E58" i="127"/>
  <c r="G62" i="127"/>
  <c r="J49" i="127"/>
  <c r="C56" i="127"/>
  <c r="C60" i="127"/>
  <c r="C59" i="127" s="1"/>
  <c r="E63" i="127"/>
  <c r="D44" i="127"/>
  <c r="E44" i="127" s="1"/>
  <c r="E57" i="127"/>
  <c r="D60" i="127"/>
  <c r="H60" i="127" s="1"/>
  <c r="H59" i="127" s="1"/>
  <c r="G63" i="127"/>
  <c r="M51" i="127"/>
  <c r="N51" i="127" s="1"/>
  <c r="K51" i="127"/>
  <c r="M53" i="127"/>
  <c r="N54" i="127" s="1"/>
  <c r="K53" i="127"/>
  <c r="M48" i="127"/>
  <c r="N50" i="127" s="1"/>
  <c r="K48" i="127"/>
  <c r="M67" i="127"/>
  <c r="J66" i="127"/>
  <c r="M47" i="127"/>
  <c r="N48" i="127" s="1"/>
  <c r="K47" i="127"/>
  <c r="M54" i="127"/>
  <c r="N53" i="127" s="1"/>
  <c r="K54" i="127"/>
  <c r="F44" i="127"/>
  <c r="K46" i="127"/>
  <c r="I47" i="127"/>
  <c r="I51" i="127"/>
  <c r="H58" i="127"/>
  <c r="I58" i="127" s="1"/>
  <c r="E61" i="127"/>
  <c r="H66" i="127"/>
  <c r="H44" i="127"/>
  <c r="I48" i="127"/>
  <c r="I52" i="127"/>
  <c r="I53" i="127"/>
  <c r="I54" i="127"/>
  <c r="F56" i="127"/>
  <c r="L83" i="118" l="1"/>
  <c r="AU83" i="118" s="1"/>
  <c r="Q13" i="127"/>
  <c r="J57" i="127"/>
  <c r="M57" i="127" s="1"/>
  <c r="J44" i="127"/>
  <c r="K44" i="127" s="1"/>
  <c r="K50" i="127"/>
  <c r="D59" i="127"/>
  <c r="D55" i="127" s="1"/>
  <c r="D69" i="127" s="1"/>
  <c r="C55" i="127"/>
  <c r="C74" i="127" s="1"/>
  <c r="K49" i="127"/>
  <c r="M49" i="127"/>
  <c r="N47" i="127" s="1"/>
  <c r="M45" i="127"/>
  <c r="K45" i="127"/>
  <c r="J58" i="127"/>
  <c r="F55" i="127"/>
  <c r="H56" i="127"/>
  <c r="H55" i="127" s="1"/>
  <c r="J60" i="127"/>
  <c r="G44" i="127"/>
  <c r="I44" i="127"/>
  <c r="C69" i="127" l="1"/>
  <c r="E69" i="127" s="1"/>
  <c r="R40" i="127"/>
  <c r="J56" i="127"/>
  <c r="K57" i="127"/>
  <c r="I55" i="127"/>
  <c r="E55" i="127"/>
  <c r="G55" i="127"/>
  <c r="H69" i="127"/>
  <c r="F69" i="127"/>
  <c r="M60" i="127"/>
  <c r="N45" i="127" s="1"/>
  <c r="J59" i="127"/>
  <c r="M58" i="127"/>
  <c r="N46" i="127" s="1"/>
  <c r="K58" i="127"/>
  <c r="I69" i="127" l="1"/>
  <c r="J55" i="127"/>
  <c r="K55" i="127" s="1"/>
  <c r="N55" i="127"/>
  <c r="G69" i="127"/>
  <c r="J69" i="127" l="1"/>
  <c r="K69" i="127" l="1"/>
  <c r="AA850" i="72"/>
  <c r="K38" i="126"/>
  <c r="L92" i="118" s="1"/>
  <c r="AU92"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M34" i="126"/>
  <c r="I34" i="126"/>
  <c r="H34" i="126"/>
  <c r="U34" i="126" s="1"/>
  <c r="N33" i="126"/>
  <c r="O33" i="126" s="1"/>
  <c r="M33" i="126"/>
  <c r="I33" i="126"/>
  <c r="H33" i="126"/>
  <c r="U33" i="126" s="1"/>
  <c r="N32" i="126"/>
  <c r="O32" i="126" s="1"/>
  <c r="M32" i="126"/>
  <c r="I32" i="126"/>
  <c r="H32" i="126"/>
  <c r="U32" i="126" s="1"/>
  <c r="N30" i="126"/>
  <c r="Q30" i="126" s="1"/>
  <c r="R30" i="126" s="1"/>
  <c r="M30" i="126"/>
  <c r="I30" i="126"/>
  <c r="H30" i="126"/>
  <c r="U30"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M16" i="126"/>
  <c r="I16" i="126"/>
  <c r="H16" i="126"/>
  <c r="U16" i="126" s="1"/>
  <c r="P32" i="126" l="1"/>
  <c r="P34" i="126"/>
  <c r="P22" i="126"/>
  <c r="Q28" i="126"/>
  <c r="R28" i="126" s="1"/>
  <c r="S28" i="126" s="1"/>
  <c r="P36" i="126"/>
  <c r="P16" i="126"/>
  <c r="P19" i="126"/>
  <c r="O26" i="126"/>
  <c r="P26" i="126" s="1"/>
  <c r="Q22" i="126"/>
  <c r="R22" i="126" s="1"/>
  <c r="S22" i="126" s="1"/>
  <c r="P20" i="126"/>
  <c r="S24" i="126"/>
  <c r="Q20" i="126"/>
  <c r="R20" i="126" s="1"/>
  <c r="T20" i="126" s="1"/>
  <c r="V20" i="126" s="1"/>
  <c r="Q34" i="126"/>
  <c r="R34" i="126" s="1"/>
  <c r="S34" i="126" s="1"/>
  <c r="O30" i="126"/>
  <c r="P30" i="126" s="1"/>
  <c r="P33" i="126"/>
  <c r="U24" i="126"/>
  <c r="Q33" i="126"/>
  <c r="R33" i="126" s="1"/>
  <c r="T33" i="126" s="1"/>
  <c r="V33" i="126" s="1"/>
  <c r="P17" i="126"/>
  <c r="P28" i="126"/>
  <c r="H37" i="126"/>
  <c r="H61" i="126" s="1"/>
  <c r="I37" i="126"/>
  <c r="M37" i="126"/>
  <c r="F23" i="127" s="1"/>
  <c r="V18" i="126"/>
  <c r="K37" i="126"/>
  <c r="D23" i="127" s="1"/>
  <c r="D42" i="127" s="1"/>
  <c r="O24" i="126"/>
  <c r="P24" i="126" s="1"/>
  <c r="O38" i="126"/>
  <c r="R38" i="126" s="1"/>
  <c r="S26" i="126"/>
  <c r="S30" i="126"/>
  <c r="Y15" i="126"/>
  <c r="Y24" i="126" s="1"/>
  <c r="Q16" i="126"/>
  <c r="R16" i="126" s="1"/>
  <c r="S16" i="126" s="1"/>
  <c r="Q36" i="126"/>
  <c r="R36" i="126" s="1"/>
  <c r="T36" i="126" s="1"/>
  <c r="V36" i="126" s="1"/>
  <c r="Q19" i="126"/>
  <c r="R19" i="126" s="1"/>
  <c r="T19" i="126" s="1"/>
  <c r="V19" i="126" s="1"/>
  <c r="U22" i="126"/>
  <c r="Q32" i="126"/>
  <c r="R32" i="126" s="1"/>
  <c r="T32" i="126" s="1"/>
  <c r="V32" i="126" s="1"/>
  <c r="T30" i="126" l="1"/>
  <c r="V30" i="126" s="1"/>
  <c r="T34" i="126"/>
  <c r="V34" i="126" s="1"/>
  <c r="S20" i="126"/>
  <c r="T28" i="126"/>
  <c r="V28" i="126" s="1"/>
  <c r="I57" i="126"/>
  <c r="S33" i="126"/>
  <c r="T22" i="126"/>
  <c r="V22" i="126" s="1"/>
  <c r="D75" i="127"/>
  <c r="D21" i="127"/>
  <c r="W37" i="126"/>
  <c r="M42" i="126"/>
  <c r="H44" i="126"/>
  <c r="Z24" i="126"/>
  <c r="AA24" i="126" s="1"/>
  <c r="H39" i="126"/>
  <c r="T39" i="126" s="1"/>
  <c r="L37" i="126"/>
  <c r="J37" i="126"/>
  <c r="K39" i="126"/>
  <c r="S85" i="118"/>
  <c r="C23" i="127"/>
  <c r="G85" i="118" s="1"/>
  <c r="I39" i="126"/>
  <c r="K42" i="126"/>
  <c r="S36" i="126"/>
  <c r="S19" i="126"/>
  <c r="M39" i="126"/>
  <c r="T24" i="126"/>
  <c r="V24" i="126" s="1"/>
  <c r="T16" i="126"/>
  <c r="V16" i="126" s="1"/>
  <c r="R37" i="126"/>
  <c r="J23" i="127" s="1"/>
  <c r="K23" i="127" s="1"/>
  <c r="T26" i="126"/>
  <c r="V26" i="126" s="1"/>
  <c r="O37" i="126"/>
  <c r="H23" i="127" s="1"/>
  <c r="I23" i="127" s="1"/>
  <c r="S32" i="126"/>
  <c r="L39" i="126" l="1"/>
  <c r="E23" i="127"/>
  <c r="M23" i="127"/>
  <c r="G23" i="127"/>
  <c r="S37" i="126"/>
  <c r="J39" i="126"/>
  <c r="N37" i="126"/>
  <c r="L85" i="118"/>
  <c r="AU85" i="118" s="1"/>
  <c r="Q23" i="127"/>
  <c r="R39" i="126"/>
  <c r="S39" i="126" s="1"/>
  <c r="T37" i="126"/>
  <c r="X37" i="126" s="1"/>
  <c r="S42" i="126"/>
  <c r="P42" i="126"/>
  <c r="O39" i="126"/>
  <c r="N39" i="126" s="1"/>
  <c r="R23" i="127" l="1"/>
  <c r="W39" i="126"/>
  <c r="X39" i="126" s="1"/>
  <c r="N203" i="125" l="1"/>
  <c r="M203" i="125"/>
  <c r="P197" i="125"/>
  <c r="P195" i="125"/>
  <c r="P193" i="125"/>
  <c r="P192" i="125"/>
  <c r="P191" i="125"/>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M144" i="125"/>
  <c r="I144" i="125"/>
  <c r="H144" i="125"/>
  <c r="N143" i="125"/>
  <c r="Q143" i="125" s="1"/>
  <c r="R143" i="125" s="1"/>
  <c r="M143" i="125"/>
  <c r="I143" i="125"/>
  <c r="H143" i="125"/>
  <c r="N142" i="125"/>
  <c r="Q142" i="125" s="1"/>
  <c r="R142" i="125" s="1"/>
  <c r="M142" i="125"/>
  <c r="I142" i="125"/>
  <c r="H142" i="125"/>
  <c r="N141" i="125"/>
  <c r="Q141" i="125" s="1"/>
  <c r="R141" i="125" s="1"/>
  <c r="M141" i="125"/>
  <c r="I141" i="125"/>
  <c r="H141" i="125"/>
  <c r="N140" i="125"/>
  <c r="O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M135" i="125"/>
  <c r="I135" i="125"/>
  <c r="H135" i="125"/>
  <c r="N134" i="125"/>
  <c r="Q134" i="125" s="1"/>
  <c r="R134" i="125" s="1"/>
  <c r="M134" i="125"/>
  <c r="I134" i="125"/>
  <c r="H134" i="125"/>
  <c r="N133" i="125"/>
  <c r="Q133" i="125" s="1"/>
  <c r="R133" i="125" s="1"/>
  <c r="M133" i="125"/>
  <c r="I133" i="125"/>
  <c r="H133" i="125"/>
  <c r="N132" i="125"/>
  <c r="O132" i="125" s="1"/>
  <c r="M132" i="125"/>
  <c r="I132" i="125"/>
  <c r="H132" i="125"/>
  <c r="N131" i="125"/>
  <c r="Q131" i="125" s="1"/>
  <c r="R131" i="125" s="1"/>
  <c r="M131" i="125"/>
  <c r="I131" i="125"/>
  <c r="H131" i="125"/>
  <c r="S130" i="125"/>
  <c r="I130" i="125"/>
  <c r="N129" i="125"/>
  <c r="Q129" i="125" s="1"/>
  <c r="R129" i="125" s="1"/>
  <c r="M129" i="125"/>
  <c r="I129" i="125"/>
  <c r="H129" i="125"/>
  <c r="S128" i="125"/>
  <c r="I128" i="125"/>
  <c r="N127" i="125"/>
  <c r="Q127" i="125" s="1"/>
  <c r="R127" i="125" s="1"/>
  <c r="M127" i="125"/>
  <c r="I127" i="125"/>
  <c r="H127" i="125"/>
  <c r="N126" i="125"/>
  <c r="Q126" i="125" s="1"/>
  <c r="R126" i="125" s="1"/>
  <c r="M126" i="125"/>
  <c r="I126" i="125"/>
  <c r="H126" i="125"/>
  <c r="N125" i="125"/>
  <c r="O125" i="125" s="1"/>
  <c r="M125" i="125"/>
  <c r="I125" i="125"/>
  <c r="H125" i="125"/>
  <c r="N124" i="125"/>
  <c r="O124" i="125" s="1"/>
  <c r="M124" i="125"/>
  <c r="I124" i="125"/>
  <c r="H124" i="125"/>
  <c r="N123" i="125"/>
  <c r="O123" i="125" s="1"/>
  <c r="M123" i="125"/>
  <c r="I123" i="125"/>
  <c r="H123" i="125"/>
  <c r="N122" i="125"/>
  <c r="Q122" i="125" s="1"/>
  <c r="R122" i="125" s="1"/>
  <c r="M122" i="125"/>
  <c r="I122" i="125"/>
  <c r="H122" i="125"/>
  <c r="N121" i="125"/>
  <c r="Q121" i="125" s="1"/>
  <c r="R121" i="125" s="1"/>
  <c r="M121" i="125"/>
  <c r="I121" i="125"/>
  <c r="H121" i="125"/>
  <c r="N120" i="125"/>
  <c r="O120" i="125" s="1"/>
  <c r="M120" i="125"/>
  <c r="I120" i="125"/>
  <c r="H120" i="125"/>
  <c r="S119" i="125"/>
  <c r="I119" i="125"/>
  <c r="N118" i="125"/>
  <c r="Q118" i="125" s="1"/>
  <c r="R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M100" i="125"/>
  <c r="I100" i="125"/>
  <c r="H100" i="125"/>
  <c r="N99" i="125"/>
  <c r="Q99" i="125" s="1"/>
  <c r="R99" i="125" s="1"/>
  <c r="M99" i="125"/>
  <c r="I99" i="125"/>
  <c r="H99" i="125"/>
  <c r="N98" i="125"/>
  <c r="Q98" i="125" s="1"/>
  <c r="R98" i="125" s="1"/>
  <c r="M98" i="125"/>
  <c r="I98" i="125"/>
  <c r="H98" i="125"/>
  <c r="N97" i="125"/>
  <c r="Q97" i="125" s="1"/>
  <c r="R97" i="125" s="1"/>
  <c r="M97" i="125"/>
  <c r="I97" i="125"/>
  <c r="H97" i="125"/>
  <c r="N96" i="125"/>
  <c r="O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M91" i="125"/>
  <c r="I91" i="125"/>
  <c r="H91" i="125"/>
  <c r="N90" i="125"/>
  <c r="Q90" i="125" s="1"/>
  <c r="R90" i="125" s="1"/>
  <c r="M90" i="125"/>
  <c r="I90" i="125"/>
  <c r="H90" i="125"/>
  <c r="N89" i="125"/>
  <c r="Q89" i="125" s="1"/>
  <c r="R89" i="125" s="1"/>
  <c r="M89" i="125"/>
  <c r="I89" i="125"/>
  <c r="H89" i="125"/>
  <c r="N88" i="125"/>
  <c r="O88" i="125" s="1"/>
  <c r="M88" i="125"/>
  <c r="I88" i="125"/>
  <c r="H88" i="125"/>
  <c r="N87" i="125"/>
  <c r="O87" i="125" s="1"/>
  <c r="M87" i="125"/>
  <c r="I87" i="125"/>
  <c r="H87" i="125"/>
  <c r="N86" i="125"/>
  <c r="Q86" i="125" s="1"/>
  <c r="R86" i="125" s="1"/>
  <c r="M86" i="125"/>
  <c r="I86" i="125"/>
  <c r="H86" i="125"/>
  <c r="N85" i="125"/>
  <c r="Q85" i="125" s="1"/>
  <c r="R85" i="125" s="1"/>
  <c r="M85" i="125"/>
  <c r="I85" i="125"/>
  <c r="H85" i="125"/>
  <c r="N84" i="125"/>
  <c r="O84" i="125" s="1"/>
  <c r="M84" i="125"/>
  <c r="I84" i="125"/>
  <c r="H84" i="125"/>
  <c r="N83" i="125"/>
  <c r="Q83" i="125" s="1"/>
  <c r="R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S109" i="125" l="1"/>
  <c r="S118" i="125"/>
  <c r="S83" i="125"/>
  <c r="S85" i="125"/>
  <c r="P87" i="125"/>
  <c r="S89" i="125"/>
  <c r="S91" i="125"/>
  <c r="P96" i="125"/>
  <c r="S98" i="125"/>
  <c r="P100" i="125"/>
  <c r="S102" i="125"/>
  <c r="S122" i="125"/>
  <c r="P124" i="125"/>
  <c r="S126" i="125"/>
  <c r="S131" i="125"/>
  <c r="S133" i="125"/>
  <c r="S135" i="125"/>
  <c r="P140" i="125"/>
  <c r="S142" i="125"/>
  <c r="P144" i="125"/>
  <c r="S165" i="125"/>
  <c r="S175" i="125"/>
  <c r="P186" i="125"/>
  <c r="P27" i="125"/>
  <c r="P31" i="125"/>
  <c r="P80" i="125"/>
  <c r="S82" i="125"/>
  <c r="P84" i="125"/>
  <c r="S86" i="125"/>
  <c r="W22" i="125"/>
  <c r="Q190" i="125"/>
  <c r="R190" i="125" s="1"/>
  <c r="Q44" i="125"/>
  <c r="R44" i="125" s="1"/>
  <c r="S44" i="125" s="1"/>
  <c r="O121" i="125"/>
  <c r="P121" i="125" s="1"/>
  <c r="S62" i="125"/>
  <c r="S75" i="125"/>
  <c r="P88" i="125"/>
  <c r="S90" i="125"/>
  <c r="P92" i="125"/>
  <c r="S97" i="125"/>
  <c r="F38" i="127"/>
  <c r="P123" i="125"/>
  <c r="P125" i="125"/>
  <c r="S127" i="125"/>
  <c r="P132" i="125"/>
  <c r="F39" i="127"/>
  <c r="M206" i="125"/>
  <c r="O79" i="125"/>
  <c r="P79" i="125" s="1"/>
  <c r="P45" i="125"/>
  <c r="S47" i="125"/>
  <c r="P52" i="125"/>
  <c r="S54" i="125"/>
  <c r="S138" i="125"/>
  <c r="S150" i="125"/>
  <c r="S99" i="125"/>
  <c r="S101" i="125"/>
  <c r="P103" i="125"/>
  <c r="S105" i="125"/>
  <c r="S107" i="125"/>
  <c r="P112" i="125"/>
  <c r="S114" i="125"/>
  <c r="S121" i="125"/>
  <c r="P156" i="125"/>
  <c r="P36" i="125"/>
  <c r="P2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9" i="127"/>
  <c r="Q156" i="125"/>
  <c r="R156" i="125" s="1"/>
  <c r="S156" i="125" s="1"/>
  <c r="S173" i="125"/>
  <c r="P180" i="125"/>
  <c r="P182" i="125"/>
  <c r="W17" i="125"/>
  <c r="W19" i="125"/>
  <c r="S39" i="125"/>
  <c r="P43" i="125"/>
  <c r="S49" i="125"/>
  <c r="S66" i="125"/>
  <c r="P68" i="125"/>
  <c r="S70" i="125"/>
  <c r="P72" i="125"/>
  <c r="P77" i="125"/>
  <c r="S79" i="125"/>
  <c r="P104" i="125"/>
  <c r="S106" i="125"/>
  <c r="S111" i="125"/>
  <c r="S113" i="125"/>
  <c r="S115" i="125"/>
  <c r="P120" i="125"/>
  <c r="P137" i="125"/>
  <c r="S146" i="125"/>
  <c r="S159" i="125"/>
  <c r="S161" i="125"/>
  <c r="I191" i="125"/>
  <c r="C38" i="127"/>
  <c r="S30" i="125"/>
  <c r="O47" i="125"/>
  <c r="P47" i="125" s="1"/>
  <c r="P56" i="125"/>
  <c r="S58" i="125"/>
  <c r="P60" i="125"/>
  <c r="S65" i="125"/>
  <c r="S94" i="125"/>
  <c r="P181" i="125"/>
  <c r="S183" i="125"/>
  <c r="O178" i="125"/>
  <c r="P178" i="125"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Q144" i="125"/>
  <c r="R144" i="125" s="1"/>
  <c r="S144" i="125" s="1"/>
  <c r="Q72" i="125"/>
  <c r="R72" i="125" s="1"/>
  <c r="S72" i="125" s="1"/>
  <c r="Q181" i="125"/>
  <c r="Q186" i="125"/>
  <c r="R186" i="125" s="1"/>
  <c r="S186" i="125" s="1"/>
  <c r="Q104" i="125"/>
  <c r="R104" i="125" s="1"/>
  <c r="S104" i="125" s="1"/>
  <c r="Q180" i="125"/>
  <c r="S153" i="125"/>
  <c r="S37" i="125"/>
  <c r="Q39" i="127"/>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C37" i="127" l="1"/>
  <c r="G88" i="118" s="1"/>
  <c r="I199" i="125"/>
  <c r="G38" i="127"/>
  <c r="G39" i="127"/>
  <c r="J38" i="127"/>
  <c r="K38" i="127" s="1"/>
  <c r="F37" i="127"/>
  <c r="P159" i="125"/>
  <c r="H39" i="127"/>
  <c r="P141" i="125"/>
  <c r="H38" i="127"/>
  <c r="M38" i="127" s="1"/>
  <c r="U21" i="125"/>
  <c r="W21" i="125" s="1"/>
  <c r="U23" i="125"/>
  <c r="W23" i="125" s="1"/>
  <c r="I195" i="125"/>
  <c r="I197" i="125" s="1"/>
  <c r="R180" i="125"/>
  <c r="S180" i="125" s="1"/>
  <c r="U180" i="125"/>
  <c r="R181" i="125"/>
  <c r="S181" i="125" s="1"/>
  <c r="U181" i="125"/>
  <c r="L191" i="125"/>
  <c r="M194" i="125" s="1"/>
  <c r="AA22" i="125"/>
  <c r="AB22" i="125" s="1"/>
  <c r="N199" i="125"/>
  <c r="Q37" i="127"/>
  <c r="Q38" i="127"/>
  <c r="U18" i="125"/>
  <c r="W18" i="125" s="1"/>
  <c r="P153" i="125"/>
  <c r="S24" i="125"/>
  <c r="O191" i="125"/>
  <c r="N205" i="125"/>
  <c r="F204" i="125"/>
  <c r="F203" i="125"/>
  <c r="H195" i="125"/>
  <c r="H197" i="125" s="1"/>
  <c r="U197" i="125" s="1"/>
  <c r="X191" i="125"/>
  <c r="H202" i="125"/>
  <c r="D202" i="125"/>
  <c r="J191" i="125"/>
  <c r="S36" i="125"/>
  <c r="G37" i="127" l="1"/>
  <c r="E37" i="127"/>
  <c r="M39" i="127"/>
  <c r="I39" i="127"/>
  <c r="J39" i="127"/>
  <c r="I38" i="127"/>
  <c r="N38" i="127"/>
  <c r="H37" i="127"/>
  <c r="M37" i="127" s="1"/>
  <c r="M193" i="125"/>
  <c r="M196" i="125"/>
  <c r="M192" i="125"/>
  <c r="S95" i="118" s="1"/>
  <c r="R191" i="125"/>
  <c r="Q191" i="125" s="1"/>
  <c r="L88" i="118"/>
  <c r="AU88" i="118" s="1"/>
  <c r="S88" i="118"/>
  <c r="R38" i="127"/>
  <c r="O194" i="125"/>
  <c r="R194" i="125" s="1"/>
  <c r="L95" i="118"/>
  <c r="AU95" i="118" s="1"/>
  <c r="N191" i="125"/>
  <c r="N200" i="125" s="1"/>
  <c r="O200" i="125" s="1"/>
  <c r="K39" i="127" l="1"/>
  <c r="N39" i="127"/>
  <c r="J37" i="127"/>
  <c r="K37" i="127" s="1"/>
  <c r="I37" i="127"/>
  <c r="O193" i="125"/>
  <c r="R193" i="125" s="1"/>
  <c r="O196" i="125"/>
  <c r="R196" i="125" s="1"/>
  <c r="M195" i="125"/>
  <c r="M197" i="125" s="1"/>
  <c r="L197" i="125" s="1"/>
  <c r="U195" i="125"/>
  <c r="U191" i="125"/>
  <c r="Y191" i="125" s="1"/>
  <c r="O199" i="125"/>
  <c r="R39" i="127"/>
  <c r="AA88" i="118"/>
  <c r="O192" i="125"/>
  <c r="K202" i="125"/>
  <c r="K195" i="125"/>
  <c r="K197" i="125" s="1"/>
  <c r="J197" i="125" s="1"/>
  <c r="N37" i="127" l="1"/>
  <c r="R37" i="127"/>
  <c r="R192" i="125"/>
  <c r="R195" i="125" s="1"/>
  <c r="R197" i="125" s="1"/>
  <c r="O195" i="125"/>
  <c r="O197" i="125" s="1"/>
  <c r="N197" i="125" l="1"/>
  <c r="X197" i="125"/>
  <c r="Y197" i="125" s="1"/>
  <c r="S201" i="125"/>
  <c r="Q197" i="125"/>
  <c r="N87" i="124" l="1"/>
  <c r="M87" i="124"/>
  <c r="H73" i="124"/>
  <c r="H72" i="124"/>
  <c r="H71" i="124"/>
  <c r="H70" i="124"/>
  <c r="N59" i="124"/>
  <c r="O59" i="124" s="1"/>
  <c r="M59" i="124"/>
  <c r="I59" i="124"/>
  <c r="H59" i="124"/>
  <c r="U59" i="124" s="1"/>
  <c r="N58" i="124"/>
  <c r="Q58" i="124" s="1"/>
  <c r="R58" i="124" s="1"/>
  <c r="M58" i="124"/>
  <c r="I58" i="124"/>
  <c r="H58" i="124"/>
  <c r="U58" i="124" s="1"/>
  <c r="N57" i="124"/>
  <c r="O57" i="124" s="1"/>
  <c r="M57" i="124"/>
  <c r="I57" i="124"/>
  <c r="H57" i="124"/>
  <c r="U57" i="124" s="1"/>
  <c r="N56" i="124"/>
  <c r="O56" i="124" s="1"/>
  <c r="M56" i="124"/>
  <c r="I56" i="124"/>
  <c r="H56" i="124"/>
  <c r="U56" i="124" s="1"/>
  <c r="N55" i="124"/>
  <c r="Q55" i="124" s="1"/>
  <c r="R55" i="124" s="1"/>
  <c r="M55" i="124"/>
  <c r="I55" i="124"/>
  <c r="H55" i="124"/>
  <c r="U55" i="124" s="1"/>
  <c r="T54" i="124"/>
  <c r="N54" i="124"/>
  <c r="M54" i="124"/>
  <c r="I54" i="124"/>
  <c r="H54" i="124"/>
  <c r="U54" i="124" s="1"/>
  <c r="N53" i="124"/>
  <c r="Q53" i="124" s="1"/>
  <c r="R53" i="124" s="1"/>
  <c r="M53" i="124"/>
  <c r="I53" i="124"/>
  <c r="H53" i="124"/>
  <c r="U53" i="124" s="1"/>
  <c r="T52" i="124"/>
  <c r="I52" i="124"/>
  <c r="H52" i="124"/>
  <c r="U52" i="124" s="1"/>
  <c r="T51" i="124"/>
  <c r="I51" i="124"/>
  <c r="H51" i="124"/>
  <c r="U51" i="124" s="1"/>
  <c r="N50" i="124"/>
  <c r="O50" i="124" s="1"/>
  <c r="M50" i="124"/>
  <c r="I50" i="124"/>
  <c r="H50" i="124"/>
  <c r="U50" i="124" s="1"/>
  <c r="T49" i="124"/>
  <c r="I49" i="124"/>
  <c r="H49" i="124"/>
  <c r="U49" i="124" s="1"/>
  <c r="V49" i="124" s="1"/>
  <c r="N48" i="124"/>
  <c r="Q48" i="124" s="1"/>
  <c r="R48" i="124" s="1"/>
  <c r="M48" i="124"/>
  <c r="I48" i="124"/>
  <c r="H48" i="124"/>
  <c r="U48" i="124" s="1"/>
  <c r="T47" i="124"/>
  <c r="I47" i="124"/>
  <c r="H47" i="124"/>
  <c r="U47" i="124" s="1"/>
  <c r="N46" i="124"/>
  <c r="O46" i="124" s="1"/>
  <c r="P46" i="124" s="1"/>
  <c r="M46" i="124"/>
  <c r="I46" i="124"/>
  <c r="H46" i="124"/>
  <c r="U46" i="124" s="1"/>
  <c r="T45" i="124"/>
  <c r="I45" i="124"/>
  <c r="H45" i="124"/>
  <c r="U45" i="124" s="1"/>
  <c r="T44" i="124"/>
  <c r="I44" i="124"/>
  <c r="H44" i="124"/>
  <c r="U44" i="124" s="1"/>
  <c r="N43" i="124"/>
  <c r="Q43" i="124" s="1"/>
  <c r="R43" i="124" s="1"/>
  <c r="M43" i="124"/>
  <c r="I43" i="124"/>
  <c r="H43" i="124"/>
  <c r="U43" i="124" s="1"/>
  <c r="T42" i="124"/>
  <c r="I42" i="124"/>
  <c r="H42" i="124"/>
  <c r="U42" i="124" s="1"/>
  <c r="V42" i="124" s="1"/>
  <c r="N41" i="124"/>
  <c r="Q41" i="124" s="1"/>
  <c r="R41" i="124" s="1"/>
  <c r="M41" i="124"/>
  <c r="I41" i="124"/>
  <c r="H41" i="124"/>
  <c r="U41" i="124" s="1"/>
  <c r="N40" i="124"/>
  <c r="Q40" i="124" s="1"/>
  <c r="R40" i="124" s="1"/>
  <c r="M40" i="124"/>
  <c r="I40" i="124"/>
  <c r="H40" i="124"/>
  <c r="U40" i="124" s="1"/>
  <c r="N39" i="124"/>
  <c r="O39" i="124" s="1"/>
  <c r="M39" i="124"/>
  <c r="I39" i="124"/>
  <c r="H39" i="124"/>
  <c r="U39" i="124" s="1"/>
  <c r="T38" i="124"/>
  <c r="I38" i="124"/>
  <c r="H38" i="124"/>
  <c r="U38" i="124" s="1"/>
  <c r="T37" i="124"/>
  <c r="I37" i="124"/>
  <c r="H37" i="124"/>
  <c r="U37" i="124" s="1"/>
  <c r="N36" i="124"/>
  <c r="O36" i="124" s="1"/>
  <c r="M36" i="124"/>
  <c r="I36" i="124"/>
  <c r="H36" i="124"/>
  <c r="U36" i="124" s="1"/>
  <c r="N35" i="124"/>
  <c r="Q35" i="124" s="1"/>
  <c r="R35" i="124" s="1"/>
  <c r="M35" i="124"/>
  <c r="I35" i="124"/>
  <c r="H35" i="124"/>
  <c r="U35" i="124" s="1"/>
  <c r="T34" i="124"/>
  <c r="I34" i="124"/>
  <c r="H34" i="124"/>
  <c r="U34" i="124" s="1"/>
  <c r="T33" i="124"/>
  <c r="I33" i="124"/>
  <c r="H33" i="124"/>
  <c r="U33" i="124" s="1"/>
  <c r="V33" i="124" s="1"/>
  <c r="N32" i="124"/>
  <c r="O32" i="124" s="1"/>
  <c r="M32" i="124"/>
  <c r="I32" i="124"/>
  <c r="H32" i="124"/>
  <c r="U32" i="124" s="1"/>
  <c r="N31" i="124"/>
  <c r="O31" i="124" s="1"/>
  <c r="M31" i="124"/>
  <c r="I31" i="124"/>
  <c r="H31" i="124"/>
  <c r="U31" i="124" s="1"/>
  <c r="N30" i="124"/>
  <c r="Q30" i="124" s="1"/>
  <c r="R30" i="124" s="1"/>
  <c r="M30" i="124"/>
  <c r="I30" i="124"/>
  <c r="H30" i="124"/>
  <c r="U30" i="124" s="1"/>
  <c r="N29" i="124"/>
  <c r="O29" i="124" s="1"/>
  <c r="M29" i="124"/>
  <c r="I29" i="124"/>
  <c r="H29" i="124"/>
  <c r="U29" i="124" s="1"/>
  <c r="N28" i="124"/>
  <c r="Q28" i="124" s="1"/>
  <c r="R28" i="124" s="1"/>
  <c r="M28" i="124"/>
  <c r="I28" i="124"/>
  <c r="H28" i="124"/>
  <c r="U28" i="124" s="1"/>
  <c r="N27" i="124"/>
  <c r="Q27" i="124" s="1"/>
  <c r="R27" i="124" s="1"/>
  <c r="M27" i="124"/>
  <c r="I27" i="124"/>
  <c r="H27" i="124"/>
  <c r="U27" i="124" s="1"/>
  <c r="T26" i="124"/>
  <c r="P26" i="124"/>
  <c r="I26" i="124"/>
  <c r="H26" i="124"/>
  <c r="U26" i="124" s="1"/>
  <c r="N25" i="124"/>
  <c r="Q25" i="124" s="1"/>
  <c r="R25" i="124" s="1"/>
  <c r="M25" i="124"/>
  <c r="I25" i="124"/>
  <c r="H25" i="124"/>
  <c r="U25" i="124" s="1"/>
  <c r="N24" i="124"/>
  <c r="Q24" i="124" s="1"/>
  <c r="R24" i="124" s="1"/>
  <c r="M24" i="124"/>
  <c r="I24" i="124"/>
  <c r="H24" i="124"/>
  <c r="U24" i="124" s="1"/>
  <c r="N23" i="124"/>
  <c r="O23" i="124" s="1"/>
  <c r="M23" i="124"/>
  <c r="I23" i="124"/>
  <c r="H23" i="124"/>
  <c r="U23" i="124" s="1"/>
  <c r="N22" i="124"/>
  <c r="O22" i="124" s="1"/>
  <c r="M22" i="124"/>
  <c r="I22" i="124"/>
  <c r="H22" i="124"/>
  <c r="U22" i="124" s="1"/>
  <c r="N21" i="124"/>
  <c r="Q21" i="124" s="1"/>
  <c r="R21" i="124" s="1"/>
  <c r="M21" i="124"/>
  <c r="I21" i="124"/>
  <c r="H21" i="124"/>
  <c r="U21" i="124" s="1"/>
  <c r="Y20" i="124"/>
  <c r="N20" i="124"/>
  <c r="O20" i="124" s="1"/>
  <c r="M20" i="124"/>
  <c r="I20" i="124"/>
  <c r="H20" i="124"/>
  <c r="U20" i="124" s="1"/>
  <c r="Y19" i="124"/>
  <c r="N19" i="124"/>
  <c r="Q19" i="124" s="1"/>
  <c r="R19" i="124" s="1"/>
  <c r="M19" i="124"/>
  <c r="I19" i="124"/>
  <c r="H19" i="124"/>
  <c r="U19" i="124" s="1"/>
  <c r="Y18" i="124"/>
  <c r="N18" i="124"/>
  <c r="Q18" i="124" s="1"/>
  <c r="R18" i="124" s="1"/>
  <c r="M18" i="124"/>
  <c r="I18" i="124"/>
  <c r="H18" i="124"/>
  <c r="U18" i="124" s="1"/>
  <c r="Y17" i="124"/>
  <c r="N17" i="124"/>
  <c r="Q17" i="124" s="1"/>
  <c r="R17" i="124" s="1"/>
  <c r="M17" i="124"/>
  <c r="I17" i="124"/>
  <c r="H17" i="124"/>
  <c r="U17" i="124" s="1"/>
  <c r="Y16" i="124"/>
  <c r="P16" i="124"/>
  <c r="V51" i="124" l="1"/>
  <c r="P20" i="124"/>
  <c r="P36" i="124"/>
  <c r="V44" i="124"/>
  <c r="P59" i="124"/>
  <c r="V26" i="124"/>
  <c r="F28" i="127"/>
  <c r="P56" i="124"/>
  <c r="F27" i="127"/>
  <c r="F29" i="127"/>
  <c r="S26" i="124"/>
  <c r="Q29" i="124"/>
  <c r="R29" i="124" s="1"/>
  <c r="S29" i="124" s="1"/>
  <c r="V34" i="124"/>
  <c r="V45" i="124"/>
  <c r="V54" i="124"/>
  <c r="V47" i="124"/>
  <c r="I60" i="124"/>
  <c r="I63" i="124" s="1"/>
  <c r="I64" i="124" s="1"/>
  <c r="T64" i="124" s="1"/>
  <c r="P23" i="124"/>
  <c r="P29" i="124"/>
  <c r="V37" i="124"/>
  <c r="P57" i="124"/>
  <c r="Q39" i="124"/>
  <c r="R39" i="124" s="1"/>
  <c r="T39" i="124" s="1"/>
  <c r="V39" i="124" s="1"/>
  <c r="Q36" i="124"/>
  <c r="R36" i="124" s="1"/>
  <c r="S36" i="124" s="1"/>
  <c r="O43" i="124"/>
  <c r="P43" i="124" s="1"/>
  <c r="Q22" i="124"/>
  <c r="R22" i="124" s="1"/>
  <c r="S22" i="124" s="1"/>
  <c r="O18" i="124"/>
  <c r="P18" i="124" s="1"/>
  <c r="O28" i="124"/>
  <c r="P28" i="124" s="1"/>
  <c r="C28" i="127"/>
  <c r="V38" i="124"/>
  <c r="Q46" i="124"/>
  <c r="R46" i="124" s="1"/>
  <c r="T46" i="124" s="1"/>
  <c r="V46" i="124" s="1"/>
  <c r="V52" i="124"/>
  <c r="Q57" i="124"/>
  <c r="R57" i="124" s="1"/>
  <c r="T57" i="124" s="1"/>
  <c r="V57" i="124" s="1"/>
  <c r="Q20" i="124"/>
  <c r="R20" i="124" s="1"/>
  <c r="O27" i="124"/>
  <c r="P27" i="124" s="1"/>
  <c r="Q56" i="124"/>
  <c r="R56" i="124" s="1"/>
  <c r="S56" i="124" s="1"/>
  <c r="P32" i="124"/>
  <c r="C29" i="127"/>
  <c r="P31" i="124"/>
  <c r="Q32" i="124"/>
  <c r="R32" i="124" s="1"/>
  <c r="S32" i="124" s="1"/>
  <c r="O41" i="124"/>
  <c r="P41" i="124" s="1"/>
  <c r="O48" i="124"/>
  <c r="P48" i="124" s="1"/>
  <c r="O24" i="124"/>
  <c r="P24" i="124" s="1"/>
  <c r="Q31" i="124"/>
  <c r="R31" i="124" s="1"/>
  <c r="S31" i="124" s="1"/>
  <c r="O35" i="124"/>
  <c r="C27" i="127"/>
  <c r="P22" i="124"/>
  <c r="Q23" i="124"/>
  <c r="R23" i="124" s="1"/>
  <c r="S23" i="124" s="1"/>
  <c r="P39" i="124"/>
  <c r="S53" i="124"/>
  <c r="Q59" i="124"/>
  <c r="R59" i="124" s="1"/>
  <c r="S59" i="124" s="1"/>
  <c r="H60" i="124"/>
  <c r="N89" i="124" s="1"/>
  <c r="P50" i="124"/>
  <c r="Q50" i="124"/>
  <c r="R50" i="124" s="1"/>
  <c r="T50" i="124" s="1"/>
  <c r="V50" i="124" s="1"/>
  <c r="Y15" i="124"/>
  <c r="Y22" i="124" s="1"/>
  <c r="M60" i="124"/>
  <c r="S40" i="124"/>
  <c r="T20" i="124"/>
  <c r="V20" i="124" s="1"/>
  <c r="S19" i="124"/>
  <c r="S41" i="124"/>
  <c r="S48" i="124"/>
  <c r="S25" i="124"/>
  <c r="O53" i="124"/>
  <c r="O55" i="124"/>
  <c r="P55" i="124" s="1"/>
  <c r="O21" i="124"/>
  <c r="P21" i="124" s="1"/>
  <c r="O30" i="124"/>
  <c r="P30" i="124" s="1"/>
  <c r="O19" i="124"/>
  <c r="O25" i="124"/>
  <c r="P25" i="124" s="1"/>
  <c r="O40" i="124"/>
  <c r="P40" i="124" s="1"/>
  <c r="O58" i="124"/>
  <c r="P58" i="124" s="1"/>
  <c r="K60" i="124"/>
  <c r="O17" i="124"/>
  <c r="S18" i="124"/>
  <c r="S27" i="124"/>
  <c r="S35" i="124"/>
  <c r="S43" i="124"/>
  <c r="T22" i="124"/>
  <c r="V22" i="124" s="1"/>
  <c r="S17" i="124"/>
  <c r="S21" i="124"/>
  <c r="S28" i="124"/>
  <c r="S58" i="124"/>
  <c r="S55" i="124"/>
  <c r="S20" i="124"/>
  <c r="S24" i="124"/>
  <c r="S30" i="124"/>
  <c r="H69" i="124"/>
  <c r="T43" i="124" l="1"/>
  <c r="V43" i="124" s="1"/>
  <c r="S57" i="124"/>
  <c r="T18" i="124"/>
  <c r="V18" i="124" s="1"/>
  <c r="T32" i="124"/>
  <c r="V32" i="124" s="1"/>
  <c r="T27" i="124"/>
  <c r="V27" i="124" s="1"/>
  <c r="T36" i="124"/>
  <c r="V36" i="124" s="1"/>
  <c r="W60" i="124"/>
  <c r="S39" i="124"/>
  <c r="S46" i="124"/>
  <c r="T17" i="124"/>
  <c r="V17" i="124" s="1"/>
  <c r="H27" i="127"/>
  <c r="J27" i="127" s="1"/>
  <c r="E27" i="127"/>
  <c r="E29" i="127"/>
  <c r="E28" i="127"/>
  <c r="T53" i="124"/>
  <c r="V53" i="124" s="1"/>
  <c r="H29" i="127"/>
  <c r="I29" i="127" s="1"/>
  <c r="G29" i="127"/>
  <c r="F26" i="127"/>
  <c r="S86" i="118" s="1"/>
  <c r="G27" i="127"/>
  <c r="H86" i="124"/>
  <c r="T29" i="124"/>
  <c r="V29" i="124" s="1"/>
  <c r="P35" i="124"/>
  <c r="H28" i="127"/>
  <c r="I28" i="127" s="1"/>
  <c r="F88" i="124"/>
  <c r="F87" i="124"/>
  <c r="E87" i="124" s="1"/>
  <c r="G28" i="127"/>
  <c r="T56" i="124"/>
  <c r="V56" i="124" s="1"/>
  <c r="T35" i="124"/>
  <c r="V35" i="124" s="1"/>
  <c r="S50" i="124"/>
  <c r="Q27" i="127"/>
  <c r="T31" i="124"/>
  <c r="V31" i="124" s="1"/>
  <c r="T23" i="124"/>
  <c r="V23" i="124" s="1"/>
  <c r="R60" i="124"/>
  <c r="S67" i="124" s="1"/>
  <c r="T59" i="124"/>
  <c r="V59" i="124" s="1"/>
  <c r="T48" i="124"/>
  <c r="V48" i="124" s="1"/>
  <c r="T41" i="124"/>
  <c r="V41" i="124" s="1"/>
  <c r="T30" i="124"/>
  <c r="V30" i="124" s="1"/>
  <c r="Q28" i="127"/>
  <c r="Q29" i="127"/>
  <c r="O60" i="124"/>
  <c r="J60" i="124"/>
  <c r="K62" i="124" s="1"/>
  <c r="M81" i="124"/>
  <c r="T58" i="124"/>
  <c r="V58" i="124" s="1"/>
  <c r="Q26" i="127"/>
  <c r="C26" i="127"/>
  <c r="T28" i="124"/>
  <c r="V28" i="124" s="1"/>
  <c r="T24" i="124"/>
  <c r="V24" i="124" s="1"/>
  <c r="I81" i="124"/>
  <c r="M67" i="124"/>
  <c r="L60" i="124"/>
  <c r="Z22" i="124"/>
  <c r="AA22" i="124" s="1"/>
  <c r="P53" i="124"/>
  <c r="K67" i="124"/>
  <c r="P19" i="124"/>
  <c r="T55" i="124"/>
  <c r="V55" i="124" s="1"/>
  <c r="E88" i="124"/>
  <c r="T19" i="124"/>
  <c r="V19" i="124" s="1"/>
  <c r="T40" i="124"/>
  <c r="V40" i="124" s="1"/>
  <c r="T21" i="124"/>
  <c r="V21" i="124" s="1"/>
  <c r="P17" i="124"/>
  <c r="T25" i="124"/>
  <c r="V25" i="124" s="1"/>
  <c r="J28" i="127" l="1"/>
  <c r="K28" i="127" s="1"/>
  <c r="M28" i="127"/>
  <c r="M27" i="127"/>
  <c r="K27" i="127"/>
  <c r="N27" i="127"/>
  <c r="G26" i="127"/>
  <c r="J29" i="127"/>
  <c r="M29" i="127"/>
  <c r="I27" i="127"/>
  <c r="H26" i="127"/>
  <c r="I26" i="127" s="1"/>
  <c r="L86" i="118"/>
  <c r="AU86" i="118" s="1"/>
  <c r="P82" i="124"/>
  <c r="P85" i="124"/>
  <c r="S60" i="124"/>
  <c r="T63" i="124"/>
  <c r="T60" i="124"/>
  <c r="X60" i="124" s="1"/>
  <c r="R27" i="127"/>
  <c r="G86" i="118"/>
  <c r="K61" i="124"/>
  <c r="M62" i="124"/>
  <c r="M61" i="124"/>
  <c r="N60" i="124"/>
  <c r="N84" i="124" s="1"/>
  <c r="O84" i="124" s="1"/>
  <c r="P67" i="124"/>
  <c r="N28" i="127" l="1"/>
  <c r="M26" i="127"/>
  <c r="N26" i="127" s="1"/>
  <c r="K29" i="127"/>
  <c r="N29" i="127"/>
  <c r="J26" i="127"/>
  <c r="K26" i="127" s="1"/>
  <c r="O62" i="124"/>
  <c r="R62" i="124" s="1"/>
  <c r="R28" i="127"/>
  <c r="L93" i="118"/>
  <c r="AU93" i="118" s="1"/>
  <c r="K86" i="124"/>
  <c r="K63" i="124"/>
  <c r="K64" i="124" s="1"/>
  <c r="J64" i="124" s="1"/>
  <c r="R29" i="127"/>
  <c r="S93" i="118"/>
  <c r="M63" i="124"/>
  <c r="M64" i="124" s="1"/>
  <c r="L64" i="124" s="1"/>
  <c r="O61" i="124"/>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H257" i="123"/>
  <c r="S256" i="123"/>
  <c r="R256" i="123"/>
  <c r="P256" i="123"/>
  <c r="O256" i="123"/>
  <c r="N255" i="123"/>
  <c r="O255" i="123" s="1"/>
  <c r="M255" i="123"/>
  <c r="H255" i="123"/>
  <c r="R254" i="123"/>
  <c r="P254" i="123"/>
  <c r="O254" i="123"/>
  <c r="M254" i="123"/>
  <c r="S254" i="123"/>
  <c r="H254" i="123"/>
  <c r="N253" i="123"/>
  <c r="O253" i="123" s="1"/>
  <c r="M253" i="123"/>
  <c r="H253" i="123"/>
  <c r="S252" i="123"/>
  <c r="R252" i="123"/>
  <c r="P252" i="123"/>
  <c r="O252" i="123"/>
  <c r="M252" i="123"/>
  <c r="N251" i="123"/>
  <c r="O251" i="123" s="1"/>
  <c r="M251" i="123"/>
  <c r="H251" i="123"/>
  <c r="N250" i="123"/>
  <c r="Q250" i="123" s="1"/>
  <c r="R250" i="123" s="1"/>
  <c r="M250" i="123"/>
  <c r="H250" i="123"/>
  <c r="R249" i="123"/>
  <c r="P249" i="123"/>
  <c r="O249" i="123"/>
  <c r="M249" i="123"/>
  <c r="S249" i="123"/>
  <c r="H249" i="123"/>
  <c r="N248" i="123"/>
  <c r="Q248" i="123" s="1"/>
  <c r="R248" i="123" s="1"/>
  <c r="M248" i="123"/>
  <c r="H248" i="123"/>
  <c r="N247" i="123"/>
  <c r="Q247" i="123" s="1"/>
  <c r="R247" i="123" s="1"/>
  <c r="M247" i="123"/>
  <c r="H247" i="123"/>
  <c r="R246" i="123"/>
  <c r="P246" i="123"/>
  <c r="O246" i="123"/>
  <c r="M246" i="123"/>
  <c r="S246" i="123"/>
  <c r="H246" i="123"/>
  <c r="S245" i="123"/>
  <c r="P245" i="123"/>
  <c r="N245" i="123"/>
  <c r="O245" i="123" s="1"/>
  <c r="M245" i="123"/>
  <c r="H245" i="123"/>
  <c r="N244" i="123"/>
  <c r="Q244" i="123" s="1"/>
  <c r="R244" i="123" s="1"/>
  <c r="M244" i="123"/>
  <c r="H244" i="123"/>
  <c r="N243" i="123"/>
  <c r="Q243" i="123" s="1"/>
  <c r="R243" i="123" s="1"/>
  <c r="M243" i="123"/>
  <c r="H243" i="123"/>
  <c r="N242" i="123"/>
  <c r="O242" i="123" s="1"/>
  <c r="M242" i="123"/>
  <c r="H242" i="123"/>
  <c r="R241" i="123"/>
  <c r="P241" i="123"/>
  <c r="O241" i="123"/>
  <c r="M241" i="123"/>
  <c r="S241" i="123"/>
  <c r="H241" i="123"/>
  <c r="N240" i="123"/>
  <c r="O240" i="123" s="1"/>
  <c r="M240" i="123"/>
  <c r="H240" i="123"/>
  <c r="N239" i="123"/>
  <c r="Q239" i="123" s="1"/>
  <c r="R239" i="123" s="1"/>
  <c r="M239" i="123"/>
  <c r="H239" i="123"/>
  <c r="R238" i="123"/>
  <c r="P238" i="123"/>
  <c r="O238" i="123"/>
  <c r="M238" i="123"/>
  <c r="S238" i="123"/>
  <c r="H238" i="123"/>
  <c r="N237" i="123"/>
  <c r="Q237" i="123" s="1"/>
  <c r="R237" i="123" s="1"/>
  <c r="M237" i="123"/>
  <c r="H237" i="123"/>
  <c r="N236" i="123"/>
  <c r="O236" i="123" s="1"/>
  <c r="M236" i="123"/>
  <c r="H236" i="123"/>
  <c r="N235" i="123"/>
  <c r="Q235" i="123" s="1"/>
  <c r="R235" i="123" s="1"/>
  <c r="M235" i="123"/>
  <c r="H235" i="123"/>
  <c r="R234" i="123"/>
  <c r="P234" i="123"/>
  <c r="O234" i="123"/>
  <c r="M234" i="123"/>
  <c r="S234" i="123"/>
  <c r="H234" i="123"/>
  <c r="P233" i="123"/>
  <c r="N233" i="123"/>
  <c r="Q233" i="123" s="1"/>
  <c r="R233" i="123" s="1"/>
  <c r="M233" i="123"/>
  <c r="S233" i="123"/>
  <c r="H233" i="123"/>
  <c r="N232" i="123"/>
  <c r="M232" i="123"/>
  <c r="H232" i="123"/>
  <c r="N231" i="123"/>
  <c r="O231" i="123" s="1"/>
  <c r="M231" i="123"/>
  <c r="H231" i="123"/>
  <c r="R230" i="123"/>
  <c r="P230" i="123"/>
  <c r="O230" i="123"/>
  <c r="M230" i="123"/>
  <c r="S230" i="123"/>
  <c r="H230" i="123"/>
  <c r="N229" i="123"/>
  <c r="Q229" i="123" s="1"/>
  <c r="R229" i="123" s="1"/>
  <c r="M229" i="123"/>
  <c r="H229" i="123"/>
  <c r="N228" i="123"/>
  <c r="Q228" i="123" s="1"/>
  <c r="R228" i="123" s="1"/>
  <c r="M228" i="123"/>
  <c r="H228" i="123"/>
  <c r="R227" i="123"/>
  <c r="P227" i="123"/>
  <c r="O227" i="123"/>
  <c r="M227" i="123"/>
  <c r="S227" i="123"/>
  <c r="H227" i="123"/>
  <c r="N226" i="123"/>
  <c r="M226" i="123"/>
  <c r="H226" i="123"/>
  <c r="N225" i="123"/>
  <c r="O225" i="123" s="1"/>
  <c r="M225" i="123"/>
  <c r="H225" i="123"/>
  <c r="R224" i="123"/>
  <c r="P224" i="123"/>
  <c r="O224" i="123"/>
  <c r="M224" i="123"/>
  <c r="S224" i="123"/>
  <c r="H224" i="123"/>
  <c r="P223" i="123"/>
  <c r="N223" i="123"/>
  <c r="Q223" i="123" s="1"/>
  <c r="R223" i="123" s="1"/>
  <c r="M223" i="123"/>
  <c r="S223" i="123"/>
  <c r="H223" i="123"/>
  <c r="N222" i="123"/>
  <c r="Q222" i="123" s="1"/>
  <c r="R222" i="123" s="1"/>
  <c r="M222" i="123"/>
  <c r="H222" i="123"/>
  <c r="N221" i="123"/>
  <c r="Q221" i="123" s="1"/>
  <c r="R221" i="123" s="1"/>
  <c r="M221" i="123"/>
  <c r="H221" i="123"/>
  <c r="R220" i="123"/>
  <c r="P220" i="123"/>
  <c r="O220" i="123"/>
  <c r="M220" i="123"/>
  <c r="S220" i="123"/>
  <c r="H220" i="123"/>
  <c r="N219" i="123"/>
  <c r="O219" i="123" s="1"/>
  <c r="M219" i="123"/>
  <c r="H219" i="123"/>
  <c r="N218" i="123"/>
  <c r="Q218" i="123" s="1"/>
  <c r="R218" i="123" s="1"/>
  <c r="M218" i="123"/>
  <c r="H218" i="123"/>
  <c r="N217" i="123"/>
  <c r="Q217" i="123" s="1"/>
  <c r="R217" i="123" s="1"/>
  <c r="M217" i="123"/>
  <c r="H217" i="123"/>
  <c r="R216" i="123"/>
  <c r="P216" i="123"/>
  <c r="O216" i="123"/>
  <c r="M216" i="123"/>
  <c r="S216" i="123"/>
  <c r="H216" i="123"/>
  <c r="N215" i="123"/>
  <c r="Q215" i="123" s="1"/>
  <c r="R215" i="123" s="1"/>
  <c r="M215" i="123"/>
  <c r="H215" i="123"/>
  <c r="N214" i="123"/>
  <c r="O214" i="123" s="1"/>
  <c r="M214" i="123"/>
  <c r="H214" i="123"/>
  <c r="R213" i="123"/>
  <c r="P213" i="123"/>
  <c r="O213" i="123"/>
  <c r="M213" i="123"/>
  <c r="S213" i="123"/>
  <c r="H213" i="123"/>
  <c r="N212" i="123"/>
  <c r="Q212" i="123" s="1"/>
  <c r="R212" i="123" s="1"/>
  <c r="M212" i="123"/>
  <c r="H212" i="123"/>
  <c r="R211" i="123"/>
  <c r="P211" i="123"/>
  <c r="O211" i="123"/>
  <c r="M211" i="123"/>
  <c r="S211" i="123"/>
  <c r="H211" i="123"/>
  <c r="R210" i="123"/>
  <c r="P210" i="123"/>
  <c r="O210" i="123"/>
  <c r="M210" i="123"/>
  <c r="S210" i="123"/>
  <c r="H210" i="123"/>
  <c r="N209" i="123"/>
  <c r="O209" i="123" s="1"/>
  <c r="M209" i="123"/>
  <c r="H209" i="123"/>
  <c r="N208" i="123"/>
  <c r="Q208" i="123" s="1"/>
  <c r="R208" i="123" s="1"/>
  <c r="M208" i="123"/>
  <c r="H208" i="123"/>
  <c r="R207" i="123"/>
  <c r="P207" i="123"/>
  <c r="O207" i="123"/>
  <c r="M207" i="123"/>
  <c r="S207" i="123"/>
  <c r="H207" i="123"/>
  <c r="N206" i="123"/>
  <c r="O206" i="123" s="1"/>
  <c r="M206" i="123"/>
  <c r="H206" i="123"/>
  <c r="N205" i="123"/>
  <c r="Q205" i="123" s="1"/>
  <c r="R205" i="123" s="1"/>
  <c r="M205" i="123"/>
  <c r="H205" i="123"/>
  <c r="N204" i="123"/>
  <c r="Q204" i="123" s="1"/>
  <c r="R204" i="123" s="1"/>
  <c r="M204" i="123"/>
  <c r="H204" i="123"/>
  <c r="N203" i="123"/>
  <c r="Q203" i="123" s="1"/>
  <c r="R203" i="123" s="1"/>
  <c r="M203" i="123"/>
  <c r="H203" i="123"/>
  <c r="R202" i="123"/>
  <c r="P202" i="123"/>
  <c r="O202" i="123"/>
  <c r="M202" i="123"/>
  <c r="S202" i="123"/>
  <c r="H202" i="123"/>
  <c r="R201" i="123"/>
  <c r="P201" i="123"/>
  <c r="O201" i="123"/>
  <c r="M201" i="123"/>
  <c r="S201" i="123"/>
  <c r="H201" i="123"/>
  <c r="N200" i="123"/>
  <c r="O200" i="123" s="1"/>
  <c r="M200" i="123"/>
  <c r="H200" i="123"/>
  <c r="N199" i="123"/>
  <c r="Q199" i="123" s="1"/>
  <c r="R199" i="123" s="1"/>
  <c r="M199" i="123"/>
  <c r="H199" i="123"/>
  <c r="N198" i="123"/>
  <c r="Q198" i="123" s="1"/>
  <c r="R198" i="123" s="1"/>
  <c r="M198" i="123"/>
  <c r="H198" i="123"/>
  <c r="R197" i="123"/>
  <c r="P197" i="123"/>
  <c r="O197" i="123"/>
  <c r="M197" i="123"/>
  <c r="S197" i="123"/>
  <c r="H197" i="123"/>
  <c r="N196" i="123"/>
  <c r="Q196" i="123" s="1"/>
  <c r="R196" i="123" s="1"/>
  <c r="M196" i="123"/>
  <c r="H196" i="123"/>
  <c r="N195" i="123"/>
  <c r="O195" i="123" s="1"/>
  <c r="M195" i="123"/>
  <c r="H195" i="123"/>
  <c r="N194" i="123"/>
  <c r="Q194" i="123" s="1"/>
  <c r="R194" i="123" s="1"/>
  <c r="M194" i="123"/>
  <c r="H194" i="123"/>
  <c r="N193" i="123"/>
  <c r="Q193" i="123" s="1"/>
  <c r="R193" i="123" s="1"/>
  <c r="M193" i="123"/>
  <c r="H193" i="123"/>
  <c r="N192" i="123"/>
  <c r="Q192" i="123" s="1"/>
  <c r="R192" i="123" s="1"/>
  <c r="M192" i="123"/>
  <c r="H192" i="123"/>
  <c r="N191" i="123"/>
  <c r="O191" i="123" s="1"/>
  <c r="M191" i="123"/>
  <c r="H191" i="123"/>
  <c r="N190" i="123"/>
  <c r="Q190" i="123" s="1"/>
  <c r="R190" i="123" s="1"/>
  <c r="M190" i="123"/>
  <c r="H190" i="123"/>
  <c r="N189" i="123"/>
  <c r="Q189" i="123" s="1"/>
  <c r="R189" i="123" s="1"/>
  <c r="M189" i="123"/>
  <c r="H189" i="123"/>
  <c r="N188" i="123"/>
  <c r="Q188" i="123" s="1"/>
  <c r="R188" i="123" s="1"/>
  <c r="M188" i="123"/>
  <c r="H188" i="123"/>
  <c r="N187" i="123"/>
  <c r="O187" i="123" s="1"/>
  <c r="M187" i="123"/>
  <c r="H187" i="123"/>
  <c r="N186" i="123"/>
  <c r="Q186" i="123" s="1"/>
  <c r="R186" i="123" s="1"/>
  <c r="M186" i="123"/>
  <c r="H186" i="123"/>
  <c r="R185" i="123"/>
  <c r="P185" i="123"/>
  <c r="O185" i="123"/>
  <c r="M185" i="123"/>
  <c r="S185" i="123"/>
  <c r="H185" i="123"/>
  <c r="N184" i="123"/>
  <c r="O184" i="123" s="1"/>
  <c r="M184" i="123"/>
  <c r="H184" i="123"/>
  <c r="N183" i="123"/>
  <c r="M183" i="123"/>
  <c r="H183" i="123"/>
  <c r="N182" i="123"/>
  <c r="O182" i="123" s="1"/>
  <c r="M182" i="123"/>
  <c r="H182" i="123"/>
  <c r="N181" i="123"/>
  <c r="Q181" i="123" s="1"/>
  <c r="R181" i="123" s="1"/>
  <c r="M181" i="123"/>
  <c r="H181" i="123"/>
  <c r="R180" i="123"/>
  <c r="P180" i="123"/>
  <c r="O180" i="123"/>
  <c r="M180" i="123"/>
  <c r="S180" i="123"/>
  <c r="H180" i="123"/>
  <c r="N179" i="123"/>
  <c r="O179" i="123" s="1"/>
  <c r="M179" i="123"/>
  <c r="H179" i="123"/>
  <c r="N178" i="123"/>
  <c r="Q178" i="123" s="1"/>
  <c r="R178" i="123" s="1"/>
  <c r="M178" i="123"/>
  <c r="H178" i="123"/>
  <c r="R177" i="123"/>
  <c r="P177" i="123"/>
  <c r="O177" i="123"/>
  <c r="M177" i="123"/>
  <c r="S177" i="123"/>
  <c r="H177" i="123"/>
  <c r="R176" i="123"/>
  <c r="P176" i="123"/>
  <c r="O176" i="123"/>
  <c r="M176" i="123"/>
  <c r="S176" i="123"/>
  <c r="H176" i="123"/>
  <c r="N175" i="123"/>
  <c r="O175" i="123" s="1"/>
  <c r="M175" i="123"/>
  <c r="H175" i="123"/>
  <c r="R174" i="123"/>
  <c r="P174" i="123"/>
  <c r="O174" i="123"/>
  <c r="M174" i="123"/>
  <c r="S174" i="123"/>
  <c r="H174" i="123"/>
  <c r="N173" i="123"/>
  <c r="Q173" i="123" s="1"/>
  <c r="R173" i="123" s="1"/>
  <c r="M173" i="123"/>
  <c r="H173" i="123"/>
  <c r="R172" i="123"/>
  <c r="P172" i="123"/>
  <c r="O172" i="123"/>
  <c r="M172" i="123"/>
  <c r="S172" i="123"/>
  <c r="H172" i="123"/>
  <c r="N171" i="123"/>
  <c r="Q171" i="123" s="1"/>
  <c r="R171" i="123" s="1"/>
  <c r="M171" i="123"/>
  <c r="H171" i="123"/>
  <c r="N170" i="123"/>
  <c r="M170" i="123"/>
  <c r="H170" i="123"/>
  <c r="N169" i="123"/>
  <c r="O169" i="123" s="1"/>
  <c r="M169" i="123"/>
  <c r="H169" i="123"/>
  <c r="N168" i="123"/>
  <c r="Q168" i="123" s="1"/>
  <c r="R168" i="123" s="1"/>
  <c r="M168" i="123"/>
  <c r="H168" i="123"/>
  <c r="N167" i="123"/>
  <c r="Q167" i="123" s="1"/>
  <c r="R167" i="123" s="1"/>
  <c r="M167" i="123"/>
  <c r="H167" i="123"/>
  <c r="N166" i="123"/>
  <c r="Q166" i="123" s="1"/>
  <c r="R166" i="123" s="1"/>
  <c r="M166" i="123"/>
  <c r="H166" i="123"/>
  <c r="N165" i="123"/>
  <c r="O165" i="123" s="1"/>
  <c r="M165" i="123"/>
  <c r="H165" i="123"/>
  <c r="N164" i="123"/>
  <c r="Q164" i="123" s="1"/>
  <c r="R164" i="123" s="1"/>
  <c r="M164" i="123"/>
  <c r="H164" i="123"/>
  <c r="N163" i="123"/>
  <c r="Q163" i="123" s="1"/>
  <c r="R163" i="123" s="1"/>
  <c r="M163" i="123"/>
  <c r="H163" i="123"/>
  <c r="N162" i="123"/>
  <c r="Q162" i="123" s="1"/>
  <c r="R162" i="123" s="1"/>
  <c r="M162" i="123"/>
  <c r="H162" i="123"/>
  <c r="N161" i="123"/>
  <c r="O161" i="123" s="1"/>
  <c r="M161" i="123"/>
  <c r="H161" i="123"/>
  <c r="N160" i="123"/>
  <c r="Q160" i="123" s="1"/>
  <c r="R160" i="123" s="1"/>
  <c r="M160" i="123"/>
  <c r="H160" i="123"/>
  <c r="R159" i="123"/>
  <c r="P159" i="123"/>
  <c r="O159" i="123"/>
  <c r="M159" i="123"/>
  <c r="S159" i="123"/>
  <c r="H159" i="123"/>
  <c r="N158" i="123"/>
  <c r="Q158" i="123" s="1"/>
  <c r="R158" i="123" s="1"/>
  <c r="M158" i="123"/>
  <c r="H158" i="123"/>
  <c r="N157" i="123"/>
  <c r="Q157" i="123" s="1"/>
  <c r="R157" i="123" s="1"/>
  <c r="M157" i="123"/>
  <c r="H157" i="123"/>
  <c r="N156" i="123"/>
  <c r="O156" i="123" s="1"/>
  <c r="M156" i="123"/>
  <c r="H156" i="123"/>
  <c r="N155" i="123"/>
  <c r="Q155" i="123" s="1"/>
  <c r="R155" i="123" s="1"/>
  <c r="M155" i="123"/>
  <c r="H155" i="123"/>
  <c r="N154" i="123"/>
  <c r="Q154" i="123" s="1"/>
  <c r="R154" i="123" s="1"/>
  <c r="M154" i="123"/>
  <c r="H154" i="123"/>
  <c r="H153" i="123"/>
  <c r="H152" i="123"/>
  <c r="H151" i="123"/>
  <c r="N150" i="123"/>
  <c r="Q150" i="123" s="1"/>
  <c r="R150" i="123" s="1"/>
  <c r="M150" i="123"/>
  <c r="H150" i="123"/>
  <c r="R149" i="123"/>
  <c r="P149" i="123"/>
  <c r="O149" i="123"/>
  <c r="M149" i="123"/>
  <c r="S149" i="123"/>
  <c r="H149" i="123"/>
  <c r="N148" i="123"/>
  <c r="O148" i="123" s="1"/>
  <c r="M148" i="123"/>
  <c r="H148" i="123"/>
  <c r="R147" i="123"/>
  <c r="P147" i="123"/>
  <c r="O147" i="123"/>
  <c r="M147" i="123"/>
  <c r="S147" i="123"/>
  <c r="H147" i="123"/>
  <c r="N146" i="123"/>
  <c r="Q146" i="123" s="1"/>
  <c r="R146" i="123" s="1"/>
  <c r="M146" i="123"/>
  <c r="H146" i="123"/>
  <c r="N145" i="123"/>
  <c r="Q145" i="123" s="1"/>
  <c r="R145" i="123" s="1"/>
  <c r="M145" i="123"/>
  <c r="H145" i="123"/>
  <c r="R144" i="123"/>
  <c r="P144" i="123"/>
  <c r="O144" i="123"/>
  <c r="M144" i="123"/>
  <c r="S144" i="123"/>
  <c r="H144" i="123"/>
  <c r="N143" i="123"/>
  <c r="Q143" i="123" s="1"/>
  <c r="R143" i="123" s="1"/>
  <c r="M143" i="123"/>
  <c r="H143" i="123"/>
  <c r="N142" i="123"/>
  <c r="O142" i="123" s="1"/>
  <c r="M142" i="123"/>
  <c r="H142" i="123"/>
  <c r="R141" i="123"/>
  <c r="P141" i="123"/>
  <c r="O141" i="123"/>
  <c r="M141" i="123"/>
  <c r="S141" i="123"/>
  <c r="H141" i="123"/>
  <c r="N140" i="123"/>
  <c r="Q140" i="123" s="1"/>
  <c r="R140" i="123" s="1"/>
  <c r="M140" i="123"/>
  <c r="H140" i="123"/>
  <c r="N139" i="123"/>
  <c r="Q139" i="123" s="1"/>
  <c r="R139" i="123" s="1"/>
  <c r="M139" i="123"/>
  <c r="H139" i="123"/>
  <c r="N138" i="123"/>
  <c r="M138" i="123"/>
  <c r="H138" i="123"/>
  <c r="N137" i="123"/>
  <c r="O137" i="123" s="1"/>
  <c r="M137" i="123"/>
  <c r="H137" i="123"/>
  <c r="N136" i="123"/>
  <c r="Q136" i="123" s="1"/>
  <c r="R136" i="123" s="1"/>
  <c r="M136" i="123"/>
  <c r="H136" i="123"/>
  <c r="N135" i="123"/>
  <c r="Q135" i="123" s="1"/>
  <c r="R135" i="123" s="1"/>
  <c r="M135" i="123"/>
  <c r="H135" i="123"/>
  <c r="R134" i="123"/>
  <c r="P134" i="123"/>
  <c r="O134" i="123"/>
  <c r="M134" i="123"/>
  <c r="S134" i="123"/>
  <c r="H134" i="123"/>
  <c r="N133" i="123"/>
  <c r="Q133" i="123" s="1"/>
  <c r="R133" i="123" s="1"/>
  <c r="M133" i="123"/>
  <c r="H133" i="123"/>
  <c r="N132" i="123"/>
  <c r="O132" i="123" s="1"/>
  <c r="M132" i="123"/>
  <c r="H132" i="123"/>
  <c r="R131" i="123"/>
  <c r="P131" i="123"/>
  <c r="O131" i="123"/>
  <c r="M131" i="123"/>
  <c r="S131" i="123"/>
  <c r="H131" i="123"/>
  <c r="N130" i="123"/>
  <c r="Q130" i="123" s="1"/>
  <c r="R130" i="123" s="1"/>
  <c r="M130" i="123"/>
  <c r="H130" i="123"/>
  <c r="R129" i="123"/>
  <c r="P129" i="123"/>
  <c r="O129" i="123"/>
  <c r="M129" i="123"/>
  <c r="S129" i="123"/>
  <c r="H129" i="123"/>
  <c r="N128" i="123"/>
  <c r="Q128" i="123" s="1"/>
  <c r="R128" i="123" s="1"/>
  <c r="M128" i="123"/>
  <c r="H128" i="123"/>
  <c r="R127" i="123"/>
  <c r="P127" i="123"/>
  <c r="O127" i="123"/>
  <c r="M127" i="123"/>
  <c r="S127" i="123"/>
  <c r="H127" i="123"/>
  <c r="R126" i="123"/>
  <c r="P126" i="123"/>
  <c r="O126" i="123"/>
  <c r="M126" i="123"/>
  <c r="S126" i="123"/>
  <c r="H126" i="123"/>
  <c r="N125" i="123"/>
  <c r="O125" i="123" s="1"/>
  <c r="M125" i="123"/>
  <c r="H125" i="123"/>
  <c r="N124" i="123"/>
  <c r="M124" i="123"/>
  <c r="H124" i="123"/>
  <c r="N123" i="123"/>
  <c r="Q123" i="123" s="1"/>
  <c r="R123" i="123" s="1"/>
  <c r="M123" i="123"/>
  <c r="H123" i="123"/>
  <c r="N122" i="123"/>
  <c r="M122" i="123"/>
  <c r="H122" i="123"/>
  <c r="R121" i="123"/>
  <c r="P121" i="123"/>
  <c r="O121" i="123"/>
  <c r="M121" i="123"/>
  <c r="S121" i="123"/>
  <c r="H121" i="123"/>
  <c r="N120" i="123"/>
  <c r="Q120" i="123" s="1"/>
  <c r="R120" i="123" s="1"/>
  <c r="M120" i="123"/>
  <c r="H120" i="123"/>
  <c r="R119" i="123"/>
  <c r="P119" i="123"/>
  <c r="O119" i="123"/>
  <c r="M119" i="123"/>
  <c r="S119" i="123"/>
  <c r="H119" i="123"/>
  <c r="R118" i="123"/>
  <c r="P118" i="123"/>
  <c r="O118" i="123"/>
  <c r="M118" i="123"/>
  <c r="S118" i="123"/>
  <c r="H118" i="123"/>
  <c r="N117" i="123"/>
  <c r="O117" i="123" s="1"/>
  <c r="M117" i="123"/>
  <c r="H117" i="123"/>
  <c r="N116" i="123"/>
  <c r="Q116" i="123" s="1"/>
  <c r="R116" i="123" s="1"/>
  <c r="M116" i="123"/>
  <c r="H116" i="123"/>
  <c r="N115" i="123"/>
  <c r="M115" i="123"/>
  <c r="H115" i="123"/>
  <c r="R114" i="123"/>
  <c r="P114" i="123"/>
  <c r="O114" i="123"/>
  <c r="M114" i="123"/>
  <c r="S114" i="123"/>
  <c r="H114" i="123"/>
  <c r="N113" i="123"/>
  <c r="Q113" i="123" s="1"/>
  <c r="R113" i="123" s="1"/>
  <c r="M113" i="123"/>
  <c r="H113" i="123"/>
  <c r="S112" i="123"/>
  <c r="H112" i="123"/>
  <c r="S111" i="123"/>
  <c r="H111" i="123"/>
  <c r="N110" i="123"/>
  <c r="O110" i="123" s="1"/>
  <c r="M110" i="123"/>
  <c r="H110" i="123"/>
  <c r="R109" i="123"/>
  <c r="P109" i="123"/>
  <c r="O109" i="123"/>
  <c r="M109" i="123"/>
  <c r="S109" i="123"/>
  <c r="H109" i="123"/>
  <c r="N108" i="123"/>
  <c r="Q108" i="123" s="1"/>
  <c r="R108" i="123" s="1"/>
  <c r="S108" i="123" s="1"/>
  <c r="M108" i="123"/>
  <c r="H108" i="123"/>
  <c r="N107" i="123"/>
  <c r="M107" i="123"/>
  <c r="H107" i="123"/>
  <c r="N106" i="123"/>
  <c r="Q106" i="123" s="1"/>
  <c r="R106" i="123" s="1"/>
  <c r="M106" i="123"/>
  <c r="H106" i="123"/>
  <c r="N105" i="123"/>
  <c r="O105" i="123" s="1"/>
  <c r="M105" i="123"/>
  <c r="H105" i="123"/>
  <c r="N104" i="123"/>
  <c r="Q104" i="123" s="1"/>
  <c r="R104" i="123" s="1"/>
  <c r="S104" i="123" s="1"/>
  <c r="M104" i="123"/>
  <c r="H104" i="123"/>
  <c r="N103" i="123"/>
  <c r="M103" i="123"/>
  <c r="H103" i="123"/>
  <c r="N102" i="123"/>
  <c r="Q102" i="123" s="1"/>
  <c r="R102" i="123" s="1"/>
  <c r="M102" i="123"/>
  <c r="H102" i="123"/>
  <c r="N101" i="123"/>
  <c r="O101" i="123" s="1"/>
  <c r="M101" i="123"/>
  <c r="H101" i="123"/>
  <c r="N100" i="123"/>
  <c r="Q100" i="123" s="1"/>
  <c r="R100" i="123" s="1"/>
  <c r="S100" i="123" s="1"/>
  <c r="M100" i="123"/>
  <c r="H100" i="123"/>
  <c r="N99" i="123"/>
  <c r="M99" i="123"/>
  <c r="H99" i="123"/>
  <c r="N98" i="123"/>
  <c r="Q98" i="123" s="1"/>
  <c r="R98" i="123" s="1"/>
  <c r="M98" i="123"/>
  <c r="H98" i="123"/>
  <c r="N97" i="123"/>
  <c r="O97" i="123" s="1"/>
  <c r="M97" i="123"/>
  <c r="H97" i="123"/>
  <c r="N96" i="123"/>
  <c r="Q96" i="123" s="1"/>
  <c r="R96" i="123" s="1"/>
  <c r="M96" i="123"/>
  <c r="H96" i="123"/>
  <c r="R95" i="123"/>
  <c r="P95" i="123"/>
  <c r="O95" i="123"/>
  <c r="M95" i="123"/>
  <c r="S95" i="123"/>
  <c r="H95" i="123"/>
  <c r="N94" i="123"/>
  <c r="M94" i="123"/>
  <c r="H94" i="123"/>
  <c r="N93" i="123"/>
  <c r="Q93" i="123" s="1"/>
  <c r="R93" i="123" s="1"/>
  <c r="M93" i="123"/>
  <c r="H93" i="123"/>
  <c r="N92" i="123"/>
  <c r="O92" i="123" s="1"/>
  <c r="M92" i="123"/>
  <c r="H92" i="123"/>
  <c r="H91" i="123"/>
  <c r="H90" i="123"/>
  <c r="N89" i="123"/>
  <c r="Q89" i="123" s="1"/>
  <c r="R89" i="123" s="1"/>
  <c r="S89" i="123" s="1"/>
  <c r="M89" i="123"/>
  <c r="H89" i="123"/>
  <c r="N87" i="123"/>
  <c r="O87" i="123" s="1"/>
  <c r="M87" i="123"/>
  <c r="H87" i="123"/>
  <c r="N86" i="123"/>
  <c r="Q86" i="123" s="1"/>
  <c r="R86" i="123" s="1"/>
  <c r="M86" i="123"/>
  <c r="H86" i="123"/>
  <c r="N85" i="123"/>
  <c r="O85" i="123" s="1"/>
  <c r="M85" i="123"/>
  <c r="H85" i="123"/>
  <c r="R84" i="123"/>
  <c r="P84" i="123"/>
  <c r="O84" i="123"/>
  <c r="M84" i="123"/>
  <c r="S84" i="123"/>
  <c r="H84" i="123"/>
  <c r="N83" i="123"/>
  <c r="Q83" i="123" s="1"/>
  <c r="R83" i="123" s="1"/>
  <c r="M83" i="123"/>
  <c r="H83" i="123"/>
  <c r="N82" i="123"/>
  <c r="O82" i="123" s="1"/>
  <c r="M82" i="123"/>
  <c r="H82" i="123"/>
  <c r="N81" i="123"/>
  <c r="Q81" i="123" s="1"/>
  <c r="R81" i="123" s="1"/>
  <c r="M81" i="123"/>
  <c r="H81" i="123"/>
  <c r="R80" i="123"/>
  <c r="P80" i="123"/>
  <c r="O80" i="123"/>
  <c r="M80" i="123"/>
  <c r="S80" i="123"/>
  <c r="H80" i="123"/>
  <c r="N79" i="123"/>
  <c r="O79" i="123" s="1"/>
  <c r="P79" i="123" s="1"/>
  <c r="M79" i="123"/>
  <c r="H79" i="123"/>
  <c r="N78" i="123"/>
  <c r="Q78" i="123" s="1"/>
  <c r="R78" i="123" s="1"/>
  <c r="M78" i="123"/>
  <c r="H78" i="123"/>
  <c r="N77" i="123"/>
  <c r="O77" i="123" s="1"/>
  <c r="P77" i="123" s="1"/>
  <c r="M77" i="123"/>
  <c r="H77" i="123"/>
  <c r="R76" i="123"/>
  <c r="P76" i="123"/>
  <c r="O76" i="123"/>
  <c r="M76" i="123"/>
  <c r="S76" i="123"/>
  <c r="H76" i="123"/>
  <c r="N75" i="123"/>
  <c r="Q75" i="123" s="1"/>
  <c r="R75" i="123" s="1"/>
  <c r="M75" i="123"/>
  <c r="H75" i="123"/>
  <c r="N74" i="123"/>
  <c r="O74" i="123" s="1"/>
  <c r="M74" i="123"/>
  <c r="H74" i="123"/>
  <c r="N73" i="123"/>
  <c r="Q73" i="123" s="1"/>
  <c r="R73" i="123" s="1"/>
  <c r="M73" i="123"/>
  <c r="H73" i="123"/>
  <c r="N72" i="123"/>
  <c r="O72" i="123" s="1"/>
  <c r="M72" i="123"/>
  <c r="H72" i="123"/>
  <c r="R71" i="123"/>
  <c r="P71" i="123"/>
  <c r="O71" i="123"/>
  <c r="M71" i="123"/>
  <c r="S71" i="123"/>
  <c r="H71" i="123"/>
  <c r="N70" i="123"/>
  <c r="Q70" i="123" s="1"/>
  <c r="R70" i="123" s="1"/>
  <c r="M70" i="123"/>
  <c r="H70" i="123"/>
  <c r="N69" i="123"/>
  <c r="O69" i="123" s="1"/>
  <c r="M69" i="123"/>
  <c r="H69" i="123"/>
  <c r="N68" i="123"/>
  <c r="Q68" i="123" s="1"/>
  <c r="R68" i="123" s="1"/>
  <c r="M68" i="123"/>
  <c r="H68" i="123"/>
  <c r="N67" i="123"/>
  <c r="O67" i="123" s="1"/>
  <c r="M67" i="123"/>
  <c r="H67" i="123"/>
  <c r="R66" i="123"/>
  <c r="P66" i="123"/>
  <c r="O66" i="123"/>
  <c r="M66" i="123"/>
  <c r="S66" i="123"/>
  <c r="H66" i="123"/>
  <c r="N65" i="123"/>
  <c r="Q65" i="123" s="1"/>
  <c r="R65" i="123" s="1"/>
  <c r="M65" i="123"/>
  <c r="H65" i="123"/>
  <c r="N64" i="123"/>
  <c r="O64" i="123" s="1"/>
  <c r="M64" i="123"/>
  <c r="H64" i="123"/>
  <c r="N63" i="123"/>
  <c r="Q63" i="123" s="1"/>
  <c r="R63" i="123" s="1"/>
  <c r="M63" i="123"/>
  <c r="H63" i="123"/>
  <c r="N62" i="123"/>
  <c r="O62" i="123" s="1"/>
  <c r="M62" i="123"/>
  <c r="H62" i="123"/>
  <c r="R61" i="123"/>
  <c r="P61" i="123"/>
  <c r="O61" i="123"/>
  <c r="M61" i="123"/>
  <c r="S61" i="123"/>
  <c r="H61" i="123"/>
  <c r="N60" i="123"/>
  <c r="Q60" i="123" s="1"/>
  <c r="R60" i="123" s="1"/>
  <c r="M60" i="123"/>
  <c r="H60" i="123"/>
  <c r="N59" i="123"/>
  <c r="O59" i="123" s="1"/>
  <c r="M59" i="123"/>
  <c r="H59" i="123"/>
  <c r="N58" i="123"/>
  <c r="Q58" i="123" s="1"/>
  <c r="R58" i="123" s="1"/>
  <c r="M58" i="123"/>
  <c r="H58" i="123"/>
  <c r="N57" i="123"/>
  <c r="O57" i="123" s="1"/>
  <c r="M57" i="123"/>
  <c r="H57" i="123"/>
  <c r="R56" i="123"/>
  <c r="P56" i="123"/>
  <c r="O56" i="123"/>
  <c r="M56" i="123"/>
  <c r="S56" i="123"/>
  <c r="H56" i="123"/>
  <c r="N55" i="123"/>
  <c r="Q55" i="123" s="1"/>
  <c r="R55" i="123" s="1"/>
  <c r="M55" i="123"/>
  <c r="H55" i="123"/>
  <c r="N54" i="123"/>
  <c r="O54" i="123" s="1"/>
  <c r="M54" i="123"/>
  <c r="H54" i="123"/>
  <c r="N53" i="123"/>
  <c r="Q53" i="123" s="1"/>
  <c r="R53" i="123" s="1"/>
  <c r="M53" i="123"/>
  <c r="H53" i="123"/>
  <c r="R52" i="123"/>
  <c r="P52" i="123"/>
  <c r="O52" i="123"/>
  <c r="M52" i="123"/>
  <c r="S52" i="123"/>
  <c r="H52" i="123"/>
  <c r="N51" i="123"/>
  <c r="O51" i="123" s="1"/>
  <c r="M51" i="123"/>
  <c r="H51" i="123"/>
  <c r="N50" i="123"/>
  <c r="Q50" i="123" s="1"/>
  <c r="R50" i="123" s="1"/>
  <c r="M50" i="123"/>
  <c r="H50" i="123"/>
  <c r="N49" i="123"/>
  <c r="O49" i="123" s="1"/>
  <c r="M49" i="123"/>
  <c r="H49" i="123"/>
  <c r="S48" i="123"/>
  <c r="N47" i="123"/>
  <c r="Q47" i="123" s="1"/>
  <c r="R47" i="123" s="1"/>
  <c r="M47" i="123"/>
  <c r="H47" i="123"/>
  <c r="N46" i="123"/>
  <c r="O46" i="123" s="1"/>
  <c r="M46" i="123"/>
  <c r="H46" i="123"/>
  <c r="N45" i="123"/>
  <c r="Q45" i="123" s="1"/>
  <c r="R45" i="123" s="1"/>
  <c r="M45" i="123"/>
  <c r="H45" i="123"/>
  <c r="H44" i="123"/>
  <c r="N43" i="123"/>
  <c r="Q43" i="123" s="1"/>
  <c r="R43" i="123" s="1"/>
  <c r="M43" i="123"/>
  <c r="H43" i="123"/>
  <c r="N42" i="123"/>
  <c r="Q42" i="123" s="1"/>
  <c r="R42" i="123" s="1"/>
  <c r="M42" i="123"/>
  <c r="H42" i="123"/>
  <c r="N41" i="123"/>
  <c r="O41" i="123" s="1"/>
  <c r="M41" i="123"/>
  <c r="H41" i="123"/>
  <c r="S40" i="123"/>
  <c r="R40" i="123"/>
  <c r="P40" i="123"/>
  <c r="O40" i="123"/>
  <c r="M40" i="123"/>
  <c r="N39" i="123"/>
  <c r="Q39" i="123" s="1"/>
  <c r="R39" i="123" s="1"/>
  <c r="M39" i="123"/>
  <c r="H39" i="123"/>
  <c r="N38" i="123"/>
  <c r="O38" i="123" s="1"/>
  <c r="M38" i="123"/>
  <c r="H38" i="123"/>
  <c r="N37" i="123"/>
  <c r="Q37" i="123" s="1"/>
  <c r="R37" i="123" s="1"/>
  <c r="M37" i="123"/>
  <c r="H37" i="123"/>
  <c r="R36" i="123"/>
  <c r="S36" i="123"/>
  <c r="H36" i="123"/>
  <c r="N35" i="123"/>
  <c r="Q35" i="123" s="1"/>
  <c r="R35" i="123" s="1"/>
  <c r="M35" i="123"/>
  <c r="H35" i="123"/>
  <c r="N34" i="123"/>
  <c r="Q34" i="123" s="1"/>
  <c r="R34" i="123" s="1"/>
  <c r="M34" i="123"/>
  <c r="H34" i="123"/>
  <c r="S33" i="123"/>
  <c r="H33" i="123"/>
  <c r="S32" i="123"/>
  <c r="H32" i="123"/>
  <c r="N31" i="123"/>
  <c r="Q31" i="123" s="1"/>
  <c r="R31" i="123" s="1"/>
  <c r="M31" i="123"/>
  <c r="H31" i="123"/>
  <c r="N30" i="123"/>
  <c r="Q30" i="123" s="1"/>
  <c r="R30" i="123" s="1"/>
  <c r="M30" i="123"/>
  <c r="H30" i="123"/>
  <c r="R29" i="123"/>
  <c r="P29" i="123"/>
  <c r="S29" i="123"/>
  <c r="H29" i="123"/>
  <c r="N28" i="123"/>
  <c r="O28" i="123" s="1"/>
  <c r="M28" i="123"/>
  <c r="H28" i="123"/>
  <c r="N27" i="123"/>
  <c r="Q27" i="123" s="1"/>
  <c r="R27" i="123" s="1"/>
  <c r="M27" i="123"/>
  <c r="H27" i="123"/>
  <c r="H26" i="123"/>
  <c r="H25" i="123"/>
  <c r="S24" i="123"/>
  <c r="U23" i="123"/>
  <c r="S23" i="123"/>
  <c r="T23" i="123"/>
  <c r="N22" i="123"/>
  <c r="Q22" i="123" s="1"/>
  <c r="R22" i="123" s="1"/>
  <c r="M22" i="123"/>
  <c r="H22" i="123"/>
  <c r="U22" i="123" s="1"/>
  <c r="N21" i="123"/>
  <c r="Q21" i="123" s="1"/>
  <c r="R21" i="123" s="1"/>
  <c r="M21" i="123"/>
  <c r="H21" i="123"/>
  <c r="U21" i="123" s="1"/>
  <c r="H20" i="123"/>
  <c r="U20" i="123" s="1"/>
  <c r="Y19" i="123"/>
  <c r="N19" i="123"/>
  <c r="O19" i="123" s="1"/>
  <c r="M19" i="123"/>
  <c r="H19" i="123"/>
  <c r="U19" i="123" s="1"/>
  <c r="Y18" i="123"/>
  <c r="N18" i="123"/>
  <c r="Q18" i="123" s="1"/>
  <c r="R18" i="123" s="1"/>
  <c r="M18" i="123"/>
  <c r="H18" i="123"/>
  <c r="U18" i="123" s="1"/>
  <c r="Y17" i="123"/>
  <c r="N17" i="123"/>
  <c r="Q17" i="123" s="1"/>
  <c r="R17" i="123" s="1"/>
  <c r="M17" i="123"/>
  <c r="H17" i="123"/>
  <c r="U17" i="123" s="1"/>
  <c r="Y16" i="123"/>
  <c r="U16" i="123"/>
  <c r="T16" i="123"/>
  <c r="Y15" i="123"/>
  <c r="P15" i="123"/>
  <c r="P110" i="123" l="1"/>
  <c r="P49" i="123"/>
  <c r="P51" i="123"/>
  <c r="S58" i="123"/>
  <c r="S60" i="123"/>
  <c r="S31" i="123"/>
  <c r="P225" i="123"/>
  <c r="F35" i="127"/>
  <c r="F34" i="127"/>
  <c r="P255" i="123"/>
  <c r="P19" i="123"/>
  <c r="P57" i="123"/>
  <c r="P59" i="123"/>
  <c r="S235" i="123"/>
  <c r="F36" i="127"/>
  <c r="S35" i="123"/>
  <c r="P41" i="123"/>
  <c r="S43" i="123"/>
  <c r="P156" i="123"/>
  <c r="P200" i="123"/>
  <c r="O279" i="123"/>
  <c r="Y870" i="72" s="1"/>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R124" i="123" s="1"/>
  <c r="S124" i="123" s="1"/>
  <c r="P54" i="123"/>
  <c r="S73" i="123"/>
  <c r="S75" i="123"/>
  <c r="P85" i="123"/>
  <c r="P87" i="123"/>
  <c r="P175" i="123"/>
  <c r="P187" i="123"/>
  <c r="P191" i="123"/>
  <c r="P195" i="123"/>
  <c r="P209" i="123"/>
  <c r="P242" i="123"/>
  <c r="I258" i="123"/>
  <c r="C33" i="127"/>
  <c r="E33" i="127" s="1"/>
  <c r="S39" i="123"/>
  <c r="S68" i="123"/>
  <c r="S70" i="123"/>
  <c r="P82" i="123"/>
  <c r="S116" i="123"/>
  <c r="P132" i="123"/>
  <c r="P219" i="123"/>
  <c r="P182" i="123"/>
  <c r="P184" i="123"/>
  <c r="S199" i="123"/>
  <c r="P206" i="123"/>
  <c r="O89" i="123"/>
  <c r="P89" i="123" s="1"/>
  <c r="C34" i="127"/>
  <c r="E34" i="127" s="1"/>
  <c r="C35" i="127"/>
  <c r="E35" i="127" s="1"/>
  <c r="P161" i="123"/>
  <c r="P165" i="123"/>
  <c r="P169" i="123"/>
  <c r="P214" i="123"/>
  <c r="P236" i="123"/>
  <c r="P28" i="123"/>
  <c r="S53" i="123"/>
  <c r="S55" i="123"/>
  <c r="P72" i="123"/>
  <c r="P74" i="123"/>
  <c r="S86" i="123"/>
  <c r="S123" i="123"/>
  <c r="P125" i="123"/>
  <c r="C36" i="127"/>
  <c r="E36" i="127" s="1"/>
  <c r="P231" i="123"/>
  <c r="P253" i="123"/>
  <c r="V23" i="123"/>
  <c r="P38" i="123"/>
  <c r="P67" i="123"/>
  <c r="P69" i="123"/>
  <c r="S81" i="123"/>
  <c r="S83" i="123"/>
  <c r="P92" i="123"/>
  <c r="P117" i="123"/>
  <c r="O188" i="123"/>
  <c r="P188" i="123" s="1"/>
  <c r="Q209" i="123"/>
  <c r="R209" i="123" s="1"/>
  <c r="S209" i="123" s="1"/>
  <c r="S215" i="123"/>
  <c r="Q206" i="123"/>
  <c r="R206" i="123" s="1"/>
  <c r="S206" i="123" s="1"/>
  <c r="O215" i="123"/>
  <c r="P215" i="123" s="1"/>
  <c r="Q169" i="123"/>
  <c r="R169" i="123" s="1"/>
  <c r="S169" i="123" s="1"/>
  <c r="S217" i="123"/>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O139" i="123"/>
  <c r="P139" i="123" s="1"/>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J36" i="127" l="1"/>
  <c r="K36" i="127" s="1"/>
  <c r="H35" i="127"/>
  <c r="I35" i="127" s="1"/>
  <c r="H36" i="127"/>
  <c r="I36" i="127" s="1"/>
  <c r="G35" i="127"/>
  <c r="J35" i="127"/>
  <c r="G34" i="127"/>
  <c r="G36" i="127"/>
  <c r="H34" i="127"/>
  <c r="S101" i="123"/>
  <c r="J34" i="127"/>
  <c r="P18" i="123"/>
  <c r="J258" i="123"/>
  <c r="E42" i="43"/>
  <c r="I263" i="123"/>
  <c r="I262" i="123"/>
  <c r="C32" i="127"/>
  <c r="E32" i="127" s="1"/>
  <c r="Q34" i="127"/>
  <c r="Q33" i="127"/>
  <c r="Q36" i="127"/>
  <c r="Q35" i="127"/>
  <c r="S92" i="123"/>
  <c r="S19" i="123"/>
  <c r="V18" i="123"/>
  <c r="P154" i="123"/>
  <c r="P203" i="123"/>
  <c r="T21" i="123"/>
  <c r="V21" i="123" s="1"/>
  <c r="P17" i="123"/>
  <c r="N274" i="123"/>
  <c r="F273" i="123"/>
  <c r="H262" i="123"/>
  <c r="T262" i="123" s="1"/>
  <c r="W258" i="123"/>
  <c r="F272" i="123"/>
  <c r="H271" i="123"/>
  <c r="K265" i="123"/>
  <c r="T22" i="123"/>
  <c r="V22" i="123" s="1"/>
  <c r="AR93" i="118" l="1"/>
  <c r="AU94" i="118"/>
  <c r="M35" i="127"/>
  <c r="N35" i="127" s="1"/>
  <c r="M36" i="127"/>
  <c r="N36" i="127" s="1"/>
  <c r="K35" i="127"/>
  <c r="K34" i="127"/>
  <c r="I34" i="127"/>
  <c r="M34" i="127"/>
  <c r="M75" i="127" s="1"/>
  <c r="AQ92" i="118"/>
  <c r="L90" i="118"/>
  <c r="AU90" i="118" s="1"/>
  <c r="G87" i="118"/>
  <c r="C21" i="127"/>
  <c r="E21" i="127" s="1"/>
  <c r="R36" i="127"/>
  <c r="R35" i="127"/>
  <c r="Q32" i="127"/>
  <c r="G107" i="132"/>
  <c r="H107" i="132" s="1"/>
  <c r="L87" i="118"/>
  <c r="AU87" i="118" s="1"/>
  <c r="R34" i="127"/>
  <c r="K262" i="123"/>
  <c r="J262" i="123" s="1"/>
  <c r="K271" i="123"/>
  <c r="N34" i="127" l="1"/>
  <c r="G84" i="118"/>
  <c r="AQ80" i="118"/>
  <c r="Q21" i="127"/>
  <c r="Q42" i="127"/>
  <c r="D71" i="127"/>
  <c r="AA849" i="72" l="1"/>
  <c r="E32" i="43" l="1"/>
  <c r="E33" i="43"/>
  <c r="E31" i="43"/>
  <c r="E24" i="43"/>
  <c r="E25" i="43"/>
  <c r="E26" i="43"/>
  <c r="E27" i="43"/>
  <c r="E28" i="43"/>
  <c r="E29" i="43"/>
  <c r="E23" i="43"/>
  <c r="W85" i="72" l="1"/>
  <c r="AH209" i="72" l="1"/>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H118" i="72"/>
  <c r="AH119" i="72"/>
  <c r="AH120" i="72"/>
  <c r="AH121" i="72"/>
  <c r="AH122" i="72"/>
  <c r="AH123" i="72"/>
  <c r="AH124" i="72"/>
  <c r="AH125" i="72"/>
  <c r="AH126" i="72"/>
  <c r="AH127" i="72"/>
  <c r="AH128" i="72"/>
  <c r="AH129" i="72"/>
  <c r="AH130" i="72"/>
  <c r="AH131" i="72"/>
  <c r="AH132" i="72"/>
  <c r="AH133" i="72"/>
  <c r="AH134" i="72"/>
  <c r="AH135" i="72"/>
  <c r="AH136" i="72"/>
  <c r="AH137" i="72"/>
  <c r="AH138" i="72"/>
  <c r="AH139" i="72"/>
  <c r="AH140" i="72"/>
  <c r="AH141" i="72"/>
  <c r="AH142" i="72"/>
  <c r="AH143" i="72"/>
  <c r="AH144" i="72"/>
  <c r="AH145" i="72"/>
  <c r="AH146" i="72"/>
  <c r="AH147" i="72"/>
  <c r="AH148" i="72"/>
  <c r="AH149" i="72"/>
  <c r="AH150" i="72"/>
  <c r="AH151" i="72"/>
  <c r="AH152" i="72"/>
  <c r="AH153" i="72"/>
  <c r="AH154" i="72"/>
  <c r="AH155" i="72"/>
  <c r="AH156" i="72"/>
  <c r="AH157" i="72"/>
  <c r="AH158" i="72"/>
  <c r="AH159" i="72"/>
  <c r="AH160" i="72"/>
  <c r="AH161" i="72"/>
  <c r="AH162" i="72"/>
  <c r="AH163" i="72"/>
  <c r="AH164" i="72"/>
  <c r="AH165" i="72"/>
  <c r="AH166" i="72"/>
  <c r="AH167" i="72"/>
  <c r="AH168" i="72"/>
  <c r="AH169" i="72"/>
  <c r="AH170" i="72"/>
  <c r="AH171" i="72"/>
  <c r="AH172" i="72"/>
  <c r="AH173" i="72"/>
  <c r="AH174" i="72"/>
  <c r="AH175" i="72"/>
  <c r="AH176" i="72"/>
  <c r="AH177" i="72"/>
  <c r="AH178" i="72"/>
  <c r="AH179" i="72"/>
  <c r="AH180" i="72"/>
  <c r="AH181" i="72"/>
  <c r="AH182" i="72"/>
  <c r="AH183" i="72"/>
  <c r="AH184" i="72"/>
  <c r="AH185" i="72"/>
  <c r="AH186" i="72"/>
  <c r="AH187" i="72"/>
  <c r="AH188" i="72"/>
  <c r="AH189" i="72"/>
  <c r="AH190" i="72"/>
  <c r="AH191" i="72"/>
  <c r="AH192" i="72"/>
  <c r="AH193" i="72"/>
  <c r="AH194" i="72"/>
  <c r="AH195" i="72"/>
  <c r="AH196" i="72"/>
  <c r="AH197" i="72"/>
  <c r="AH198" i="72"/>
  <c r="AH199" i="72"/>
  <c r="AH200" i="72"/>
  <c r="AH201" i="72"/>
  <c r="AH202" i="72"/>
  <c r="AH203" i="72"/>
  <c r="AH204" i="72"/>
  <c r="AH205" i="72"/>
  <c r="AH206" i="72"/>
  <c r="AH207" i="72"/>
  <c r="AH208" i="72"/>
  <c r="AH210" i="72"/>
  <c r="AH211" i="72"/>
  <c r="AH212" i="72"/>
  <c r="AH213" i="72"/>
  <c r="AH214" i="72"/>
  <c r="AH215" i="72"/>
  <c r="AH216" i="72"/>
  <c r="AH217" i="72"/>
  <c r="AH218" i="72"/>
  <c r="AH219" i="72"/>
  <c r="AH220" i="72"/>
  <c r="AH221" i="72"/>
  <c r="AH222" i="72"/>
  <c r="AH223" i="72"/>
  <c r="AH224" i="72"/>
  <c r="AH225" i="72"/>
  <c r="AH226" i="72"/>
  <c r="AH227" i="72"/>
  <c r="AH228" i="72"/>
  <c r="AH229" i="72"/>
  <c r="AH230" i="72"/>
  <c r="AH231" i="72"/>
  <c r="AH232" i="72"/>
  <c r="AH233" i="72"/>
  <c r="AH234" i="72"/>
  <c r="AH235" i="72"/>
  <c r="AH236" i="72"/>
  <c r="AH237" i="72"/>
  <c r="AH238" i="72"/>
  <c r="AH239" i="72"/>
  <c r="AH240" i="72"/>
  <c r="AH241" i="72"/>
  <c r="AH242" i="72"/>
  <c r="AH243" i="72"/>
  <c r="AH244" i="72"/>
  <c r="AH245" i="72"/>
  <c r="AH246" i="72"/>
  <c r="AH247" i="72"/>
  <c r="AH248" i="72"/>
  <c r="AH249" i="72"/>
  <c r="AH250" i="72"/>
  <c r="AH251" i="72"/>
  <c r="AH252" i="72"/>
  <c r="AH253" i="72"/>
  <c r="AH254" i="72"/>
  <c r="AH255" i="72"/>
  <c r="AH256" i="72"/>
  <c r="AH257" i="72"/>
  <c r="AH258" i="72"/>
  <c r="AH259" i="72"/>
  <c r="AH260" i="72"/>
  <c r="AH261" i="72"/>
  <c r="AH262" i="72"/>
  <c r="AH263" i="72"/>
  <c r="AH264" i="72"/>
  <c r="AH265" i="72"/>
  <c r="AH266" i="72"/>
  <c r="AH267" i="72"/>
  <c r="AH268" i="72"/>
  <c r="AH269" i="72"/>
  <c r="AH270" i="72"/>
  <c r="AH271" i="72"/>
  <c r="AH272" i="72"/>
  <c r="AH273" i="72"/>
  <c r="AH274" i="72"/>
  <c r="AH275" i="72"/>
  <c r="AH276" i="72"/>
  <c r="AH277" i="72"/>
  <c r="AH278" i="72"/>
  <c r="AH279" i="72"/>
  <c r="AH280" i="72"/>
  <c r="AH281" i="72"/>
  <c r="AH282" i="72"/>
  <c r="AH283" i="72"/>
  <c r="AH284" i="72"/>
  <c r="AH285" i="72"/>
  <c r="AH286" i="72"/>
  <c r="AH287" i="72"/>
  <c r="AH288" i="72"/>
  <c r="AH289" i="72"/>
  <c r="AH290" i="72"/>
  <c r="AH291" i="72"/>
  <c r="AH292" i="72"/>
  <c r="AH293" i="72"/>
  <c r="AH294" i="72"/>
  <c r="AH295" i="72"/>
  <c r="AH296" i="72"/>
  <c r="AH297" i="72"/>
  <c r="AH298" i="72"/>
  <c r="AH299" i="72"/>
  <c r="AH300" i="72"/>
  <c r="AH301" i="72"/>
  <c r="AH302" i="72"/>
  <c r="AH303" i="72"/>
  <c r="AH304" i="72"/>
  <c r="AH305" i="72"/>
  <c r="AH306" i="72"/>
  <c r="AH307" i="72"/>
  <c r="AH308" i="72"/>
  <c r="AH309" i="72"/>
  <c r="AH310" i="72"/>
  <c r="AH311" i="72"/>
  <c r="AH312" i="72"/>
  <c r="AH313" i="72"/>
  <c r="AH314" i="72"/>
  <c r="AH315" i="72"/>
  <c r="AH316" i="72"/>
  <c r="AH317" i="72"/>
  <c r="AH318" i="72"/>
  <c r="AH319" i="72"/>
  <c r="AH320" i="72"/>
  <c r="AH321" i="72"/>
  <c r="AH322" i="72"/>
  <c r="AH323" i="72"/>
  <c r="AH324" i="72"/>
  <c r="AH325" i="72"/>
  <c r="AH326" i="72"/>
  <c r="AH327" i="72"/>
  <c r="AH328" i="72"/>
  <c r="AH329" i="72"/>
  <c r="AH330" i="72"/>
  <c r="AH331" i="72"/>
  <c r="AH332" i="72"/>
  <c r="AH333" i="72"/>
  <c r="AH334" i="72"/>
  <c r="AH335" i="72"/>
  <c r="AH336" i="72"/>
  <c r="AH337" i="72"/>
  <c r="AH338" i="72"/>
  <c r="AH339" i="72"/>
  <c r="AH340" i="72"/>
  <c r="AH341" i="72"/>
  <c r="AH342" i="72"/>
  <c r="AH343" i="72"/>
  <c r="AH344" i="72"/>
  <c r="AH345" i="72"/>
  <c r="AH346" i="72"/>
  <c r="AH347" i="72"/>
  <c r="AH348" i="72"/>
  <c r="AH349" i="72"/>
  <c r="AH350" i="72"/>
  <c r="AH351" i="72"/>
  <c r="AH352" i="72"/>
  <c r="AH353" i="72"/>
  <c r="AH354" i="72"/>
  <c r="AH355" i="72"/>
  <c r="AH356" i="72"/>
  <c r="AH357" i="72"/>
  <c r="AH358" i="72"/>
  <c r="AH359" i="72"/>
  <c r="AH360" i="72"/>
  <c r="AH361" i="72"/>
  <c r="AH362" i="72"/>
  <c r="AH363" i="72"/>
  <c r="AH364" i="72"/>
  <c r="AH365" i="72"/>
  <c r="AH366" i="72"/>
  <c r="AH367" i="72"/>
  <c r="AH368" i="72"/>
  <c r="AH369" i="72"/>
  <c r="AH370" i="72"/>
  <c r="AH371" i="72"/>
  <c r="AH372" i="72"/>
  <c r="AH373" i="72"/>
  <c r="AH374" i="72"/>
  <c r="AH375" i="72"/>
  <c r="AH376" i="72"/>
  <c r="AH377" i="72"/>
  <c r="AH378" i="72"/>
  <c r="AH379" i="72"/>
  <c r="AH380" i="72"/>
  <c r="AH381" i="72"/>
  <c r="AH382" i="72"/>
  <c r="AH383" i="72"/>
  <c r="AH384" i="72"/>
  <c r="AH385" i="72"/>
  <c r="AH386" i="72"/>
  <c r="AH387" i="72"/>
  <c r="AH388" i="72"/>
  <c r="AH389" i="72"/>
  <c r="AH390" i="72"/>
  <c r="AH391" i="72"/>
  <c r="AH392" i="72"/>
  <c r="AH393" i="72"/>
  <c r="AH394" i="72"/>
  <c r="AH395" i="72"/>
  <c r="AH396" i="72"/>
  <c r="AH397" i="72"/>
  <c r="AH398" i="72"/>
  <c r="AH399" i="72"/>
  <c r="AH400" i="72"/>
  <c r="AH401" i="72"/>
  <c r="AH402" i="72"/>
  <c r="AH403" i="72"/>
  <c r="AH404" i="72"/>
  <c r="AH405" i="72"/>
  <c r="AH406" i="72"/>
  <c r="AH407" i="72"/>
  <c r="AH408" i="72"/>
  <c r="AH410" i="72"/>
  <c r="AH411" i="72"/>
  <c r="AH412" i="72"/>
  <c r="AH413" i="72"/>
  <c r="AH414" i="72"/>
  <c r="AH415" i="72"/>
  <c r="AH416" i="72"/>
  <c r="AH417" i="72"/>
  <c r="AH418" i="72"/>
  <c r="AH419" i="72"/>
  <c r="AH420" i="72"/>
  <c r="AH421" i="72"/>
  <c r="AH422" i="72"/>
  <c r="AH423" i="72"/>
  <c r="AH424" i="72"/>
  <c r="AH425" i="72"/>
  <c r="AH426" i="72"/>
  <c r="AH427" i="72"/>
  <c r="AH428" i="72"/>
  <c r="AH429" i="72"/>
  <c r="AH430" i="72"/>
  <c r="AH431" i="72"/>
  <c r="AH432" i="72"/>
  <c r="AH433" i="72"/>
  <c r="AH434" i="72"/>
  <c r="AH435" i="72"/>
  <c r="AH436" i="72"/>
  <c r="AH437" i="72"/>
  <c r="AH438" i="72"/>
  <c r="AH439" i="72"/>
  <c r="AH440" i="72"/>
  <c r="AH441" i="72"/>
  <c r="AH442" i="72"/>
  <c r="AH443" i="72"/>
  <c r="AH444" i="72"/>
  <c r="AH445" i="72"/>
  <c r="AH446" i="72"/>
  <c r="AH447" i="72"/>
  <c r="AH448" i="72"/>
  <c r="AH449" i="72"/>
  <c r="AH450" i="72"/>
  <c r="AH451" i="72"/>
  <c r="AH452" i="72"/>
  <c r="AH453" i="72"/>
  <c r="AH454" i="72"/>
  <c r="AH455" i="72"/>
  <c r="AH456" i="72"/>
  <c r="AH457" i="72"/>
  <c r="AH458" i="72"/>
  <c r="AH459" i="72"/>
  <c r="AH460" i="72"/>
  <c r="AH461" i="72"/>
  <c r="AH462" i="72"/>
  <c r="AH463" i="72"/>
  <c r="AH464" i="72"/>
  <c r="AH465" i="72"/>
  <c r="AH466" i="72"/>
  <c r="AH467" i="72"/>
  <c r="AH468" i="72"/>
  <c r="AH469" i="72"/>
  <c r="AH470" i="72"/>
  <c r="AH471" i="72"/>
  <c r="AH472" i="72"/>
  <c r="AH473" i="72"/>
  <c r="AH474" i="72"/>
  <c r="AH475" i="72"/>
  <c r="AH476" i="72"/>
  <c r="AH477" i="72"/>
  <c r="AH478" i="72"/>
  <c r="AH479" i="72"/>
  <c r="AH480" i="72"/>
  <c r="AH481" i="72"/>
  <c r="AH482" i="72"/>
  <c r="AH483" i="72"/>
  <c r="AH484" i="72"/>
  <c r="AH485" i="72"/>
  <c r="AH486" i="72"/>
  <c r="AH487" i="72"/>
  <c r="AH488" i="72"/>
  <c r="AH489" i="72"/>
  <c r="AH490" i="72"/>
  <c r="AH491" i="72"/>
  <c r="AH492" i="72"/>
  <c r="AH493" i="72"/>
  <c r="AH494" i="72"/>
  <c r="AH495" i="72"/>
  <c r="AH496" i="72"/>
  <c r="AH497" i="72"/>
  <c r="AH498" i="72"/>
  <c r="AH499" i="72"/>
  <c r="AH500" i="72"/>
  <c r="AH501" i="72"/>
  <c r="AH502" i="72"/>
  <c r="AH503" i="72"/>
  <c r="AH504" i="72"/>
  <c r="AH505" i="72"/>
  <c r="AH506" i="72"/>
  <c r="AH507" i="72"/>
  <c r="AH508" i="72"/>
  <c r="AH509" i="72"/>
  <c r="AH510" i="72"/>
  <c r="AH511" i="72"/>
  <c r="AH512" i="72"/>
  <c r="AH513" i="72"/>
  <c r="AH514" i="72"/>
  <c r="AH515" i="72"/>
  <c r="AH516" i="72"/>
  <c r="AH517" i="72"/>
  <c r="AH518" i="72"/>
  <c r="AH519" i="72"/>
  <c r="AH520" i="72"/>
  <c r="AH521" i="72"/>
  <c r="AH522" i="72"/>
  <c r="AH523" i="72"/>
  <c r="AH524" i="72"/>
  <c r="AH525" i="72"/>
  <c r="AH526" i="72"/>
  <c r="AH527" i="72"/>
  <c r="AH528" i="72"/>
  <c r="AH529" i="72"/>
  <c r="AH530" i="72"/>
  <c r="AH531" i="72"/>
  <c r="AH532" i="72"/>
  <c r="AH533" i="72"/>
  <c r="AH534" i="72"/>
  <c r="AH535" i="72"/>
  <c r="AH536" i="72"/>
  <c r="AH537" i="72"/>
  <c r="AH538" i="72"/>
  <c r="AH539" i="72"/>
  <c r="AH540" i="72"/>
  <c r="AH541" i="72"/>
  <c r="AH542" i="72"/>
  <c r="AH543" i="72"/>
  <c r="AH544" i="72"/>
  <c r="AH545" i="72"/>
  <c r="AH546" i="72"/>
  <c r="AH547" i="72"/>
  <c r="AH548" i="72"/>
  <c r="AH549" i="72"/>
  <c r="AH550" i="72"/>
  <c r="AH551" i="72"/>
  <c r="AH552" i="72"/>
  <c r="AH553" i="72"/>
  <c r="AH554" i="72"/>
  <c r="AH555" i="72"/>
  <c r="AH556" i="72"/>
  <c r="AH557" i="72"/>
  <c r="AH558" i="72"/>
  <c r="AH559" i="72"/>
  <c r="AH560" i="72"/>
  <c r="AH561" i="72"/>
  <c r="AH562" i="72"/>
  <c r="AH563" i="72"/>
  <c r="AH564" i="72"/>
  <c r="AH565" i="72"/>
  <c r="AH566" i="72"/>
  <c r="AH567" i="72"/>
  <c r="AH568" i="72"/>
  <c r="AH569" i="72"/>
  <c r="AH570" i="72"/>
  <c r="AH571" i="72"/>
  <c r="AH572" i="72"/>
  <c r="AH573" i="72"/>
  <c r="AH574" i="72"/>
  <c r="AH575" i="72"/>
  <c r="AH576" i="72"/>
  <c r="AH577" i="72"/>
  <c r="AH578" i="72"/>
  <c r="AH579" i="72"/>
  <c r="AH580" i="72"/>
  <c r="AH581" i="72"/>
  <c r="AH582" i="72"/>
  <c r="AH583" i="72"/>
  <c r="AH584" i="72"/>
  <c r="AH585" i="72"/>
  <c r="AH586" i="72"/>
  <c r="AH587" i="72"/>
  <c r="AH588" i="72"/>
  <c r="AH589" i="72"/>
  <c r="AH590" i="72"/>
  <c r="AH591" i="72"/>
  <c r="AH592" i="72"/>
  <c r="AH593" i="72"/>
  <c r="AH594" i="72"/>
  <c r="AH595" i="72"/>
  <c r="AH596" i="72"/>
  <c r="AH597" i="72"/>
  <c r="AH598" i="72"/>
  <c r="AH599" i="72"/>
  <c r="AH600" i="72"/>
  <c r="AH601" i="72"/>
  <c r="AH602" i="72"/>
  <c r="AH603" i="72"/>
  <c r="AH604" i="72"/>
  <c r="AH605" i="72"/>
  <c r="AH606" i="72"/>
  <c r="AH607" i="72"/>
  <c r="AH608" i="72"/>
  <c r="AH609" i="72"/>
  <c r="AH610" i="72"/>
  <c r="AH611" i="72"/>
  <c r="AH612" i="72"/>
  <c r="AH613" i="72"/>
  <c r="AH614" i="72"/>
  <c r="AH615" i="72"/>
  <c r="AH616" i="72"/>
  <c r="AH617" i="72"/>
  <c r="AH618" i="72"/>
  <c r="AH619" i="72"/>
  <c r="AH620" i="72"/>
  <c r="AH621" i="72"/>
  <c r="AH622" i="72"/>
  <c r="AH623" i="72"/>
  <c r="AH624" i="72"/>
  <c r="AH625" i="72"/>
  <c r="AH626" i="72"/>
  <c r="AH627" i="72"/>
  <c r="AH628" i="72"/>
  <c r="AH629" i="72"/>
  <c r="AH630" i="72"/>
  <c r="AH631" i="72"/>
  <c r="AH632" i="72"/>
  <c r="AH633" i="72"/>
  <c r="AH634" i="72"/>
  <c r="AH635" i="72"/>
  <c r="AH636" i="72"/>
  <c r="AH637" i="72"/>
  <c r="AH638" i="72"/>
  <c r="AH639" i="72"/>
  <c r="AH640" i="72"/>
  <c r="AH641" i="72"/>
  <c r="AH642" i="72"/>
  <c r="AH643" i="72"/>
  <c r="AH644" i="72"/>
  <c r="AH645" i="72"/>
  <c r="AH646" i="72"/>
  <c r="AH647" i="72"/>
  <c r="AH648" i="72"/>
  <c r="AH649" i="72"/>
  <c r="AH650" i="72"/>
  <c r="AH651" i="72"/>
  <c r="AH652" i="72"/>
  <c r="AH653" i="72"/>
  <c r="AH654" i="72"/>
  <c r="AH655" i="72"/>
  <c r="AH656" i="72"/>
  <c r="AH657" i="72"/>
  <c r="AH658" i="72"/>
  <c r="AH659" i="72"/>
  <c r="AH660" i="72"/>
  <c r="AH661" i="72"/>
  <c r="AH662" i="72"/>
  <c r="AH663" i="72"/>
  <c r="AH664" i="72"/>
  <c r="AH665" i="72"/>
  <c r="AH666" i="72"/>
  <c r="AH667" i="72"/>
  <c r="AH668" i="72"/>
  <c r="AH669" i="72"/>
  <c r="AH670" i="72"/>
  <c r="AH671" i="72"/>
  <c r="AH672" i="72"/>
  <c r="AH673" i="72"/>
  <c r="AH674" i="72"/>
  <c r="AH675" i="72"/>
  <c r="AH676" i="72"/>
  <c r="AH677" i="72"/>
  <c r="AH678" i="72"/>
  <c r="AH679" i="72"/>
  <c r="AH680" i="72"/>
  <c r="AH681" i="72"/>
  <c r="AH682" i="72"/>
  <c r="AH683" i="72"/>
  <c r="AH684" i="72"/>
  <c r="AH685" i="72"/>
  <c r="AH686" i="72"/>
  <c r="AH687" i="72"/>
  <c r="AH688" i="72"/>
  <c r="AH689" i="72"/>
  <c r="AH690" i="72"/>
  <c r="AH691" i="72"/>
  <c r="AH692" i="72"/>
  <c r="AH693" i="72"/>
  <c r="AH694" i="72"/>
  <c r="AH695" i="72"/>
  <c r="AH696" i="72"/>
  <c r="AH697" i="72"/>
  <c r="AH698" i="72"/>
  <c r="AH699" i="72"/>
  <c r="AH700" i="72"/>
  <c r="AH701" i="72"/>
  <c r="AH702" i="72"/>
  <c r="AH703" i="72"/>
  <c r="AH704" i="72"/>
  <c r="AH705" i="72"/>
  <c r="AH706" i="72"/>
  <c r="AH707" i="72"/>
  <c r="AH708" i="72"/>
  <c r="AH709" i="72"/>
  <c r="AH710" i="72"/>
  <c r="AH711" i="72"/>
  <c r="AH712" i="72"/>
  <c r="AH713" i="72"/>
  <c r="AH714" i="72"/>
  <c r="AH715" i="72"/>
  <c r="AH716" i="72"/>
  <c r="AH717" i="72"/>
  <c r="AH718" i="72"/>
  <c r="AH719" i="72"/>
  <c r="AH720" i="72"/>
  <c r="AH721" i="72"/>
  <c r="AH722" i="72"/>
  <c r="AH723" i="72"/>
  <c r="AH724" i="72"/>
  <c r="AH725" i="72"/>
  <c r="AH726" i="72"/>
  <c r="AH727" i="72"/>
  <c r="AH728" i="72"/>
  <c r="AH729" i="72"/>
  <c r="AH730" i="72"/>
  <c r="AH731" i="72"/>
  <c r="AH732" i="72"/>
  <c r="AH733" i="72"/>
  <c r="AH734" i="72"/>
  <c r="AH735" i="72"/>
  <c r="AH736" i="72"/>
  <c r="AH737" i="72"/>
  <c r="AH738" i="72"/>
  <c r="AH739" i="72"/>
  <c r="AH740" i="72"/>
  <c r="AH741" i="72"/>
  <c r="AH742" i="72"/>
  <c r="AH743" i="72"/>
  <c r="AH744" i="72"/>
  <c r="AH745" i="72"/>
  <c r="AH746" i="72"/>
  <c r="AH747" i="72"/>
  <c r="AH748" i="72"/>
  <c r="AH749" i="72"/>
  <c r="AH750" i="72"/>
  <c r="AH751" i="72"/>
  <c r="AH752" i="72"/>
  <c r="AH753" i="72"/>
  <c r="AH754" i="72"/>
  <c r="AH755" i="72"/>
  <c r="AH756" i="72"/>
  <c r="AH757" i="72"/>
  <c r="AH758" i="72"/>
  <c r="AH759" i="72"/>
  <c r="AH760" i="72"/>
  <c r="AH761" i="72"/>
  <c r="AH762" i="72"/>
  <c r="AH763" i="72"/>
  <c r="AH764" i="72"/>
  <c r="AH765" i="72"/>
  <c r="AH766" i="72"/>
  <c r="AH767" i="72"/>
  <c r="AH768" i="72"/>
  <c r="AH769" i="72"/>
  <c r="AH770" i="72"/>
  <c r="AH771" i="72"/>
  <c r="AH772" i="72"/>
  <c r="AH773" i="72"/>
  <c r="AH774" i="72"/>
  <c r="AH775" i="72"/>
  <c r="AH776" i="72"/>
  <c r="AH777" i="72"/>
  <c r="AH778" i="72"/>
  <c r="AH779" i="72"/>
  <c r="AH780" i="72"/>
  <c r="AH781" i="72"/>
  <c r="AH782" i="72"/>
  <c r="AH783" i="72"/>
  <c r="AH784" i="72"/>
  <c r="AH785" i="72"/>
  <c r="AH786" i="72"/>
  <c r="AH787" i="72"/>
  <c r="AH788" i="72"/>
  <c r="AH789" i="72"/>
  <c r="AH790" i="72"/>
  <c r="AH791" i="72"/>
  <c r="AH792" i="72"/>
  <c r="AH793" i="72"/>
  <c r="AH794" i="72"/>
  <c r="AH795" i="72"/>
  <c r="AH796" i="72"/>
  <c r="AH797" i="72"/>
  <c r="AH798" i="72"/>
  <c r="AH799" i="72"/>
  <c r="AH800" i="72"/>
  <c r="AH801" i="72"/>
  <c r="AH802" i="72"/>
  <c r="AH803" i="72"/>
  <c r="AH804" i="72"/>
  <c r="AH805" i="72"/>
  <c r="AH806" i="72"/>
  <c r="AH807" i="72"/>
  <c r="AH808" i="72"/>
  <c r="AH809" i="72"/>
  <c r="AH810" i="72"/>
  <c r="AH811" i="72"/>
  <c r="AH812" i="72"/>
  <c r="AH813" i="72"/>
  <c r="AH814" i="72"/>
  <c r="AH815" i="72"/>
  <c r="AH816" i="72"/>
  <c r="AH817" i="72"/>
  <c r="AH818" i="72"/>
  <c r="AH819" i="72"/>
  <c r="AH820" i="72"/>
  <c r="AH821" i="72"/>
  <c r="AH822" i="72"/>
  <c r="AH823" i="72"/>
  <c r="AH824" i="72"/>
  <c r="AH825" i="72"/>
  <c r="AH826" i="72"/>
  <c r="AH827" i="72"/>
  <c r="AH828" i="72"/>
  <c r="AH829" i="72"/>
  <c r="AH830" i="72"/>
  <c r="AH831" i="72"/>
  <c r="AH832" i="72"/>
  <c r="AH833" i="72"/>
  <c r="AH834" i="72"/>
  <c r="AH835" i="72"/>
  <c r="AH836" i="72"/>
  <c r="AH837" i="72"/>
  <c r="AH838" i="72"/>
  <c r="AH16" i="72"/>
  <c r="AD835" i="72"/>
  <c r="AD830" i="72"/>
  <c r="AD828" i="72"/>
  <c r="AD826" i="72"/>
  <c r="AD825" i="72"/>
  <c r="AD823" i="72"/>
  <c r="AD820" i="72"/>
  <c r="AD818" i="72"/>
  <c r="AD816" i="72"/>
  <c r="AD815" i="72"/>
  <c r="AD807" i="72"/>
  <c r="AD803" i="72"/>
  <c r="AD801" i="72"/>
  <c r="AD800" i="72"/>
  <c r="AD790" i="72"/>
  <c r="AD787" i="72"/>
  <c r="AD785" i="72"/>
  <c r="AD783" i="72"/>
  <c r="AD781" i="72"/>
  <c r="AD779" i="72"/>
  <c r="AD775" i="72"/>
  <c r="AD774" i="72"/>
  <c r="AD765" i="72"/>
  <c r="AD762" i="72"/>
  <c r="AD759" i="72"/>
  <c r="AD757" i="72"/>
  <c r="AD751" i="72"/>
  <c r="AD747" i="72"/>
  <c r="AD745" i="72"/>
  <c r="AD743" i="72"/>
  <c r="AD735" i="72"/>
  <c r="AD734" i="72"/>
  <c r="AD733" i="72"/>
  <c r="AD732" i="72"/>
  <c r="AD731" i="72"/>
  <c r="AD729" i="72"/>
  <c r="AD727" i="72"/>
  <c r="AD725" i="72"/>
  <c r="AD723" i="72"/>
  <c r="AD722" i="72"/>
  <c r="AD720" i="72"/>
  <c r="AD717" i="72"/>
  <c r="AD714" i="72"/>
  <c r="AD713" i="72"/>
  <c r="AD710" i="72"/>
  <c r="AD707" i="72"/>
  <c r="AD704" i="72"/>
  <c r="AD700" i="72"/>
  <c r="AD697" i="72"/>
  <c r="AD695" i="72"/>
  <c r="AD692" i="72"/>
  <c r="AD685" i="72"/>
  <c r="AD684" i="72"/>
  <c r="AD681" i="72"/>
  <c r="AD678" i="72"/>
  <c r="AD668" i="72"/>
  <c r="AD664" i="72"/>
  <c r="AD645" i="72"/>
  <c r="AD618" i="72"/>
  <c r="AD617" i="72"/>
  <c r="AD614" i="72"/>
  <c r="AD611" i="72"/>
  <c r="AD605" i="72"/>
  <c r="AD604" i="72"/>
  <c r="AD599" i="72"/>
  <c r="AD594" i="72"/>
  <c r="AD576" i="72"/>
  <c r="AD572" i="72"/>
  <c r="AD565" i="72"/>
  <c r="AD560" i="72"/>
  <c r="AD559" i="72"/>
  <c r="AD551" i="72"/>
  <c r="AD535" i="72"/>
  <c r="AD526" i="72"/>
  <c r="AD525" i="72"/>
  <c r="AD521" i="72"/>
  <c r="AD513" i="72"/>
  <c r="AD491" i="72"/>
  <c r="AD488" i="72"/>
  <c r="AD481" i="72"/>
  <c r="AD478" i="72"/>
  <c r="AD477" i="72"/>
  <c r="AD475" i="72"/>
  <c r="AD473" i="72"/>
  <c r="AD451" i="72"/>
  <c r="AD443" i="72"/>
  <c r="AD442" i="72"/>
  <c r="AD441" i="72"/>
  <c r="AD430" i="72"/>
  <c r="AD424" i="72"/>
  <c r="AD417" i="72"/>
  <c r="AD413" i="72"/>
  <c r="AD398" i="72"/>
  <c r="AD394" i="72"/>
  <c r="AD383" i="72"/>
  <c r="AD374" i="72"/>
  <c r="AD364" i="72"/>
  <c r="AD359" i="72"/>
  <c r="AD355" i="72"/>
  <c r="AD354" i="72"/>
  <c r="AD346" i="72"/>
  <c r="AD341" i="72"/>
  <c r="AD337" i="72"/>
  <c r="AD336" i="72"/>
  <c r="AD331" i="72"/>
  <c r="AD317" i="72"/>
  <c r="AD315" i="72"/>
  <c r="AD314" i="72"/>
  <c r="AD311" i="72"/>
  <c r="AD288" i="72"/>
  <c r="AD280" i="72"/>
  <c r="AD279" i="72"/>
  <c r="AD276" i="72"/>
  <c r="AD270" i="72"/>
  <c r="AD266" i="72"/>
  <c r="AD255" i="72"/>
  <c r="AD244" i="72"/>
  <c r="AD235" i="72"/>
  <c r="AD230" i="72"/>
  <c r="AD229" i="72"/>
  <c r="AD223" i="72"/>
  <c r="AD218" i="72"/>
  <c r="AD217" i="72"/>
  <c r="AD213" i="72"/>
  <c r="AD208" i="72"/>
  <c r="AD207" i="72"/>
  <c r="AD203" i="72"/>
  <c r="AD199" i="72"/>
  <c r="AD195" i="72"/>
  <c r="AD191" i="72"/>
  <c r="AD187" i="72"/>
  <c r="AD183" i="72"/>
  <c r="AD178" i="72"/>
  <c r="AD173" i="72"/>
  <c r="AD168" i="72"/>
  <c r="AD163" i="72"/>
  <c r="AD158" i="72"/>
  <c r="AD153" i="72"/>
  <c r="AD149" i="72"/>
  <c r="AD145" i="72"/>
  <c r="AD141" i="72"/>
  <c r="AD137" i="72"/>
  <c r="AD130" i="72"/>
  <c r="AD126" i="72"/>
  <c r="AD122" i="72"/>
  <c r="AD119" i="72"/>
  <c r="AD118" i="72"/>
  <c r="AD110" i="72"/>
  <c r="AD107" i="72"/>
  <c r="AD104" i="72"/>
  <c r="AD99" i="72"/>
  <c r="AD96" i="72"/>
  <c r="AD93" i="72"/>
  <c r="AD91" i="72"/>
  <c r="AD89" i="72"/>
  <c r="AD88" i="72"/>
  <c r="AD81" i="72"/>
  <c r="AD80" i="72"/>
  <c r="AD73" i="72"/>
  <c r="AD71" i="72"/>
  <c r="AD32" i="72"/>
  <c r="AD28" i="72"/>
  <c r="AD23" i="72"/>
  <c r="AD17" i="72"/>
  <c r="AJ85" i="72"/>
  <c r="Y837" i="72" l="1"/>
  <c r="Y835" i="72"/>
  <c r="Y830" i="72"/>
  <c r="Y828" i="72"/>
  <c r="Y826" i="72"/>
  <c r="Y825" i="72"/>
  <c r="Y823" i="72"/>
  <c r="Y820" i="72"/>
  <c r="Y818" i="72"/>
  <c r="Y816" i="72"/>
  <c r="Y815" i="72"/>
  <c r="Y811" i="72"/>
  <c r="Y809" i="72"/>
  <c r="Y807" i="72"/>
  <c r="Y803" i="72"/>
  <c r="Y801" i="72"/>
  <c r="Y800" i="72"/>
  <c r="Y790" i="72"/>
  <c r="Y787" i="72"/>
  <c r="Y785" i="72"/>
  <c r="Y783" i="72"/>
  <c r="Y781" i="72"/>
  <c r="Y779" i="72"/>
  <c r="Y775" i="72"/>
  <c r="Y774" i="72"/>
  <c r="Y765" i="72"/>
  <c r="Y762" i="72"/>
  <c r="Y759" i="72"/>
  <c r="Y757" i="72"/>
  <c r="Y751" i="72"/>
  <c r="Y747" i="72"/>
  <c r="Y745" i="72"/>
  <c r="Y729" i="72"/>
  <c r="Y727" i="72"/>
  <c r="Y723" i="72"/>
  <c r="Y722" i="72"/>
  <c r="Y720" i="72"/>
  <c r="Y717" i="72"/>
  <c r="Y714" i="72"/>
  <c r="Y713" i="72"/>
  <c r="Y710" i="72"/>
  <c r="Y707" i="72"/>
  <c r="Y704" i="72"/>
  <c r="Y700" i="72"/>
  <c r="Y697" i="72"/>
  <c r="Y695" i="72"/>
  <c r="Y692" i="72"/>
  <c r="Y685" i="72"/>
  <c r="Y684" i="72"/>
  <c r="Y681" i="72"/>
  <c r="Y678" i="72"/>
  <c r="Y673" i="72"/>
  <c r="Y672" i="72"/>
  <c r="Y668" i="72"/>
  <c r="Y664" i="72"/>
  <c r="Y645" i="72"/>
  <c r="Y618" i="72"/>
  <c r="Y617" i="72"/>
  <c r="Y614" i="72"/>
  <c r="Y611" i="72"/>
  <c r="Y605" i="72"/>
  <c r="Y604" i="72"/>
  <c r="Y601" i="72"/>
  <c r="Y599" i="72"/>
  <c r="Y594" i="72"/>
  <c r="Y576" i="72"/>
  <c r="Y551" i="72"/>
  <c r="Y535" i="72"/>
  <c r="Y526" i="72"/>
  <c r="Y525" i="72"/>
  <c r="Y521" i="72"/>
  <c r="Y518" i="72"/>
  <c r="Y513" i="72"/>
  <c r="Y491" i="72"/>
  <c r="Y488" i="72"/>
  <c r="Y481" i="72"/>
  <c r="Y478" i="72"/>
  <c r="Y477" i="72"/>
  <c r="Y475" i="72"/>
  <c r="Y473" i="72"/>
  <c r="Y451" i="72"/>
  <c r="Y430" i="72"/>
  <c r="Y424" i="72"/>
  <c r="Y417" i="72"/>
  <c r="Y413" i="72"/>
  <c r="Y398" i="72"/>
  <c r="Y394" i="72"/>
  <c r="Y383" i="72"/>
  <c r="Y374" i="72"/>
  <c r="Y364" i="72"/>
  <c r="Y359" i="72"/>
  <c r="Y355" i="72"/>
  <c r="Y354" i="72"/>
  <c r="Y346" i="72"/>
  <c r="Y344" i="72"/>
  <c r="Y341" i="72"/>
  <c r="Y337" i="72"/>
  <c r="Y336" i="72"/>
  <c r="Y331" i="72"/>
  <c r="Y317" i="72"/>
  <c r="Y315" i="72"/>
  <c r="Y314" i="72"/>
  <c r="Y311" i="72"/>
  <c r="Y288" i="72"/>
  <c r="Y280" i="72"/>
  <c r="Y279" i="72"/>
  <c r="Y276" i="72"/>
  <c r="Y270" i="72"/>
  <c r="Y266" i="72"/>
  <c r="Y255" i="72"/>
  <c r="Y244" i="72"/>
  <c r="Y235" i="72"/>
  <c r="Y230" i="72"/>
  <c r="Y229" i="72"/>
  <c r="Y227" i="72"/>
  <c r="Y223" i="72"/>
  <c r="Y218" i="72"/>
  <c r="Y217" i="72"/>
  <c r="Y213" i="72"/>
  <c r="Y208" i="72"/>
  <c r="Y207" i="72"/>
  <c r="Y203" i="72"/>
  <c r="Y199" i="72"/>
  <c r="Y195" i="72"/>
  <c r="Y191" i="72"/>
  <c r="Y187" i="72"/>
  <c r="Y183" i="72"/>
  <c r="Y178" i="72"/>
  <c r="Y173" i="72"/>
  <c r="Y168" i="72"/>
  <c r="Y163" i="72"/>
  <c r="Y158" i="72"/>
  <c r="Y153" i="72"/>
  <c r="Y149" i="72"/>
  <c r="Y145" i="72"/>
  <c r="Y141" i="72"/>
  <c r="Y137" i="72"/>
  <c r="Y130" i="72"/>
  <c r="Y126" i="72"/>
  <c r="Y122" i="72"/>
  <c r="Y116" i="72"/>
  <c r="Y113" i="72"/>
  <c r="Y110" i="72"/>
  <c r="Y107" i="72"/>
  <c r="Y104" i="72"/>
  <c r="Y96" i="72"/>
  <c r="Y93" i="72"/>
  <c r="Y91" i="72"/>
  <c r="Y81" i="72"/>
  <c r="Y80" i="72"/>
  <c r="Y73" i="72"/>
  <c r="Y71" i="72"/>
  <c r="Y32" i="72"/>
  <c r="Y23" i="72"/>
  <c r="AA23" i="72"/>
  <c r="AA32" i="72"/>
  <c r="AA71" i="72"/>
  <c r="AA73" i="72"/>
  <c r="AA80" i="72"/>
  <c r="AA81" i="72"/>
  <c r="AA91" i="72"/>
  <c r="AA93" i="72"/>
  <c r="AA96" i="72"/>
  <c r="AA104" i="72"/>
  <c r="AA107" i="72"/>
  <c r="AA122" i="72"/>
  <c r="AA126" i="72"/>
  <c r="AA130" i="72"/>
  <c r="AA137" i="72"/>
  <c r="AA141" i="72"/>
  <c r="AA145" i="72"/>
  <c r="AA149" i="72"/>
  <c r="AA153" i="72"/>
  <c r="AA158" i="72"/>
  <c r="AA163" i="72"/>
  <c r="AA168" i="72"/>
  <c r="AA173" i="72"/>
  <c r="AA178" i="72"/>
  <c r="AA183" i="72"/>
  <c r="AA187" i="72"/>
  <c r="AA191" i="72"/>
  <c r="AA195" i="72"/>
  <c r="AA199" i="72"/>
  <c r="AA203" i="72"/>
  <c r="AA207" i="72"/>
  <c r="AA208" i="72"/>
  <c r="AA213" i="72"/>
  <c r="AA217" i="72"/>
  <c r="AA218" i="72"/>
  <c r="AA223" i="72"/>
  <c r="AA229" i="72"/>
  <c r="AA230" i="72"/>
  <c r="AA235" i="72"/>
  <c r="AA244" i="72"/>
  <c r="AA255" i="72"/>
  <c r="AA266" i="72"/>
  <c r="AA270" i="72"/>
  <c r="AA276" i="72"/>
  <c r="AA279" i="72"/>
  <c r="AA280" i="72"/>
  <c r="AA288" i="72"/>
  <c r="AA311" i="72"/>
  <c r="AA314" i="72"/>
  <c r="AA315" i="72"/>
  <c r="AA317" i="72"/>
  <c r="AA331" i="72"/>
  <c r="AA336" i="72"/>
  <c r="AA337" i="72"/>
  <c r="AA341" i="72"/>
  <c r="AA346" i="72"/>
  <c r="AA354" i="72"/>
  <c r="AA355" i="72"/>
  <c r="AA359" i="72"/>
  <c r="AA364" i="72"/>
  <c r="AA374" i="72"/>
  <c r="AA383" i="72"/>
  <c r="AA394" i="72"/>
  <c r="AA398" i="72"/>
  <c r="AA413" i="72"/>
  <c r="AA417" i="72"/>
  <c r="AA424" i="72"/>
  <c r="AA430" i="72"/>
  <c r="AA451" i="72"/>
  <c r="AA473" i="72"/>
  <c r="AA475" i="72"/>
  <c r="AA477" i="72"/>
  <c r="AA478" i="72"/>
  <c r="AA481" i="72"/>
  <c r="AA488" i="72"/>
  <c r="AA491" i="72"/>
  <c r="AA513" i="72"/>
  <c r="AA521" i="72"/>
  <c r="AA525" i="72"/>
  <c r="AA526" i="72"/>
  <c r="AA535" i="72"/>
  <c r="AA551" i="72"/>
  <c r="AA576" i="72"/>
  <c r="AA594" i="72"/>
  <c r="AA599" i="72"/>
  <c r="AA604" i="72"/>
  <c r="AA605" i="72"/>
  <c r="AA611" i="72"/>
  <c r="AA614" i="72"/>
  <c r="AA617" i="72"/>
  <c r="AA618" i="72"/>
  <c r="AA645" i="72"/>
  <c r="AA664" i="72"/>
  <c r="AA668" i="72"/>
  <c r="AA678" i="72"/>
  <c r="AA681" i="72"/>
  <c r="AA684" i="72"/>
  <c r="AA685" i="72"/>
  <c r="AA692" i="72"/>
  <c r="AA695" i="72"/>
  <c r="AA697" i="72"/>
  <c r="AA700" i="72"/>
  <c r="AA704" i="72"/>
  <c r="AA707" i="72"/>
  <c r="AA710" i="72"/>
  <c r="AA713" i="72"/>
  <c r="AA714" i="72"/>
  <c r="AA717" i="72"/>
  <c r="AA720" i="72"/>
  <c r="AA722" i="72"/>
  <c r="AA723" i="72"/>
  <c r="AA727" i="72"/>
  <c r="AA729" i="72"/>
  <c r="AA751" i="72"/>
  <c r="AA757" i="72"/>
  <c r="AA759" i="72"/>
  <c r="AA762" i="72"/>
  <c r="AA765" i="72"/>
  <c r="AA774" i="72"/>
  <c r="AA775" i="72"/>
  <c r="AA779" i="72"/>
  <c r="AA781" i="72"/>
  <c r="AA783" i="72"/>
  <c r="AA785" i="72"/>
  <c r="AA787" i="72"/>
  <c r="AA790" i="72"/>
  <c r="AA800" i="72"/>
  <c r="AA801" i="72"/>
  <c r="AA803" i="72"/>
  <c r="AA807" i="72"/>
  <c r="AA815" i="72"/>
  <c r="AA816" i="72"/>
  <c r="AA818" i="72"/>
  <c r="AA820" i="72"/>
  <c r="AA823" i="72"/>
  <c r="AA825" i="72"/>
  <c r="AA826" i="72"/>
  <c r="AA828" i="72"/>
  <c r="AA830" i="72"/>
  <c r="AA835" i="72"/>
  <c r="N17" i="72" l="1"/>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N118" i="72"/>
  <c r="N119" i="72"/>
  <c r="N120" i="72"/>
  <c r="N121" i="72"/>
  <c r="N122" i="72"/>
  <c r="N123" i="72"/>
  <c r="N124" i="72"/>
  <c r="N125" i="72"/>
  <c r="N126" i="72"/>
  <c r="N127" i="72"/>
  <c r="N128" i="72"/>
  <c r="N129" i="72"/>
  <c r="N130" i="72"/>
  <c r="N131" i="72"/>
  <c r="N132" i="72"/>
  <c r="N133" i="72"/>
  <c r="N134" i="72"/>
  <c r="N135" i="72"/>
  <c r="N136" i="72"/>
  <c r="N137" i="72"/>
  <c r="N138" i="72"/>
  <c r="N139" i="72"/>
  <c r="N140" i="72"/>
  <c r="N141" i="72"/>
  <c r="N142" i="72"/>
  <c r="N143" i="72"/>
  <c r="N144" i="72"/>
  <c r="N145" i="72"/>
  <c r="N146" i="72"/>
  <c r="N147" i="72"/>
  <c r="N148" i="72"/>
  <c r="N149" i="72"/>
  <c r="N150" i="72"/>
  <c r="N151" i="72"/>
  <c r="N152" i="72"/>
  <c r="N153" i="72"/>
  <c r="N154" i="72"/>
  <c r="N155" i="72"/>
  <c r="N156" i="72"/>
  <c r="N157" i="72"/>
  <c r="N158" i="72"/>
  <c r="N159" i="72"/>
  <c r="N160" i="72"/>
  <c r="N161" i="72"/>
  <c r="N162" i="72"/>
  <c r="N163" i="72"/>
  <c r="N164" i="72"/>
  <c r="N165" i="72"/>
  <c r="N166" i="72"/>
  <c r="N167" i="72"/>
  <c r="N168" i="72"/>
  <c r="N169" i="72"/>
  <c r="N170" i="72"/>
  <c r="N171" i="72"/>
  <c r="N172" i="72"/>
  <c r="N173" i="72"/>
  <c r="N174" i="72"/>
  <c r="N175" i="72"/>
  <c r="N176" i="72"/>
  <c r="N177" i="72"/>
  <c r="N178" i="72"/>
  <c r="N179" i="72"/>
  <c r="N180" i="72"/>
  <c r="N181" i="72"/>
  <c r="N182" i="72"/>
  <c r="N183" i="72"/>
  <c r="N184" i="72"/>
  <c r="N185" i="72"/>
  <c r="N186" i="72"/>
  <c r="N187" i="72"/>
  <c r="N188" i="72"/>
  <c r="N189" i="72"/>
  <c r="N190" i="72"/>
  <c r="N191" i="72"/>
  <c r="N192" i="72"/>
  <c r="N193" i="72"/>
  <c r="N194" i="72"/>
  <c r="N195" i="72"/>
  <c r="N196" i="72"/>
  <c r="N197" i="72"/>
  <c r="N198" i="72"/>
  <c r="N199" i="72"/>
  <c r="N200" i="72"/>
  <c r="N201" i="72"/>
  <c r="N202" i="72"/>
  <c r="N203" i="72"/>
  <c r="N204" i="72"/>
  <c r="N205" i="72"/>
  <c r="N206" i="72"/>
  <c r="N207" i="72"/>
  <c r="N208" i="72"/>
  <c r="N209" i="72"/>
  <c r="N210" i="72"/>
  <c r="N211" i="72"/>
  <c r="N212" i="72"/>
  <c r="N213" i="72"/>
  <c r="N214" i="72"/>
  <c r="N215" i="72"/>
  <c r="N216" i="72"/>
  <c r="N217" i="72"/>
  <c r="N218" i="72"/>
  <c r="N219" i="72"/>
  <c r="N220" i="72"/>
  <c r="N221" i="72"/>
  <c r="N222" i="72"/>
  <c r="N223" i="72"/>
  <c r="N224" i="72"/>
  <c r="N225" i="72"/>
  <c r="N226" i="72"/>
  <c r="N227" i="72"/>
  <c r="N228" i="72"/>
  <c r="N229" i="72"/>
  <c r="N230" i="72"/>
  <c r="N231" i="72"/>
  <c r="N232" i="72"/>
  <c r="N233" i="72"/>
  <c r="N234" i="72"/>
  <c r="N235" i="72"/>
  <c r="N236" i="72"/>
  <c r="N237" i="72"/>
  <c r="N238" i="72"/>
  <c r="N239" i="72"/>
  <c r="N240" i="72"/>
  <c r="N241" i="72"/>
  <c r="N242" i="72"/>
  <c r="N243" i="72"/>
  <c r="N244" i="72"/>
  <c r="N245" i="72"/>
  <c r="N246" i="72"/>
  <c r="N247" i="72"/>
  <c r="N248" i="72"/>
  <c r="N249" i="72"/>
  <c r="N250" i="72"/>
  <c r="N251" i="72"/>
  <c r="N252" i="72"/>
  <c r="N253" i="72"/>
  <c r="N254" i="72"/>
  <c r="N255" i="72"/>
  <c r="N256" i="72"/>
  <c r="N257" i="72"/>
  <c r="N258" i="72"/>
  <c r="N259" i="72"/>
  <c r="N260" i="72"/>
  <c r="N261" i="72"/>
  <c r="N262" i="72"/>
  <c r="N263" i="72"/>
  <c r="N264" i="72"/>
  <c r="N265" i="72"/>
  <c r="N266" i="72"/>
  <c r="N267" i="72"/>
  <c r="N268" i="72"/>
  <c r="N269" i="72"/>
  <c r="N270" i="72"/>
  <c r="N271" i="72"/>
  <c r="N272" i="72"/>
  <c r="N273" i="72"/>
  <c r="N274" i="72"/>
  <c r="N275" i="72"/>
  <c r="N276" i="72"/>
  <c r="N277" i="72"/>
  <c r="N278" i="72"/>
  <c r="N279" i="72"/>
  <c r="N280" i="72"/>
  <c r="N281" i="72"/>
  <c r="N282" i="72"/>
  <c r="N283" i="72"/>
  <c r="N284" i="72"/>
  <c r="N285" i="72"/>
  <c r="N286" i="72"/>
  <c r="N287" i="72"/>
  <c r="N288" i="72"/>
  <c r="N289" i="72"/>
  <c r="N290" i="72"/>
  <c r="N291" i="72"/>
  <c r="N292" i="72"/>
  <c r="N293" i="72"/>
  <c r="N294" i="72"/>
  <c r="N295" i="72"/>
  <c r="N296" i="72"/>
  <c r="N297" i="72"/>
  <c r="N298" i="72"/>
  <c r="N299" i="72"/>
  <c r="N300" i="72"/>
  <c r="N301" i="72"/>
  <c r="N302" i="72"/>
  <c r="N303" i="72"/>
  <c r="N304" i="72"/>
  <c r="N305" i="72"/>
  <c r="N306" i="72"/>
  <c r="N307" i="72"/>
  <c r="N308" i="72"/>
  <c r="N309" i="72"/>
  <c r="N310" i="72"/>
  <c r="N311" i="72"/>
  <c r="N312" i="72"/>
  <c r="N313" i="72"/>
  <c r="N314" i="72"/>
  <c r="N315" i="72"/>
  <c r="N316" i="72"/>
  <c r="N317" i="72"/>
  <c r="N318" i="72"/>
  <c r="N319" i="72"/>
  <c r="N320" i="72"/>
  <c r="N321" i="72"/>
  <c r="N322" i="72"/>
  <c r="N323" i="72"/>
  <c r="N324" i="72"/>
  <c r="N325" i="72"/>
  <c r="N326" i="72"/>
  <c r="N327" i="72"/>
  <c r="N328" i="72"/>
  <c r="N329" i="72"/>
  <c r="N330" i="72"/>
  <c r="N331" i="72"/>
  <c r="N332" i="72"/>
  <c r="N333" i="72"/>
  <c r="N334" i="72"/>
  <c r="N335" i="72"/>
  <c r="N336" i="72"/>
  <c r="N337" i="72"/>
  <c r="N338" i="72"/>
  <c r="N339" i="72"/>
  <c r="N340" i="72"/>
  <c r="N341" i="72"/>
  <c r="N342" i="72"/>
  <c r="N343" i="72"/>
  <c r="N344" i="72"/>
  <c r="N345" i="72"/>
  <c r="N346" i="72"/>
  <c r="N347" i="72"/>
  <c r="N348" i="72"/>
  <c r="N349" i="72"/>
  <c r="N350" i="72"/>
  <c r="N351" i="72"/>
  <c r="N352" i="72"/>
  <c r="N353" i="72"/>
  <c r="N354" i="72"/>
  <c r="N355" i="72"/>
  <c r="N356" i="72"/>
  <c r="N357" i="72"/>
  <c r="N358" i="72"/>
  <c r="N359" i="72"/>
  <c r="N360" i="72"/>
  <c r="N361" i="72"/>
  <c r="N362" i="72"/>
  <c r="N363" i="72"/>
  <c r="N364" i="72"/>
  <c r="N365" i="72"/>
  <c r="N366" i="72"/>
  <c r="N367" i="72"/>
  <c r="N368" i="72"/>
  <c r="N369" i="72"/>
  <c r="N370" i="72"/>
  <c r="N371" i="72"/>
  <c r="N372" i="72"/>
  <c r="N373" i="72"/>
  <c r="N374" i="72"/>
  <c r="N375" i="72"/>
  <c r="N376" i="72"/>
  <c r="N377" i="72"/>
  <c r="N378" i="72"/>
  <c r="N379" i="72"/>
  <c r="N380" i="72"/>
  <c r="N381" i="72"/>
  <c r="N382" i="72"/>
  <c r="N383" i="72"/>
  <c r="N384" i="72"/>
  <c r="N385" i="72"/>
  <c r="N386" i="72"/>
  <c r="N387" i="72"/>
  <c r="N388" i="72"/>
  <c r="N389" i="72"/>
  <c r="N390" i="72"/>
  <c r="N391" i="72"/>
  <c r="N392" i="72"/>
  <c r="N393" i="72"/>
  <c r="N394" i="72"/>
  <c r="N395" i="72"/>
  <c r="N396" i="72"/>
  <c r="N397" i="72"/>
  <c r="N398" i="72"/>
  <c r="N399" i="72"/>
  <c r="N400" i="72"/>
  <c r="N401" i="72"/>
  <c r="N402" i="72"/>
  <c r="N403" i="72"/>
  <c r="N404" i="72"/>
  <c r="N405" i="72"/>
  <c r="N406" i="72"/>
  <c r="N407" i="72"/>
  <c r="N408" i="72"/>
  <c r="N410" i="72"/>
  <c r="N411" i="72"/>
  <c r="N412" i="72"/>
  <c r="N413" i="72"/>
  <c r="N414" i="72"/>
  <c r="N415" i="72"/>
  <c r="N416" i="72"/>
  <c r="N417" i="72"/>
  <c r="N418" i="72"/>
  <c r="N419" i="72"/>
  <c r="N420" i="72"/>
  <c r="N421" i="72"/>
  <c r="N422" i="72"/>
  <c r="N423" i="72"/>
  <c r="N424" i="72"/>
  <c r="N425" i="72"/>
  <c r="N426" i="72"/>
  <c r="N427" i="72"/>
  <c r="N428" i="72"/>
  <c r="N429" i="72"/>
  <c r="N430" i="72"/>
  <c r="N431" i="72"/>
  <c r="N432" i="72"/>
  <c r="N433" i="72"/>
  <c r="N434" i="72"/>
  <c r="N435" i="72"/>
  <c r="N436" i="72"/>
  <c r="N437" i="72"/>
  <c r="N438" i="72"/>
  <c r="N439" i="72"/>
  <c r="N440" i="72"/>
  <c r="N441" i="72"/>
  <c r="N442" i="72"/>
  <c r="N443" i="72"/>
  <c r="N444" i="72"/>
  <c r="N445" i="72"/>
  <c r="N446" i="72"/>
  <c r="N447" i="72"/>
  <c r="N448" i="72"/>
  <c r="N449" i="72"/>
  <c r="N450" i="72"/>
  <c r="N451" i="72"/>
  <c r="N452" i="72"/>
  <c r="N453" i="72"/>
  <c r="N454" i="72"/>
  <c r="N455" i="72"/>
  <c r="N456" i="72"/>
  <c r="N457" i="72"/>
  <c r="N458" i="72"/>
  <c r="N459" i="72"/>
  <c r="N460" i="72"/>
  <c r="N461" i="72"/>
  <c r="N462" i="72"/>
  <c r="N463" i="72"/>
  <c r="N464" i="72"/>
  <c r="N465" i="72"/>
  <c r="N466" i="72"/>
  <c r="N467" i="72"/>
  <c r="N468" i="72"/>
  <c r="N469" i="72"/>
  <c r="N470" i="72"/>
  <c r="N471" i="72"/>
  <c r="N472" i="72"/>
  <c r="N473" i="72"/>
  <c r="N474" i="72"/>
  <c r="N475" i="72"/>
  <c r="N476" i="72"/>
  <c r="N477" i="72"/>
  <c r="N478" i="72"/>
  <c r="N479" i="72"/>
  <c r="N480" i="72"/>
  <c r="N481" i="72"/>
  <c r="N482" i="72"/>
  <c r="N483" i="72"/>
  <c r="N484" i="72"/>
  <c r="N485" i="72"/>
  <c r="N486" i="72"/>
  <c r="N487" i="72"/>
  <c r="N488" i="72"/>
  <c r="N489" i="72"/>
  <c r="N490" i="72"/>
  <c r="N491" i="72"/>
  <c r="N492" i="72"/>
  <c r="N493" i="72"/>
  <c r="N494" i="72"/>
  <c r="N495" i="72"/>
  <c r="N496" i="72"/>
  <c r="N497" i="72"/>
  <c r="N498" i="72"/>
  <c r="N499" i="72"/>
  <c r="N500" i="72"/>
  <c r="N501" i="72"/>
  <c r="N502" i="72"/>
  <c r="N503" i="72"/>
  <c r="N504" i="72"/>
  <c r="N505" i="72"/>
  <c r="N506" i="72"/>
  <c r="N507" i="72"/>
  <c r="N508" i="72"/>
  <c r="N509" i="72"/>
  <c r="N510" i="72"/>
  <c r="N511" i="72"/>
  <c r="N512" i="72"/>
  <c r="N513" i="72"/>
  <c r="N514" i="72"/>
  <c r="N515" i="72"/>
  <c r="N516" i="72"/>
  <c r="N517" i="72"/>
  <c r="N518" i="72"/>
  <c r="N519" i="72"/>
  <c r="N520" i="72"/>
  <c r="N521" i="72"/>
  <c r="N522" i="72"/>
  <c r="N523" i="72"/>
  <c r="N524" i="72"/>
  <c r="N525" i="72"/>
  <c r="N526" i="72"/>
  <c r="N527" i="72"/>
  <c r="N528" i="72"/>
  <c r="N529" i="72"/>
  <c r="N530" i="72"/>
  <c r="N531" i="72"/>
  <c r="N532" i="72"/>
  <c r="N533" i="72"/>
  <c r="N534" i="72"/>
  <c r="N535" i="72"/>
  <c r="N536" i="72"/>
  <c r="N537" i="72"/>
  <c r="N538" i="72"/>
  <c r="N539" i="72"/>
  <c r="N540" i="72"/>
  <c r="N541" i="72"/>
  <c r="N542" i="72"/>
  <c r="N543" i="72"/>
  <c r="N544" i="72"/>
  <c r="N545" i="72"/>
  <c r="N546" i="72"/>
  <c r="N547" i="72"/>
  <c r="N548" i="72"/>
  <c r="N549" i="72"/>
  <c r="N550" i="72"/>
  <c r="N551" i="72"/>
  <c r="N552" i="72"/>
  <c r="N553" i="72"/>
  <c r="N554" i="72"/>
  <c r="N555" i="72"/>
  <c r="N556" i="72"/>
  <c r="N557" i="72"/>
  <c r="N558" i="72"/>
  <c r="N559" i="72"/>
  <c r="N560" i="72"/>
  <c r="N561" i="72"/>
  <c r="N562" i="72"/>
  <c r="N563" i="72"/>
  <c r="N564" i="72"/>
  <c r="N565" i="72"/>
  <c r="N566" i="72"/>
  <c r="N567" i="72"/>
  <c r="N568" i="72"/>
  <c r="N569" i="72"/>
  <c r="N570" i="72"/>
  <c r="N571" i="72"/>
  <c r="N572" i="72"/>
  <c r="N573" i="72"/>
  <c r="N574" i="72"/>
  <c r="N575" i="72"/>
  <c r="N576" i="72"/>
  <c r="N577" i="72"/>
  <c r="N578" i="72"/>
  <c r="N579" i="72"/>
  <c r="N580" i="72"/>
  <c r="N581" i="72"/>
  <c r="N582" i="72"/>
  <c r="N583" i="72"/>
  <c r="N584" i="72"/>
  <c r="N585" i="72"/>
  <c r="N586" i="72"/>
  <c r="N587" i="72"/>
  <c r="N588" i="72"/>
  <c r="N589" i="72"/>
  <c r="N590" i="72"/>
  <c r="N591" i="72"/>
  <c r="N592" i="72"/>
  <c r="N593" i="72"/>
  <c r="N594" i="72"/>
  <c r="N595" i="72"/>
  <c r="N596" i="72"/>
  <c r="N597" i="72"/>
  <c r="N598" i="72"/>
  <c r="N599" i="72"/>
  <c r="N600" i="72"/>
  <c r="N601" i="72"/>
  <c r="N602" i="72"/>
  <c r="N603" i="72"/>
  <c r="N604" i="72"/>
  <c r="N605" i="72"/>
  <c r="N606" i="72"/>
  <c r="N607" i="72"/>
  <c r="N608" i="72"/>
  <c r="N609" i="72"/>
  <c r="N610" i="72"/>
  <c r="N611" i="72"/>
  <c r="N612" i="72"/>
  <c r="N613" i="72"/>
  <c r="N614" i="72"/>
  <c r="N615" i="72"/>
  <c r="N616" i="72"/>
  <c r="N617" i="72"/>
  <c r="N618" i="72"/>
  <c r="N619" i="72"/>
  <c r="N620" i="72"/>
  <c r="N621" i="72"/>
  <c r="N622" i="72"/>
  <c r="N623" i="72"/>
  <c r="N624" i="72"/>
  <c r="N625" i="72"/>
  <c r="N626" i="72"/>
  <c r="N627" i="72"/>
  <c r="N628" i="72"/>
  <c r="N629" i="72"/>
  <c r="N630" i="72"/>
  <c r="N631" i="72"/>
  <c r="N632" i="72"/>
  <c r="N633" i="72"/>
  <c r="N634" i="72"/>
  <c r="N635" i="72"/>
  <c r="N636" i="72"/>
  <c r="N637" i="72"/>
  <c r="N638" i="72"/>
  <c r="N639" i="72"/>
  <c r="N640" i="72"/>
  <c r="N641" i="72"/>
  <c r="N642" i="72"/>
  <c r="N643" i="72"/>
  <c r="N644" i="72"/>
  <c r="N645" i="72"/>
  <c r="N646" i="72"/>
  <c r="N647" i="72"/>
  <c r="N648" i="72"/>
  <c r="N649" i="72"/>
  <c r="N650" i="72"/>
  <c r="N651" i="72"/>
  <c r="N652" i="72"/>
  <c r="N653" i="72"/>
  <c r="N654" i="72"/>
  <c r="N655" i="72"/>
  <c r="N656" i="72"/>
  <c r="N657" i="72"/>
  <c r="N658" i="72"/>
  <c r="N659" i="72"/>
  <c r="N660" i="72"/>
  <c r="N661" i="72"/>
  <c r="N662" i="72"/>
  <c r="N663" i="72"/>
  <c r="N664" i="72"/>
  <c r="N665" i="72"/>
  <c r="N666" i="72"/>
  <c r="N667" i="72"/>
  <c r="N668" i="72"/>
  <c r="N669" i="72"/>
  <c r="N670" i="72"/>
  <c r="N671" i="72"/>
  <c r="N672" i="72"/>
  <c r="N673" i="72"/>
  <c r="N674" i="72"/>
  <c r="N675" i="72"/>
  <c r="N676" i="72"/>
  <c r="N677" i="72"/>
  <c r="N678" i="72"/>
  <c r="N679" i="72"/>
  <c r="N680" i="72"/>
  <c r="N681" i="72"/>
  <c r="N682" i="72"/>
  <c r="N683" i="72"/>
  <c r="N684" i="72"/>
  <c r="N685" i="72"/>
  <c r="N686" i="72"/>
  <c r="N687" i="72"/>
  <c r="N688" i="72"/>
  <c r="N689" i="72"/>
  <c r="N690" i="72"/>
  <c r="N691" i="72"/>
  <c r="N692" i="72"/>
  <c r="N693" i="72"/>
  <c r="N694" i="72"/>
  <c r="N695" i="72"/>
  <c r="N696" i="72"/>
  <c r="N697" i="72"/>
  <c r="N698" i="72"/>
  <c r="N699" i="72"/>
  <c r="N700" i="72"/>
  <c r="N701" i="72"/>
  <c r="N702" i="72"/>
  <c r="N703" i="72"/>
  <c r="N704" i="72"/>
  <c r="N705" i="72"/>
  <c r="N706" i="72"/>
  <c r="N707" i="72"/>
  <c r="N708" i="72"/>
  <c r="N709" i="72"/>
  <c r="N710" i="72"/>
  <c r="N711" i="72"/>
  <c r="N712" i="72"/>
  <c r="N713" i="72"/>
  <c r="N714" i="72"/>
  <c r="N715" i="72"/>
  <c r="N716" i="72"/>
  <c r="N717" i="72"/>
  <c r="N718" i="72"/>
  <c r="N719" i="72"/>
  <c r="N720" i="72"/>
  <c r="N721" i="72"/>
  <c r="N722" i="72"/>
  <c r="N723" i="72"/>
  <c r="N724" i="72"/>
  <c r="N725" i="72"/>
  <c r="N726" i="72"/>
  <c r="N727" i="72"/>
  <c r="N728" i="72"/>
  <c r="N729" i="72"/>
  <c r="N730" i="72"/>
  <c r="N731" i="72"/>
  <c r="N732" i="72"/>
  <c r="N733" i="72"/>
  <c r="N734" i="72"/>
  <c r="N735" i="72"/>
  <c r="N736" i="72"/>
  <c r="N737" i="72"/>
  <c r="N738" i="72"/>
  <c r="N739" i="72"/>
  <c r="N740" i="72"/>
  <c r="N741" i="72"/>
  <c r="N742" i="72"/>
  <c r="N743" i="72"/>
  <c r="N744" i="72"/>
  <c r="N745" i="72"/>
  <c r="N746" i="72"/>
  <c r="N747" i="72"/>
  <c r="N748" i="72"/>
  <c r="N749" i="72"/>
  <c r="N750" i="72"/>
  <c r="N751" i="72"/>
  <c r="N752" i="72"/>
  <c r="N753" i="72"/>
  <c r="N754" i="72"/>
  <c r="N755" i="72"/>
  <c r="N756" i="72"/>
  <c r="N757" i="72"/>
  <c r="N758" i="72"/>
  <c r="N759" i="72"/>
  <c r="N760" i="72"/>
  <c r="N761" i="72"/>
  <c r="N762" i="72"/>
  <c r="N763" i="72"/>
  <c r="N764" i="72"/>
  <c r="N765" i="72"/>
  <c r="N766" i="72"/>
  <c r="N767" i="72"/>
  <c r="N768" i="72"/>
  <c r="N769" i="72"/>
  <c r="N770" i="72"/>
  <c r="N771" i="72"/>
  <c r="N772" i="72"/>
  <c r="N773" i="72"/>
  <c r="N774" i="72"/>
  <c r="N775" i="72"/>
  <c r="N776" i="72"/>
  <c r="N777" i="72"/>
  <c r="N778" i="72"/>
  <c r="N779" i="72"/>
  <c r="N780" i="72"/>
  <c r="N781" i="72"/>
  <c r="N782" i="72"/>
  <c r="N783" i="72"/>
  <c r="N784" i="72"/>
  <c r="N785" i="72"/>
  <c r="N786" i="72"/>
  <c r="N787" i="72"/>
  <c r="N788" i="72"/>
  <c r="N789" i="72"/>
  <c r="N790" i="72"/>
  <c r="N791" i="72"/>
  <c r="N792" i="72"/>
  <c r="N793" i="72"/>
  <c r="N794" i="72"/>
  <c r="N795" i="72"/>
  <c r="N796" i="72"/>
  <c r="N797" i="72"/>
  <c r="N798" i="72"/>
  <c r="N799" i="72"/>
  <c r="N800" i="72"/>
  <c r="N801" i="72"/>
  <c r="N802" i="72"/>
  <c r="N803" i="72"/>
  <c r="N804" i="72"/>
  <c r="N805" i="72"/>
  <c r="N806" i="72"/>
  <c r="N807" i="72"/>
  <c r="N808" i="72"/>
  <c r="N809" i="72"/>
  <c r="N810" i="72"/>
  <c r="N811" i="72"/>
  <c r="N812" i="72"/>
  <c r="N813" i="72"/>
  <c r="N814" i="72"/>
  <c r="N815" i="72"/>
  <c r="N816" i="72"/>
  <c r="N817" i="72"/>
  <c r="N818" i="72"/>
  <c r="N819" i="72"/>
  <c r="N820" i="72"/>
  <c r="N821" i="72"/>
  <c r="N822" i="72"/>
  <c r="N823" i="72"/>
  <c r="N824" i="72"/>
  <c r="N825" i="72"/>
  <c r="N826" i="72"/>
  <c r="N827" i="72"/>
  <c r="N828" i="72"/>
  <c r="N829" i="72"/>
  <c r="N830" i="72"/>
  <c r="N831" i="72"/>
  <c r="N832" i="72"/>
  <c r="N833" i="72"/>
  <c r="N834" i="72"/>
  <c r="N835" i="72"/>
  <c r="N836" i="72"/>
  <c r="N837" i="72"/>
  <c r="N838" i="72"/>
  <c r="N16" i="72"/>
  <c r="P824" i="72" l="1"/>
  <c r="Q824" i="72"/>
  <c r="P828" i="72"/>
  <c r="Q828" i="72"/>
  <c r="Q812" i="72"/>
  <c r="P812" i="72"/>
  <c r="Q804" i="72"/>
  <c r="P804" i="72"/>
  <c r="Q792" i="72"/>
  <c r="P792" i="72"/>
  <c r="Q780" i="72"/>
  <c r="P780" i="72"/>
  <c r="Q768" i="72"/>
  <c r="P768" i="72"/>
  <c r="Q756" i="72"/>
  <c r="P756" i="72"/>
  <c r="Q740" i="72"/>
  <c r="P740" i="72"/>
  <c r="Q732" i="72"/>
  <c r="P732" i="72"/>
  <c r="Q720" i="72"/>
  <c r="P720" i="72"/>
  <c r="Q712" i="72"/>
  <c r="P712" i="72"/>
  <c r="Q700" i="72"/>
  <c r="P700" i="72"/>
  <c r="Q688" i="72"/>
  <c r="P688" i="72"/>
  <c r="Q676" i="72"/>
  <c r="P676" i="72"/>
  <c r="Q660" i="72"/>
  <c r="P660" i="72"/>
  <c r="Q648" i="72"/>
  <c r="P648" i="72"/>
  <c r="Q636" i="72"/>
  <c r="P636" i="72"/>
  <c r="Q624" i="72"/>
  <c r="P624" i="72"/>
  <c r="Q612" i="72"/>
  <c r="P612" i="72"/>
  <c r="Q604" i="72"/>
  <c r="P604" i="72"/>
  <c r="Q592" i="72"/>
  <c r="P592" i="72"/>
  <c r="Q580" i="72"/>
  <c r="P580" i="72"/>
  <c r="Q572" i="72"/>
  <c r="P572" i="72"/>
  <c r="Q560" i="72"/>
  <c r="P560" i="72"/>
  <c r="Q548" i="72"/>
  <c r="P548" i="72"/>
  <c r="Q540" i="72"/>
  <c r="P540" i="72"/>
  <c r="Q528" i="72"/>
  <c r="P528" i="72"/>
  <c r="Q516" i="72"/>
  <c r="P516" i="72"/>
  <c r="Q508" i="72"/>
  <c r="P508" i="72"/>
  <c r="Q496" i="72"/>
  <c r="P496" i="72"/>
  <c r="Q484" i="72"/>
  <c r="P484" i="72"/>
  <c r="P472" i="72"/>
  <c r="Q472" i="72"/>
  <c r="Q464" i="72"/>
  <c r="P464" i="72"/>
  <c r="P452" i="72"/>
  <c r="Q452" i="72"/>
  <c r="Q440" i="72"/>
  <c r="P440" i="72"/>
  <c r="Q432" i="72"/>
  <c r="P432" i="72"/>
  <c r="P420" i="72"/>
  <c r="Q420" i="72"/>
  <c r="Q408" i="72"/>
  <c r="P408" i="72"/>
  <c r="P396" i="72"/>
  <c r="Q396" i="72"/>
  <c r="Q384" i="72"/>
  <c r="P384" i="72"/>
  <c r="P372" i="72"/>
  <c r="Q372" i="72"/>
  <c r="P364" i="72"/>
  <c r="Q364" i="72"/>
  <c r="P356" i="72"/>
  <c r="Q356" i="72"/>
  <c r="P340" i="72"/>
  <c r="Q340" i="72"/>
  <c r="P328" i="72"/>
  <c r="Q328" i="72"/>
  <c r="P316" i="72"/>
  <c r="Q316" i="72"/>
  <c r="P308" i="72"/>
  <c r="Q308" i="72"/>
  <c r="P296" i="72"/>
  <c r="Q296" i="72"/>
  <c r="P288" i="72"/>
  <c r="Q288" i="72"/>
  <c r="P276" i="72"/>
  <c r="Q276" i="72"/>
  <c r="P264" i="72"/>
  <c r="Q264" i="72"/>
  <c r="P256" i="72"/>
  <c r="Q256" i="72"/>
  <c r="P248" i="72"/>
  <c r="Q248" i="72"/>
  <c r="P236" i="72"/>
  <c r="Q236" i="72"/>
  <c r="P224" i="72"/>
  <c r="Q224" i="72"/>
  <c r="P216" i="72"/>
  <c r="Q216" i="72"/>
  <c r="P204" i="72"/>
  <c r="Q204" i="72"/>
  <c r="P196" i="72"/>
  <c r="Q196" i="72"/>
  <c r="P188" i="72"/>
  <c r="Q188" i="72"/>
  <c r="Q176" i="72"/>
  <c r="P176" i="72"/>
  <c r="Q168" i="72"/>
  <c r="P168" i="72"/>
  <c r="Q156" i="72"/>
  <c r="P156" i="72"/>
  <c r="Q144" i="72"/>
  <c r="P144" i="72"/>
  <c r="Q132" i="72"/>
  <c r="P132" i="72"/>
  <c r="P124" i="72"/>
  <c r="Q124" i="72"/>
  <c r="P112" i="72"/>
  <c r="Q112" i="72"/>
  <c r="P104" i="72"/>
  <c r="Q104" i="72"/>
  <c r="P88" i="72"/>
  <c r="Q88" i="72"/>
  <c r="P80" i="72"/>
  <c r="Q80" i="72"/>
  <c r="P72" i="72"/>
  <c r="Q72" i="72"/>
  <c r="P60" i="72"/>
  <c r="Q60" i="72"/>
  <c r="P48" i="72"/>
  <c r="Q48" i="72"/>
  <c r="P20" i="72"/>
  <c r="Q20" i="72"/>
  <c r="Q831" i="72"/>
  <c r="P831" i="72"/>
  <c r="P823" i="72"/>
  <c r="Q823" i="72"/>
  <c r="Q815" i="72"/>
  <c r="P815" i="72"/>
  <c r="Q803" i="72"/>
  <c r="P803" i="72"/>
  <c r="Q791" i="72"/>
  <c r="P791" i="72"/>
  <c r="Q779" i="72"/>
  <c r="P779" i="72"/>
  <c r="Q767" i="72"/>
  <c r="P767" i="72"/>
  <c r="Q759" i="72"/>
  <c r="P759" i="72"/>
  <c r="Q751" i="72"/>
  <c r="P751" i="72"/>
  <c r="Q743" i="72"/>
  <c r="P743" i="72"/>
  <c r="Q731" i="72"/>
  <c r="P731" i="72"/>
  <c r="Q719" i="72"/>
  <c r="P719" i="72"/>
  <c r="Q711" i="72"/>
  <c r="P711" i="72"/>
  <c r="Q699" i="72"/>
  <c r="P699" i="72"/>
  <c r="Q691" i="72"/>
  <c r="P691" i="72"/>
  <c r="Q679" i="72"/>
  <c r="P679" i="72"/>
  <c r="Q667" i="72"/>
  <c r="P667" i="72"/>
  <c r="Q655" i="72"/>
  <c r="P655" i="72"/>
  <c r="Q643" i="72"/>
  <c r="P643" i="72"/>
  <c r="Q631" i="72"/>
  <c r="P631" i="72"/>
  <c r="Q619" i="72"/>
  <c r="P619" i="72"/>
  <c r="Q611" i="72"/>
  <c r="P611" i="72"/>
  <c r="Q599" i="72"/>
  <c r="P599" i="72"/>
  <c r="Q587" i="72"/>
  <c r="P587" i="72"/>
  <c r="Q575" i="72"/>
  <c r="P575" i="72"/>
  <c r="Q567" i="72"/>
  <c r="P567" i="72"/>
  <c r="Q555" i="72"/>
  <c r="P555" i="72"/>
  <c r="Q543" i="72"/>
  <c r="P543" i="72"/>
  <c r="Q535" i="72"/>
  <c r="P535" i="72"/>
  <c r="Q523" i="72"/>
  <c r="P523" i="72"/>
  <c r="Q511" i="72"/>
  <c r="P511" i="72"/>
  <c r="Q499" i="72"/>
  <c r="P499" i="72"/>
  <c r="Q487" i="72"/>
  <c r="P487" i="72"/>
  <c r="Q475" i="72"/>
  <c r="P475" i="72"/>
  <c r="Q463" i="72"/>
  <c r="P463" i="72"/>
  <c r="Q455" i="72"/>
  <c r="P455" i="72"/>
  <c r="Q443" i="72"/>
  <c r="P443" i="72"/>
  <c r="Q431" i="72"/>
  <c r="P431" i="72"/>
  <c r="Q419" i="72"/>
  <c r="P419" i="72"/>
  <c r="Q407" i="72"/>
  <c r="P407" i="72"/>
  <c r="Q399" i="72"/>
  <c r="P399" i="72"/>
  <c r="Q391" i="72"/>
  <c r="P391" i="72"/>
  <c r="Q379" i="72"/>
  <c r="P379" i="72"/>
  <c r="Q367" i="72"/>
  <c r="P367" i="72"/>
  <c r="P351" i="72"/>
  <c r="Q351" i="72"/>
  <c r="Q339" i="72"/>
  <c r="P339" i="72"/>
  <c r="Q331" i="72"/>
  <c r="P331" i="72"/>
  <c r="Q323" i="72"/>
  <c r="P323" i="72"/>
  <c r="Q307" i="72"/>
  <c r="P307" i="72"/>
  <c r="P295" i="72"/>
  <c r="Q295" i="72"/>
  <c r="P287" i="72"/>
  <c r="Q287" i="72"/>
  <c r="Q275" i="72"/>
  <c r="P275" i="72"/>
  <c r="P263" i="72"/>
  <c r="Q263" i="72"/>
  <c r="P255" i="72"/>
  <c r="Q255" i="72"/>
  <c r="P247" i="72"/>
  <c r="Q247" i="72"/>
  <c r="Q235" i="72"/>
  <c r="P235" i="72"/>
  <c r="Q219" i="72"/>
  <c r="P219" i="72"/>
  <c r="Q211" i="72"/>
  <c r="P211" i="72"/>
  <c r="L195" i="72"/>
  <c r="O195" i="72" s="1"/>
  <c r="Q195" i="72"/>
  <c r="P195" i="72"/>
  <c r="P179" i="72"/>
  <c r="Q179" i="72"/>
  <c r="Q167" i="72"/>
  <c r="P167" i="72"/>
  <c r="Q159" i="72"/>
  <c r="P159" i="72"/>
  <c r="Q151" i="72"/>
  <c r="P151" i="72"/>
  <c r="Q139" i="72"/>
  <c r="P139" i="72"/>
  <c r="Q127" i="72"/>
  <c r="P127" i="72"/>
  <c r="Q119" i="72"/>
  <c r="P119" i="72"/>
  <c r="P107" i="72"/>
  <c r="Q107" i="72"/>
  <c r="Q95" i="72"/>
  <c r="P95" i="72"/>
  <c r="Q87" i="72"/>
  <c r="P87" i="72"/>
  <c r="P75" i="72"/>
  <c r="Q75" i="72"/>
  <c r="P67" i="72"/>
  <c r="Q67" i="72"/>
  <c r="Q55" i="72"/>
  <c r="P55" i="72"/>
  <c r="Q47" i="72"/>
  <c r="P47" i="72"/>
  <c r="P35" i="72"/>
  <c r="Q35" i="72"/>
  <c r="Q23" i="72"/>
  <c r="P23" i="72"/>
  <c r="Q826" i="72"/>
  <c r="P826" i="72"/>
  <c r="P810" i="72"/>
  <c r="Q810" i="72"/>
  <c r="P798" i="72"/>
  <c r="Q798" i="72"/>
  <c r="P786" i="72"/>
  <c r="Q786" i="72"/>
  <c r="P770" i="72"/>
  <c r="Q770" i="72"/>
  <c r="P758" i="72"/>
  <c r="Q758" i="72"/>
  <c r="P742" i="72"/>
  <c r="Q742" i="72"/>
  <c r="P730" i="72"/>
  <c r="Q730" i="72"/>
  <c r="P722" i="72"/>
  <c r="Q722" i="72"/>
  <c r="P718" i="72"/>
  <c r="Q718" i="72"/>
  <c r="P714" i="72"/>
  <c r="Q714" i="72"/>
  <c r="P710" i="72"/>
  <c r="Q710" i="72"/>
  <c r="P706" i="72"/>
  <c r="Q706" i="72"/>
  <c r="P702" i="72"/>
  <c r="Q702" i="72"/>
  <c r="P698" i="72"/>
  <c r="Q698" i="72"/>
  <c r="P694" i="72"/>
  <c r="Q694" i="72"/>
  <c r="P690" i="72"/>
  <c r="Q690" i="72"/>
  <c r="P686" i="72"/>
  <c r="Q686" i="72"/>
  <c r="P682" i="72"/>
  <c r="Q682" i="72"/>
  <c r="P678" i="72"/>
  <c r="Q678" i="72"/>
  <c r="P674" i="72"/>
  <c r="Q674" i="72"/>
  <c r="P670" i="72"/>
  <c r="Q670" i="72"/>
  <c r="P666" i="72"/>
  <c r="Q666" i="72"/>
  <c r="P662" i="72"/>
  <c r="Q662" i="72"/>
  <c r="P658" i="72"/>
  <c r="Q658" i="72"/>
  <c r="P654" i="72"/>
  <c r="Q654" i="72"/>
  <c r="P650" i="72"/>
  <c r="Q650" i="72"/>
  <c r="P646" i="72"/>
  <c r="Q646" i="72"/>
  <c r="P642" i="72"/>
  <c r="Q642" i="72"/>
  <c r="P638" i="72"/>
  <c r="Q638" i="72"/>
  <c r="P634" i="72"/>
  <c r="Q634" i="72"/>
  <c r="P630" i="72"/>
  <c r="Q630" i="72"/>
  <c r="P626" i="72"/>
  <c r="Q626" i="72"/>
  <c r="P622" i="72"/>
  <c r="Q622" i="72"/>
  <c r="P618" i="72"/>
  <c r="Q618" i="72"/>
  <c r="P614" i="72"/>
  <c r="Q614" i="72"/>
  <c r="P610" i="72"/>
  <c r="Q610" i="72"/>
  <c r="P606" i="72"/>
  <c r="Q606" i="72"/>
  <c r="P602" i="72"/>
  <c r="Q602" i="72"/>
  <c r="P598" i="72"/>
  <c r="Q598" i="72"/>
  <c r="P594" i="72"/>
  <c r="Q594" i="72"/>
  <c r="P590" i="72"/>
  <c r="Q590" i="72"/>
  <c r="P586" i="72"/>
  <c r="Q586" i="72"/>
  <c r="P582" i="72"/>
  <c r="Q582" i="72"/>
  <c r="P578" i="72"/>
  <c r="Q578" i="72"/>
  <c r="P574" i="72"/>
  <c r="Q574" i="72"/>
  <c r="P570" i="72"/>
  <c r="Q570" i="72"/>
  <c r="P566" i="72"/>
  <c r="Q566" i="72"/>
  <c r="P562" i="72"/>
  <c r="Q562" i="72"/>
  <c r="P558" i="72"/>
  <c r="Q558" i="72"/>
  <c r="P554" i="72"/>
  <c r="Q554" i="72"/>
  <c r="P550" i="72"/>
  <c r="Q550" i="72"/>
  <c r="P546" i="72"/>
  <c r="Q546" i="72"/>
  <c r="P542" i="72"/>
  <c r="Q542" i="72"/>
  <c r="P538" i="72"/>
  <c r="Q538" i="72"/>
  <c r="P534" i="72"/>
  <c r="Q534" i="72"/>
  <c r="P530" i="72"/>
  <c r="Q530" i="72"/>
  <c r="P526" i="72"/>
  <c r="Q526" i="72"/>
  <c r="P522" i="72"/>
  <c r="Q522" i="72"/>
  <c r="P518" i="72"/>
  <c r="Q518" i="72"/>
  <c r="P514" i="72"/>
  <c r="Q514" i="72"/>
  <c r="P510" i="72"/>
  <c r="Q510" i="72"/>
  <c r="P506" i="72"/>
  <c r="Q506" i="72"/>
  <c r="P502" i="72"/>
  <c r="Q502" i="72"/>
  <c r="P498" i="72"/>
  <c r="Q498" i="72"/>
  <c r="P494" i="72"/>
  <c r="Q494" i="72"/>
  <c r="P490" i="72"/>
  <c r="Q490" i="72"/>
  <c r="P486" i="72"/>
  <c r="Q486" i="72"/>
  <c r="P482" i="72"/>
  <c r="Q482" i="72"/>
  <c r="P478" i="72"/>
  <c r="Q478" i="72"/>
  <c r="P474" i="72"/>
  <c r="Q474" i="72"/>
  <c r="P470" i="72"/>
  <c r="Q470" i="72"/>
  <c r="P466" i="72"/>
  <c r="Q466" i="72"/>
  <c r="Q462" i="72"/>
  <c r="P462" i="72"/>
  <c r="Q458" i="72"/>
  <c r="P458" i="72"/>
  <c r="Q454" i="72"/>
  <c r="P454" i="72"/>
  <c r="Q450" i="72"/>
  <c r="P450" i="72"/>
  <c r="Q446" i="72"/>
  <c r="P446" i="72"/>
  <c r="Q442" i="72"/>
  <c r="P442" i="72"/>
  <c r="Q438" i="72"/>
  <c r="P438" i="72"/>
  <c r="Q434" i="72"/>
  <c r="P434" i="72"/>
  <c r="Q430" i="72"/>
  <c r="P430" i="72"/>
  <c r="Q426" i="72"/>
  <c r="P426" i="72"/>
  <c r="Q422" i="72"/>
  <c r="P422" i="72"/>
  <c r="Q418" i="72"/>
  <c r="P418" i="72"/>
  <c r="Q414" i="72"/>
  <c r="P414" i="72"/>
  <c r="Q410" i="72"/>
  <c r="P410" i="72"/>
  <c r="Q406" i="72"/>
  <c r="P406" i="72"/>
  <c r="Q402" i="72"/>
  <c r="P402" i="72"/>
  <c r="Q398" i="72"/>
  <c r="P398" i="72"/>
  <c r="Q394" i="72"/>
  <c r="P394" i="72"/>
  <c r="Q390" i="72"/>
  <c r="P390" i="72"/>
  <c r="Q386" i="72"/>
  <c r="P386" i="72"/>
  <c r="Q382" i="72"/>
  <c r="P382" i="72"/>
  <c r="Q378" i="72"/>
  <c r="P378" i="72"/>
  <c r="Q374" i="72"/>
  <c r="P374" i="72"/>
  <c r="Q370" i="72"/>
  <c r="P370" i="72"/>
  <c r="Q366" i="72"/>
  <c r="P366" i="72"/>
  <c r="Q362" i="72"/>
  <c r="P362" i="72"/>
  <c r="Q358" i="72"/>
  <c r="P358" i="72"/>
  <c r="Q354" i="72"/>
  <c r="P354" i="72"/>
  <c r="Q350" i="72"/>
  <c r="P350" i="72"/>
  <c r="Q346" i="72"/>
  <c r="P346" i="72"/>
  <c r="Q342" i="72"/>
  <c r="P342" i="72"/>
  <c r="Q338" i="72"/>
  <c r="P338" i="72"/>
  <c r="Q334" i="72"/>
  <c r="P334" i="72"/>
  <c r="Q330" i="72"/>
  <c r="P330" i="72"/>
  <c r="Q326" i="72"/>
  <c r="P326" i="72"/>
  <c r="Q322" i="72"/>
  <c r="P322" i="72"/>
  <c r="Q318" i="72"/>
  <c r="P318" i="72"/>
  <c r="Q314" i="72"/>
  <c r="P314" i="72"/>
  <c r="Q310" i="72"/>
  <c r="P310" i="72"/>
  <c r="Q306" i="72"/>
  <c r="P306" i="72"/>
  <c r="Q302" i="72"/>
  <c r="P302" i="72"/>
  <c r="Q298" i="72"/>
  <c r="P298" i="72"/>
  <c r="Q294" i="72"/>
  <c r="P294" i="72"/>
  <c r="Q290" i="72"/>
  <c r="P290" i="72"/>
  <c r="Q286" i="72"/>
  <c r="P286" i="72"/>
  <c r="Q282" i="72"/>
  <c r="P282" i="72"/>
  <c r="Q278" i="72"/>
  <c r="P278" i="72"/>
  <c r="Q274" i="72"/>
  <c r="P274" i="72"/>
  <c r="Q270" i="72"/>
  <c r="P270" i="72"/>
  <c r="Q266" i="72"/>
  <c r="P266" i="72"/>
  <c r="Q262" i="72"/>
  <c r="P262" i="72"/>
  <c r="Q258" i="72"/>
  <c r="P258" i="72"/>
  <c r="Q254" i="72"/>
  <c r="P254" i="72"/>
  <c r="Q250" i="72"/>
  <c r="P250" i="72"/>
  <c r="Q246" i="72"/>
  <c r="P246" i="72"/>
  <c r="Q242" i="72"/>
  <c r="P242" i="72"/>
  <c r="Q238" i="72"/>
  <c r="P238" i="72"/>
  <c r="Q234" i="72"/>
  <c r="P234" i="72"/>
  <c r="Q230" i="72"/>
  <c r="P230" i="72"/>
  <c r="Q226" i="72"/>
  <c r="P226" i="72"/>
  <c r="Q222" i="72"/>
  <c r="P222" i="72"/>
  <c r="Q218" i="72"/>
  <c r="P218" i="72"/>
  <c r="Q214" i="72"/>
  <c r="P214" i="72"/>
  <c r="Q210" i="72"/>
  <c r="P210" i="72"/>
  <c r="Q206" i="72"/>
  <c r="P206" i="72"/>
  <c r="Q202" i="72"/>
  <c r="P202" i="72"/>
  <c r="Q198" i="72"/>
  <c r="P198" i="72"/>
  <c r="Q194" i="72"/>
  <c r="P194" i="72"/>
  <c r="Q190" i="72"/>
  <c r="P190" i="72"/>
  <c r="Q186" i="72"/>
  <c r="P186" i="72"/>
  <c r="P182" i="72"/>
  <c r="Q182" i="72"/>
  <c r="P178" i="72"/>
  <c r="Q178" i="72"/>
  <c r="P174" i="72"/>
  <c r="Q174" i="72"/>
  <c r="P170" i="72"/>
  <c r="Q170" i="72"/>
  <c r="P166" i="72"/>
  <c r="Q166" i="72"/>
  <c r="P162" i="72"/>
  <c r="Q162" i="72"/>
  <c r="P158" i="72"/>
  <c r="Q158" i="72"/>
  <c r="P154" i="72"/>
  <c r="Q154" i="72"/>
  <c r="P150" i="72"/>
  <c r="Q150" i="72"/>
  <c r="P146" i="72"/>
  <c r="Q146" i="72"/>
  <c r="P142" i="72"/>
  <c r="Q142" i="72"/>
  <c r="P138" i="72"/>
  <c r="Q138" i="72"/>
  <c r="P134" i="72"/>
  <c r="Q134" i="72"/>
  <c r="P130" i="72"/>
  <c r="Q130" i="72"/>
  <c r="Q126" i="72"/>
  <c r="P126" i="72"/>
  <c r="Q122" i="72"/>
  <c r="P122" i="72"/>
  <c r="Q118" i="72"/>
  <c r="P118" i="72"/>
  <c r="Q114" i="72"/>
  <c r="P114" i="72"/>
  <c r="Q110" i="72"/>
  <c r="P110" i="72"/>
  <c r="Q106" i="72"/>
  <c r="P106" i="72"/>
  <c r="Q102" i="72"/>
  <c r="P102" i="72"/>
  <c r="Q98" i="72"/>
  <c r="P98" i="72"/>
  <c r="Q94" i="72"/>
  <c r="P94" i="72"/>
  <c r="Q90" i="72"/>
  <c r="P90" i="72"/>
  <c r="Q86" i="72"/>
  <c r="P86" i="72"/>
  <c r="Q82" i="72"/>
  <c r="P82" i="72"/>
  <c r="Q78" i="72"/>
  <c r="P78" i="72"/>
  <c r="Q74" i="72"/>
  <c r="P74" i="72"/>
  <c r="Q70" i="72"/>
  <c r="P70" i="72"/>
  <c r="Q66" i="72"/>
  <c r="P66" i="72"/>
  <c r="Q62" i="72"/>
  <c r="P62" i="72"/>
  <c r="Q58" i="72"/>
  <c r="P58" i="72"/>
  <c r="Q54" i="72"/>
  <c r="P54" i="72"/>
  <c r="Q50" i="72"/>
  <c r="P50" i="72"/>
  <c r="Q46" i="72"/>
  <c r="P46" i="72"/>
  <c r="Q42" i="72"/>
  <c r="P42" i="72"/>
  <c r="Q38" i="72"/>
  <c r="P38" i="72"/>
  <c r="Q34" i="72"/>
  <c r="P34" i="72"/>
  <c r="Q30" i="72"/>
  <c r="P30" i="72"/>
  <c r="Q26" i="72"/>
  <c r="P26" i="72"/>
  <c r="Q22" i="72"/>
  <c r="P22" i="72"/>
  <c r="Q18" i="72"/>
  <c r="P18" i="72"/>
  <c r="P836" i="72"/>
  <c r="Q836" i="72"/>
  <c r="P832" i="72"/>
  <c r="Q832" i="72"/>
  <c r="P820" i="72"/>
  <c r="Q820" i="72"/>
  <c r="Q816" i="72"/>
  <c r="P816" i="72"/>
  <c r="Q808" i="72"/>
  <c r="P808" i="72"/>
  <c r="Q800" i="72"/>
  <c r="P800" i="72"/>
  <c r="Q796" i="72"/>
  <c r="P796" i="72"/>
  <c r="Q788" i="72"/>
  <c r="P788" i="72"/>
  <c r="Q784" i="72"/>
  <c r="P784" i="72"/>
  <c r="Q776" i="72"/>
  <c r="P776" i="72"/>
  <c r="Q772" i="72"/>
  <c r="P772" i="72"/>
  <c r="Q764" i="72"/>
  <c r="P764" i="72"/>
  <c r="Q760" i="72"/>
  <c r="P760" i="72"/>
  <c r="Q752" i="72"/>
  <c r="P752" i="72"/>
  <c r="Q748" i="72"/>
  <c r="P748" i="72"/>
  <c r="Q744" i="72"/>
  <c r="P744" i="72"/>
  <c r="Q736" i="72"/>
  <c r="P736" i="72"/>
  <c r="Q728" i="72"/>
  <c r="P728" i="72"/>
  <c r="Q724" i="72"/>
  <c r="P724" i="72"/>
  <c r="Q716" i="72"/>
  <c r="P716" i="72"/>
  <c r="Q708" i="72"/>
  <c r="P708" i="72"/>
  <c r="Q704" i="72"/>
  <c r="P704" i="72"/>
  <c r="Q696" i="72"/>
  <c r="P696" i="72"/>
  <c r="Q692" i="72"/>
  <c r="P692" i="72"/>
  <c r="Q684" i="72"/>
  <c r="P684" i="72"/>
  <c r="Q680" i="72"/>
  <c r="P680" i="72"/>
  <c r="Q672" i="72"/>
  <c r="P672" i="72"/>
  <c r="Q668" i="72"/>
  <c r="P668" i="72"/>
  <c r="Q664" i="72"/>
  <c r="P664" i="72"/>
  <c r="Q656" i="72"/>
  <c r="P656" i="72"/>
  <c r="Q652" i="72"/>
  <c r="P652" i="72"/>
  <c r="Q644" i="72"/>
  <c r="P644" i="72"/>
  <c r="Q640" i="72"/>
  <c r="P640" i="72"/>
  <c r="Q632" i="72"/>
  <c r="P632" i="72"/>
  <c r="Q628" i="72"/>
  <c r="P628" i="72"/>
  <c r="Q620" i="72"/>
  <c r="P620" i="72"/>
  <c r="Q616" i="72"/>
  <c r="P616" i="72"/>
  <c r="Q608" i="72"/>
  <c r="P608" i="72"/>
  <c r="Q600" i="72"/>
  <c r="P600" i="72"/>
  <c r="Q596" i="72"/>
  <c r="P596" i="72"/>
  <c r="Q588" i="72"/>
  <c r="P588" i="72"/>
  <c r="Q584" i="72"/>
  <c r="P584" i="72"/>
  <c r="Q576" i="72"/>
  <c r="P576" i="72"/>
  <c r="Q568" i="72"/>
  <c r="P568" i="72"/>
  <c r="Q564" i="72"/>
  <c r="P564" i="72"/>
  <c r="Q556" i="72"/>
  <c r="P556" i="72"/>
  <c r="Q552" i="72"/>
  <c r="P552" i="72"/>
  <c r="Q544" i="72"/>
  <c r="P544" i="72"/>
  <c r="Q536" i="72"/>
  <c r="P536" i="72"/>
  <c r="Q532" i="72"/>
  <c r="P532" i="72"/>
  <c r="Q524" i="72"/>
  <c r="P524" i="72"/>
  <c r="Q520" i="72"/>
  <c r="P520" i="72"/>
  <c r="Q512" i="72"/>
  <c r="P512" i="72"/>
  <c r="Q504" i="72"/>
  <c r="P504" i="72"/>
  <c r="Q500" i="72"/>
  <c r="P500" i="72"/>
  <c r="Q492" i="72"/>
  <c r="P492" i="72"/>
  <c r="P488" i="72"/>
  <c r="Q488" i="72"/>
  <c r="Q480" i="72"/>
  <c r="P480" i="72"/>
  <c r="P476" i="72"/>
  <c r="Q476" i="72"/>
  <c r="Q468" i="72"/>
  <c r="P468" i="72"/>
  <c r="P460" i="72"/>
  <c r="Q460" i="72"/>
  <c r="Q456" i="72"/>
  <c r="P456" i="72"/>
  <c r="Q448" i="72"/>
  <c r="P448" i="72"/>
  <c r="P444" i="72"/>
  <c r="Q444" i="72"/>
  <c r="P436" i="72"/>
  <c r="Q436" i="72"/>
  <c r="P428" i="72"/>
  <c r="Q428" i="72"/>
  <c r="Q424" i="72"/>
  <c r="P424" i="72"/>
  <c r="Q416" i="72"/>
  <c r="P416" i="72"/>
  <c r="P412" i="72"/>
  <c r="Q412" i="72"/>
  <c r="P404" i="72"/>
  <c r="Q404" i="72"/>
  <c r="Q400" i="72"/>
  <c r="P400" i="72"/>
  <c r="Q392" i="72"/>
  <c r="P392" i="72"/>
  <c r="P388" i="72"/>
  <c r="Q388" i="72"/>
  <c r="P380" i="72"/>
  <c r="Q380" i="72"/>
  <c r="Q376" i="72"/>
  <c r="P376" i="72"/>
  <c r="Q368" i="72"/>
  <c r="P368" i="72"/>
  <c r="Q360" i="72"/>
  <c r="P360" i="72"/>
  <c r="Q352" i="72"/>
  <c r="P352" i="72"/>
  <c r="Q348" i="72"/>
  <c r="P348" i="72"/>
  <c r="P344" i="72"/>
  <c r="Q344" i="72"/>
  <c r="P336" i="72"/>
  <c r="Q336" i="72"/>
  <c r="P332" i="72"/>
  <c r="Q332" i="72"/>
  <c r="P324" i="72"/>
  <c r="Q324" i="72"/>
  <c r="P320" i="72"/>
  <c r="Q320" i="72"/>
  <c r="P312" i="72"/>
  <c r="Q312" i="72"/>
  <c r="P304" i="72"/>
  <c r="Q304" i="72"/>
  <c r="P300" i="72"/>
  <c r="Q300" i="72"/>
  <c r="P292" i="72"/>
  <c r="Q292" i="72"/>
  <c r="P284" i="72"/>
  <c r="Q284" i="72"/>
  <c r="P280" i="72"/>
  <c r="Q280" i="72"/>
  <c r="P272" i="72"/>
  <c r="Q272" i="72"/>
  <c r="P268" i="72"/>
  <c r="Q268" i="72"/>
  <c r="P260" i="72"/>
  <c r="Q260" i="72"/>
  <c r="P252" i="72"/>
  <c r="Q252" i="72"/>
  <c r="P244" i="72"/>
  <c r="Q244" i="72"/>
  <c r="P240" i="72"/>
  <c r="Q240" i="72"/>
  <c r="P232" i="72"/>
  <c r="Q232" i="72"/>
  <c r="P228" i="72"/>
  <c r="Q228" i="72"/>
  <c r="P220" i="72"/>
  <c r="Q220" i="72"/>
  <c r="P212" i="72"/>
  <c r="Q212" i="72"/>
  <c r="P208" i="72"/>
  <c r="Q208" i="72"/>
  <c r="P200" i="72"/>
  <c r="Q200" i="72"/>
  <c r="P192" i="72"/>
  <c r="Q192" i="72"/>
  <c r="Q184" i="72"/>
  <c r="P184" i="72"/>
  <c r="Q180" i="72"/>
  <c r="P180" i="72"/>
  <c r="Q172" i="72"/>
  <c r="P172" i="72"/>
  <c r="Q164" i="72"/>
  <c r="P164" i="72"/>
  <c r="Q160" i="72"/>
  <c r="P160" i="72"/>
  <c r="Q152" i="72"/>
  <c r="P152" i="72"/>
  <c r="Q148" i="72"/>
  <c r="P148" i="72"/>
  <c r="Q140" i="72"/>
  <c r="P140" i="72"/>
  <c r="Q136" i="72"/>
  <c r="P136" i="72"/>
  <c r="P128" i="72"/>
  <c r="Q128" i="72"/>
  <c r="P120" i="72"/>
  <c r="Q120" i="72"/>
  <c r="P116" i="72"/>
  <c r="Q116" i="72"/>
  <c r="P108" i="72"/>
  <c r="Q108" i="72"/>
  <c r="P100" i="72"/>
  <c r="Q100" i="72"/>
  <c r="P96" i="72"/>
  <c r="Q96" i="72"/>
  <c r="P92" i="72"/>
  <c r="Q92" i="72"/>
  <c r="P84" i="72"/>
  <c r="Q84" i="72"/>
  <c r="P76" i="72"/>
  <c r="Q76" i="72"/>
  <c r="P68" i="72"/>
  <c r="Q68" i="72"/>
  <c r="P64" i="72"/>
  <c r="Q64" i="72"/>
  <c r="P56" i="72"/>
  <c r="Q56" i="72"/>
  <c r="P52" i="72"/>
  <c r="Q52" i="72"/>
  <c r="P44" i="72"/>
  <c r="Q44" i="72"/>
  <c r="P40" i="72"/>
  <c r="Q40" i="72"/>
  <c r="P36" i="72"/>
  <c r="Q36" i="72"/>
  <c r="P32" i="72"/>
  <c r="Q32" i="72"/>
  <c r="P28" i="72"/>
  <c r="Q28" i="72"/>
  <c r="P24" i="72"/>
  <c r="Q24" i="72"/>
  <c r="Q16" i="72"/>
  <c r="P16" i="72"/>
  <c r="Q835" i="72"/>
  <c r="P835" i="72"/>
  <c r="Q827" i="72"/>
  <c r="P827" i="72"/>
  <c r="P819" i="72"/>
  <c r="Q819" i="72"/>
  <c r="P811" i="72"/>
  <c r="Q811" i="72"/>
  <c r="P807" i="72"/>
  <c r="Q807" i="72"/>
  <c r="Q799" i="72"/>
  <c r="P799" i="72"/>
  <c r="Q795" i="72"/>
  <c r="P795" i="72"/>
  <c r="Q787" i="72"/>
  <c r="P787" i="72"/>
  <c r="Q783" i="72"/>
  <c r="P783" i="72"/>
  <c r="Q775" i="72"/>
  <c r="P775" i="72"/>
  <c r="Q771" i="72"/>
  <c r="P771" i="72"/>
  <c r="Q763" i="72"/>
  <c r="P763" i="72"/>
  <c r="Q755" i="72"/>
  <c r="P755" i="72"/>
  <c r="Q747" i="72"/>
  <c r="P747" i="72"/>
  <c r="Q739" i="72"/>
  <c r="P739" i="72"/>
  <c r="Q735" i="72"/>
  <c r="P735" i="72"/>
  <c r="Q727" i="72"/>
  <c r="P727" i="72"/>
  <c r="Q723" i="72"/>
  <c r="P723" i="72"/>
  <c r="Q715" i="72"/>
  <c r="P715" i="72"/>
  <c r="Q707" i="72"/>
  <c r="P707" i="72"/>
  <c r="Q703" i="72"/>
  <c r="P703" i="72"/>
  <c r="Q695" i="72"/>
  <c r="P695" i="72"/>
  <c r="Q687" i="72"/>
  <c r="P687" i="72"/>
  <c r="Q683" i="72"/>
  <c r="P683" i="72"/>
  <c r="Q675" i="72"/>
  <c r="P675" i="72"/>
  <c r="Q671" i="72"/>
  <c r="P671" i="72"/>
  <c r="Q663" i="72"/>
  <c r="P663" i="72"/>
  <c r="Q659" i="72"/>
  <c r="P659" i="72"/>
  <c r="Q651" i="72"/>
  <c r="P651" i="72"/>
  <c r="Q647" i="72"/>
  <c r="P647" i="72"/>
  <c r="Q639" i="72"/>
  <c r="P639" i="72"/>
  <c r="Q635" i="72"/>
  <c r="P635" i="72"/>
  <c r="Q627" i="72"/>
  <c r="P627" i="72"/>
  <c r="Q623" i="72"/>
  <c r="P623" i="72"/>
  <c r="Q615" i="72"/>
  <c r="P615" i="72"/>
  <c r="Q607" i="72"/>
  <c r="P607" i="72"/>
  <c r="Q603" i="72"/>
  <c r="P603" i="72"/>
  <c r="Q595" i="72"/>
  <c r="P595" i="72"/>
  <c r="Q591" i="72"/>
  <c r="P591" i="72"/>
  <c r="Q583" i="72"/>
  <c r="P583" i="72"/>
  <c r="Q579" i="72"/>
  <c r="P579" i="72"/>
  <c r="Q571" i="72"/>
  <c r="P571" i="72"/>
  <c r="Q563" i="72"/>
  <c r="P563" i="72"/>
  <c r="Q559" i="72"/>
  <c r="P559" i="72"/>
  <c r="Q551" i="72"/>
  <c r="P551" i="72"/>
  <c r="Q547" i="72"/>
  <c r="P547" i="72"/>
  <c r="Q539" i="72"/>
  <c r="P539" i="72"/>
  <c r="Q531" i="72"/>
  <c r="P531" i="72"/>
  <c r="Q527" i="72"/>
  <c r="P527" i="72"/>
  <c r="Q519" i="72"/>
  <c r="P519" i="72"/>
  <c r="Q515" i="72"/>
  <c r="P515" i="72"/>
  <c r="Q507" i="72"/>
  <c r="P507" i="72"/>
  <c r="Q503" i="72"/>
  <c r="P503" i="72"/>
  <c r="Q495" i="72"/>
  <c r="P495" i="72"/>
  <c r="Q491" i="72"/>
  <c r="P491" i="72"/>
  <c r="Q483" i="72"/>
  <c r="P483" i="72"/>
  <c r="Q479" i="72"/>
  <c r="P479" i="72"/>
  <c r="Q471" i="72"/>
  <c r="P471" i="72"/>
  <c r="Q467" i="72"/>
  <c r="P467" i="72"/>
  <c r="Q459" i="72"/>
  <c r="P459" i="72"/>
  <c r="L451" i="72"/>
  <c r="O451" i="72" s="1"/>
  <c r="Q451" i="72"/>
  <c r="P451" i="72"/>
  <c r="Q447" i="72"/>
  <c r="P447" i="72"/>
  <c r="Q439" i="72"/>
  <c r="P439" i="72"/>
  <c r="Q435" i="72"/>
  <c r="P435" i="72"/>
  <c r="Q427" i="72"/>
  <c r="P427" i="72"/>
  <c r="Q423" i="72"/>
  <c r="P423" i="72"/>
  <c r="Q415" i="72"/>
  <c r="P415" i="72"/>
  <c r="Q411" i="72"/>
  <c r="P411" i="72"/>
  <c r="Q403" i="72"/>
  <c r="P403" i="72"/>
  <c r="Q395" i="72"/>
  <c r="P395" i="72"/>
  <c r="Q387" i="72"/>
  <c r="P387" i="72"/>
  <c r="Q383" i="72"/>
  <c r="P383" i="72"/>
  <c r="Q375" i="72"/>
  <c r="P375" i="72"/>
  <c r="Q371" i="72"/>
  <c r="P371" i="72"/>
  <c r="Q363" i="72"/>
  <c r="P363" i="72"/>
  <c r="Q359" i="72"/>
  <c r="P359" i="72"/>
  <c r="Q355" i="72"/>
  <c r="P355" i="72"/>
  <c r="Q347" i="72"/>
  <c r="P347" i="72"/>
  <c r="P343" i="72"/>
  <c r="Q343" i="72"/>
  <c r="P335" i="72"/>
  <c r="Q335" i="72"/>
  <c r="P327" i="72"/>
  <c r="Q327" i="72"/>
  <c r="P319" i="72"/>
  <c r="Q319" i="72"/>
  <c r="Q315" i="72"/>
  <c r="P315" i="72"/>
  <c r="P311" i="72"/>
  <c r="Q311" i="72"/>
  <c r="P303" i="72"/>
  <c r="Q303" i="72"/>
  <c r="Q299" i="72"/>
  <c r="P299" i="72"/>
  <c r="Q291" i="72"/>
  <c r="P291" i="72"/>
  <c r="Q283" i="72"/>
  <c r="P283" i="72"/>
  <c r="P279" i="72"/>
  <c r="Q279" i="72"/>
  <c r="P271" i="72"/>
  <c r="Q271" i="72"/>
  <c r="Q267" i="72"/>
  <c r="P267" i="72"/>
  <c r="L259" i="72"/>
  <c r="O259" i="72" s="1"/>
  <c r="Q259" i="72"/>
  <c r="P259" i="72"/>
  <c r="Q251" i="72"/>
  <c r="P251" i="72"/>
  <c r="Q243" i="72"/>
  <c r="P243" i="72"/>
  <c r="P239" i="72"/>
  <c r="Q239" i="72"/>
  <c r="P231" i="72"/>
  <c r="Q231" i="72"/>
  <c r="Q227" i="72"/>
  <c r="P227" i="72"/>
  <c r="P223" i="72"/>
  <c r="Q223" i="72"/>
  <c r="P215" i="72"/>
  <c r="Q215" i="72"/>
  <c r="P207" i="72"/>
  <c r="Q207" i="72"/>
  <c r="Q203" i="72"/>
  <c r="P203" i="72"/>
  <c r="P199" i="72"/>
  <c r="Q199" i="72"/>
  <c r="P191" i="72"/>
  <c r="Q191" i="72"/>
  <c r="Q187" i="72"/>
  <c r="P187" i="72"/>
  <c r="P183" i="72"/>
  <c r="Q183" i="72"/>
  <c r="P175" i="72"/>
  <c r="Q175" i="72"/>
  <c r="Q171" i="72"/>
  <c r="P171" i="72"/>
  <c r="Q163" i="72"/>
  <c r="P163" i="72"/>
  <c r="Q155" i="72"/>
  <c r="P155" i="72"/>
  <c r="Q147" i="72"/>
  <c r="P147" i="72"/>
  <c r="Q143" i="72"/>
  <c r="P143" i="72"/>
  <c r="Q135" i="72"/>
  <c r="P135" i="72"/>
  <c r="Q131" i="72"/>
  <c r="P131" i="72"/>
  <c r="P123" i="72"/>
  <c r="Q123" i="72"/>
  <c r="P115" i="72"/>
  <c r="Q115" i="72"/>
  <c r="Q111" i="72"/>
  <c r="P111" i="72"/>
  <c r="Q103" i="72"/>
  <c r="P103" i="72"/>
  <c r="P99" i="72"/>
  <c r="Q99" i="72"/>
  <c r="P91" i="72"/>
  <c r="Q91" i="72"/>
  <c r="P83" i="72"/>
  <c r="Q83" i="72"/>
  <c r="Q79" i="72"/>
  <c r="P79" i="72"/>
  <c r="Q71" i="72"/>
  <c r="P71" i="72"/>
  <c r="Q63" i="72"/>
  <c r="P63" i="72"/>
  <c r="P59" i="72"/>
  <c r="Q59" i="72"/>
  <c r="P51" i="72"/>
  <c r="Q51" i="72"/>
  <c r="P43" i="72"/>
  <c r="Q43" i="72"/>
  <c r="Q39" i="72"/>
  <c r="P39" i="72"/>
  <c r="Q31" i="72"/>
  <c r="P31" i="72"/>
  <c r="P27" i="72"/>
  <c r="Q27" i="72"/>
  <c r="P19" i="72"/>
  <c r="Q19" i="72"/>
  <c r="Q838" i="72"/>
  <c r="P838" i="72"/>
  <c r="Q834" i="72"/>
  <c r="P834" i="72"/>
  <c r="Q830" i="72"/>
  <c r="P830" i="72"/>
  <c r="Q822" i="72"/>
  <c r="P822" i="72"/>
  <c r="Q818" i="72"/>
  <c r="P818" i="72"/>
  <c r="Q814" i="72"/>
  <c r="P814" i="72"/>
  <c r="Q806" i="72"/>
  <c r="P806" i="72"/>
  <c r="P802" i="72"/>
  <c r="Q802" i="72"/>
  <c r="P794" i="72"/>
  <c r="Q794" i="72"/>
  <c r="P790" i="72"/>
  <c r="Q790" i="72"/>
  <c r="P782" i="72"/>
  <c r="Q782" i="72"/>
  <c r="P778" i="72"/>
  <c r="Q778" i="72"/>
  <c r="P774" i="72"/>
  <c r="Q774" i="72"/>
  <c r="P766" i="72"/>
  <c r="Q766" i="72"/>
  <c r="P762" i="72"/>
  <c r="Q762" i="72"/>
  <c r="P754" i="72"/>
  <c r="Q754" i="72"/>
  <c r="P750" i="72"/>
  <c r="Q750" i="72"/>
  <c r="P746" i="72"/>
  <c r="Q746" i="72"/>
  <c r="P738" i="72"/>
  <c r="Q738" i="72"/>
  <c r="P734" i="72"/>
  <c r="Q734" i="72"/>
  <c r="P726" i="72"/>
  <c r="Q726" i="72"/>
  <c r="P837" i="72"/>
  <c r="Q837" i="72"/>
  <c r="P833" i="72"/>
  <c r="Q833" i="72"/>
  <c r="P829" i="72"/>
  <c r="Q829" i="72"/>
  <c r="P825" i="72"/>
  <c r="Q825" i="72"/>
  <c r="P821" i="72"/>
  <c r="Q821" i="72"/>
  <c r="P817" i="72"/>
  <c r="Q817" i="72"/>
  <c r="Q813" i="72"/>
  <c r="P813" i="72"/>
  <c r="P809" i="72"/>
  <c r="Q809" i="72"/>
  <c r="Q805" i="72"/>
  <c r="P805" i="72"/>
  <c r="P801" i="72"/>
  <c r="Q801" i="72"/>
  <c r="Q797" i="72"/>
  <c r="P797" i="72"/>
  <c r="Q793" i="72"/>
  <c r="P793" i="72"/>
  <c r="Q789" i="72"/>
  <c r="P789" i="72"/>
  <c r="Q785" i="72"/>
  <c r="P785" i="72"/>
  <c r="Q781" i="72"/>
  <c r="P781" i="72"/>
  <c r="P777" i="72"/>
  <c r="Q777" i="72"/>
  <c r="Q773" i="72"/>
  <c r="P773" i="72"/>
  <c r="P769" i="72"/>
  <c r="Q769" i="72"/>
  <c r="Q765" i="72"/>
  <c r="P765" i="72"/>
  <c r="P761" i="72"/>
  <c r="Q761" i="72"/>
  <c r="Q757" i="72"/>
  <c r="P757" i="72"/>
  <c r="Q753" i="72"/>
  <c r="P753" i="72"/>
  <c r="Q749" i="72"/>
  <c r="P749" i="72"/>
  <c r="P745" i="72"/>
  <c r="Q745" i="72"/>
  <c r="Q741" i="72"/>
  <c r="P741" i="72"/>
  <c r="P737" i="72"/>
  <c r="Q737" i="72"/>
  <c r="Q733" i="72"/>
  <c r="P733" i="72"/>
  <c r="P729" i="72"/>
  <c r="Q729" i="72"/>
  <c r="Q725" i="72"/>
  <c r="P725" i="72"/>
  <c r="P721" i="72"/>
  <c r="Q721" i="72"/>
  <c r="Q717" i="72"/>
  <c r="P717" i="72"/>
  <c r="P713" i="72"/>
  <c r="Q713" i="72"/>
  <c r="Q709" i="72"/>
  <c r="P709" i="72"/>
  <c r="P705" i="72"/>
  <c r="Q705" i="72"/>
  <c r="Q701" i="72"/>
  <c r="P701" i="72"/>
  <c r="P697" i="72"/>
  <c r="Q697" i="72"/>
  <c r="Q693" i="72"/>
  <c r="P693" i="72"/>
  <c r="P689" i="72"/>
  <c r="Q689" i="72"/>
  <c r="Q685" i="72"/>
  <c r="P685" i="72"/>
  <c r="P681" i="72"/>
  <c r="Q681" i="72"/>
  <c r="Q677" i="72"/>
  <c r="P677" i="72"/>
  <c r="Q673" i="72"/>
  <c r="P673" i="72"/>
  <c r="Q669" i="72"/>
  <c r="P669" i="72"/>
  <c r="P665" i="72"/>
  <c r="Q665" i="72"/>
  <c r="Q661" i="72"/>
  <c r="P661" i="72"/>
  <c r="Q657" i="72"/>
  <c r="P657" i="72"/>
  <c r="Q653" i="72"/>
  <c r="P653" i="72"/>
  <c r="P649" i="72"/>
  <c r="Q649" i="72"/>
  <c r="Q645" i="72"/>
  <c r="P645" i="72"/>
  <c r="P641" i="72"/>
  <c r="Q641" i="72"/>
  <c r="Q637" i="72"/>
  <c r="P637" i="72"/>
  <c r="Q633" i="72"/>
  <c r="P633" i="72"/>
  <c r="Q629" i="72"/>
  <c r="P629" i="72"/>
  <c r="Q625" i="72"/>
  <c r="P625" i="72"/>
  <c r="Q621" i="72"/>
  <c r="P621" i="72"/>
  <c r="P617" i="72"/>
  <c r="Q617" i="72"/>
  <c r="Q613" i="72"/>
  <c r="P613" i="72"/>
  <c r="P609" i="72"/>
  <c r="Q609" i="72"/>
  <c r="Q605" i="72"/>
  <c r="P605" i="72"/>
  <c r="P601" i="72"/>
  <c r="Q601" i="72"/>
  <c r="Q597" i="72"/>
  <c r="P597" i="72"/>
  <c r="P593" i="72"/>
  <c r="Q593" i="72"/>
  <c r="Q589" i="72"/>
  <c r="P589" i="72"/>
  <c r="P585" i="72"/>
  <c r="Q585" i="72"/>
  <c r="Q581" i="72"/>
  <c r="P581" i="72"/>
  <c r="P577" i="72"/>
  <c r="Q577" i="72"/>
  <c r="Q573" i="72"/>
  <c r="P573" i="72"/>
  <c r="Q569" i="72"/>
  <c r="P569" i="72"/>
  <c r="Q565" i="72"/>
  <c r="P565" i="72"/>
  <c r="P561" i="72"/>
  <c r="Q561" i="72"/>
  <c r="Q557" i="72"/>
  <c r="P557" i="72"/>
  <c r="P553" i="72"/>
  <c r="Q553" i="72"/>
  <c r="Q549" i="72"/>
  <c r="P549" i="72"/>
  <c r="P545" i="72"/>
  <c r="Q545" i="72"/>
  <c r="Q541" i="72"/>
  <c r="P541" i="72"/>
  <c r="Q537" i="72"/>
  <c r="P537" i="72"/>
  <c r="Q533" i="72"/>
  <c r="P533" i="72"/>
  <c r="Q529" i="72"/>
  <c r="P529" i="72"/>
  <c r="Q525" i="72"/>
  <c r="P525" i="72"/>
  <c r="Q521" i="72"/>
  <c r="P521" i="72"/>
  <c r="Q517" i="72"/>
  <c r="P517" i="72"/>
  <c r="P513" i="72"/>
  <c r="Q513" i="72"/>
  <c r="Q509" i="72"/>
  <c r="P509" i="72"/>
  <c r="Q505" i="72"/>
  <c r="P505" i="72"/>
  <c r="Q501" i="72"/>
  <c r="P501" i="72"/>
  <c r="Q497" i="72"/>
  <c r="P497" i="72"/>
  <c r="Q493" i="72"/>
  <c r="P493" i="72"/>
  <c r="Q489" i="72"/>
  <c r="P489" i="72"/>
  <c r="Q485" i="72"/>
  <c r="P485" i="72"/>
  <c r="P481" i="72"/>
  <c r="Q481" i="72"/>
  <c r="Q477" i="72"/>
  <c r="P477" i="72"/>
  <c r="Q473" i="72"/>
  <c r="P473" i="72"/>
  <c r="Q469" i="72"/>
  <c r="P469" i="72"/>
  <c r="P465" i="72"/>
  <c r="Q465" i="72"/>
  <c r="P461" i="72"/>
  <c r="Q461" i="72"/>
  <c r="P457" i="72"/>
  <c r="Q457" i="72"/>
  <c r="P453" i="72"/>
  <c r="Q453" i="72"/>
  <c r="P449" i="72"/>
  <c r="Q449" i="72"/>
  <c r="P445" i="72"/>
  <c r="Q445" i="72"/>
  <c r="P441" i="72"/>
  <c r="Q441" i="72"/>
  <c r="P437" i="72"/>
  <c r="Q437" i="72"/>
  <c r="P433" i="72"/>
  <c r="Q433" i="72"/>
  <c r="P429" i="72"/>
  <c r="Q429" i="72"/>
  <c r="P425" i="72"/>
  <c r="Q425" i="72"/>
  <c r="P421" i="72"/>
  <c r="Q421" i="72"/>
  <c r="P417" i="72"/>
  <c r="Q417" i="72"/>
  <c r="P413" i="72"/>
  <c r="Q413" i="72"/>
  <c r="P405" i="72"/>
  <c r="Q405" i="72"/>
  <c r="P401" i="72"/>
  <c r="Q401" i="72"/>
  <c r="P397" i="72"/>
  <c r="Q397" i="72"/>
  <c r="P393" i="72"/>
  <c r="Q393" i="72"/>
  <c r="P389" i="72"/>
  <c r="Q389" i="72"/>
  <c r="P385" i="72"/>
  <c r="Q385" i="72"/>
  <c r="P381" i="72"/>
  <c r="Q381" i="72"/>
  <c r="P377" i="72"/>
  <c r="Q377" i="72"/>
  <c r="P373" i="72"/>
  <c r="Q373" i="72"/>
  <c r="P369" i="72"/>
  <c r="Q369" i="72"/>
  <c r="P365" i="72"/>
  <c r="Q365" i="72"/>
  <c r="P361" i="72"/>
  <c r="Q361" i="72"/>
  <c r="P357" i="72"/>
  <c r="Q357" i="72"/>
  <c r="P353" i="72"/>
  <c r="Q353" i="72"/>
  <c r="P349" i="72"/>
  <c r="Q349" i="72"/>
  <c r="Q345" i="72"/>
  <c r="P345" i="72"/>
  <c r="Q341" i="72"/>
  <c r="P341" i="72"/>
  <c r="Q337" i="72"/>
  <c r="P337" i="72"/>
  <c r="Q333" i="72"/>
  <c r="P333" i="72"/>
  <c r="Q329" i="72"/>
  <c r="P329" i="72"/>
  <c r="Q325" i="72"/>
  <c r="P325" i="72"/>
  <c r="Q321" i="72"/>
  <c r="P321" i="72"/>
  <c r="Q317" i="72"/>
  <c r="P317" i="72"/>
  <c r="Q313" i="72"/>
  <c r="P313" i="72"/>
  <c r="Q309" i="72"/>
  <c r="P309" i="72"/>
  <c r="Q305" i="72"/>
  <c r="P305" i="72"/>
  <c r="Q301" i="72"/>
  <c r="P301" i="72"/>
  <c r="Q297" i="72"/>
  <c r="P297" i="72"/>
  <c r="Q293" i="72"/>
  <c r="P293" i="72"/>
  <c r="Q289" i="72"/>
  <c r="P289" i="72"/>
  <c r="Q285" i="72"/>
  <c r="P285" i="72"/>
  <c r="Q281" i="72"/>
  <c r="P281" i="72"/>
  <c r="Q277" i="72"/>
  <c r="P277" i="72"/>
  <c r="Q273" i="72"/>
  <c r="P273" i="72"/>
  <c r="Q269" i="72"/>
  <c r="P269" i="72"/>
  <c r="Q265" i="72"/>
  <c r="P265" i="72"/>
  <c r="Q261" i="72"/>
  <c r="P261" i="72"/>
  <c r="Q257" i="72"/>
  <c r="P257" i="72"/>
  <c r="Q253" i="72"/>
  <c r="P253" i="72"/>
  <c r="Q249" i="72"/>
  <c r="P249" i="72"/>
  <c r="Q245" i="72"/>
  <c r="P245" i="72"/>
  <c r="Q241" i="72"/>
  <c r="P241" i="72"/>
  <c r="Q237" i="72"/>
  <c r="P237" i="72"/>
  <c r="Q233" i="72"/>
  <c r="P233" i="72"/>
  <c r="Q229" i="72"/>
  <c r="P229" i="72"/>
  <c r="Q225" i="72"/>
  <c r="P225" i="72"/>
  <c r="Q221" i="72"/>
  <c r="P221" i="72"/>
  <c r="Q217" i="72"/>
  <c r="P217" i="72"/>
  <c r="Q213" i="72"/>
  <c r="P213" i="72"/>
  <c r="Q209" i="72"/>
  <c r="P209" i="72"/>
  <c r="Q205" i="72"/>
  <c r="P205" i="72"/>
  <c r="Q201" i="72"/>
  <c r="P201" i="72"/>
  <c r="Q197" i="72"/>
  <c r="P197" i="72"/>
  <c r="Q193" i="72"/>
  <c r="P193" i="72"/>
  <c r="Q189" i="72"/>
  <c r="P189" i="72"/>
  <c r="P185" i="72"/>
  <c r="Q185" i="72"/>
  <c r="Q181" i="72"/>
  <c r="P181" i="72"/>
  <c r="Q177" i="72"/>
  <c r="P177" i="72"/>
  <c r="Q173" i="72"/>
  <c r="P173" i="72"/>
  <c r="P169" i="72"/>
  <c r="Q169" i="72"/>
  <c r="Q165" i="72"/>
  <c r="P165" i="72"/>
  <c r="P161" i="72"/>
  <c r="Q161" i="72"/>
  <c r="Q157" i="72"/>
  <c r="P157" i="72"/>
  <c r="P153" i="72"/>
  <c r="Q153" i="72"/>
  <c r="Q149" i="72"/>
  <c r="P149" i="72"/>
  <c r="P145" i="72"/>
  <c r="Q145" i="72"/>
  <c r="Q141" i="72"/>
  <c r="P141" i="72"/>
  <c r="P137" i="72"/>
  <c r="Q137" i="72"/>
  <c r="Q133" i="72"/>
  <c r="P133" i="72"/>
  <c r="P129" i="72"/>
  <c r="Q129" i="72"/>
  <c r="Q125" i="72"/>
  <c r="P125" i="72"/>
  <c r="Q121" i="72"/>
  <c r="P121" i="72"/>
  <c r="Q117" i="72"/>
  <c r="P117" i="72"/>
  <c r="Q113" i="72"/>
  <c r="P113" i="72"/>
  <c r="Q109" i="72"/>
  <c r="P109" i="72"/>
  <c r="Q105" i="72"/>
  <c r="P105" i="72"/>
  <c r="Q101" i="72"/>
  <c r="P101" i="72"/>
  <c r="Q97" i="72"/>
  <c r="P97" i="72"/>
  <c r="Q93" i="72"/>
  <c r="P93" i="72"/>
  <c r="Q89" i="72"/>
  <c r="P89" i="72"/>
  <c r="Q85" i="72"/>
  <c r="P85" i="72"/>
  <c r="Q81" i="72"/>
  <c r="P81" i="72"/>
  <c r="Q77" i="72"/>
  <c r="P77" i="72"/>
  <c r="Q73" i="72"/>
  <c r="P73" i="72"/>
  <c r="Q69" i="72"/>
  <c r="P69" i="72"/>
  <c r="Q65" i="72"/>
  <c r="P65" i="72"/>
  <c r="Q61" i="72"/>
  <c r="P61" i="72"/>
  <c r="Q57" i="72"/>
  <c r="P57" i="72"/>
  <c r="Q53" i="72"/>
  <c r="P53" i="72"/>
  <c r="Q49" i="72"/>
  <c r="P49" i="72"/>
  <c r="Q45" i="72"/>
  <c r="P45" i="72"/>
  <c r="Q41" i="72"/>
  <c r="P41" i="72"/>
  <c r="Q37" i="72"/>
  <c r="P37" i="72"/>
  <c r="Q33" i="72"/>
  <c r="P33" i="72"/>
  <c r="Q29" i="72"/>
  <c r="P29" i="72"/>
  <c r="Q25" i="72"/>
  <c r="P25" i="72"/>
  <c r="Q21" i="72"/>
  <c r="P21" i="72"/>
  <c r="Q17" i="72"/>
  <c r="P17" i="72"/>
  <c r="L835" i="72"/>
  <c r="O835" i="72" s="1"/>
  <c r="L831" i="72"/>
  <c r="O831" i="72" s="1"/>
  <c r="L823" i="72"/>
  <c r="O823" i="72" s="1"/>
  <c r="L819" i="72"/>
  <c r="O819" i="72" s="1"/>
  <c r="R819" i="72" s="1"/>
  <c r="AF819" i="72" s="1"/>
  <c r="L811" i="72"/>
  <c r="O811" i="72" s="1"/>
  <c r="L807" i="72"/>
  <c r="O807" i="72" s="1"/>
  <c r="R807" i="72" s="1"/>
  <c r="L803" i="72"/>
  <c r="O803" i="72" s="1"/>
  <c r="R803" i="72" s="1"/>
  <c r="L795" i="72"/>
  <c r="O795" i="72" s="1"/>
  <c r="R795" i="72" s="1"/>
  <c r="AF795" i="72" s="1"/>
  <c r="L791" i="72"/>
  <c r="O791" i="72" s="1"/>
  <c r="L783" i="72"/>
  <c r="O783" i="72" s="1"/>
  <c r="L779" i="72"/>
  <c r="O779" i="72" s="1"/>
  <c r="L775" i="72"/>
  <c r="O775" i="72" s="1"/>
  <c r="L767" i="72"/>
  <c r="O767" i="72" s="1"/>
  <c r="L763" i="72"/>
  <c r="O763" i="72" s="1"/>
  <c r="R763" i="72" s="1"/>
  <c r="AF763" i="72" s="1"/>
  <c r="L759" i="72"/>
  <c r="O759" i="72" s="1"/>
  <c r="R759" i="72" s="1"/>
  <c r="L751" i="72"/>
  <c r="O751" i="72" s="1"/>
  <c r="L747" i="72"/>
  <c r="O747" i="72" s="1"/>
  <c r="L743" i="72"/>
  <c r="O743" i="72" s="1"/>
  <c r="L735" i="72"/>
  <c r="O735" i="72" s="1"/>
  <c r="L731" i="72"/>
  <c r="O731" i="72" s="1"/>
  <c r="L723" i="72"/>
  <c r="O723" i="72" s="1"/>
  <c r="L719" i="72"/>
  <c r="O719" i="72" s="1"/>
  <c r="R719" i="72" s="1"/>
  <c r="AF719" i="72" s="1"/>
  <c r="L711" i="72"/>
  <c r="O711" i="72" s="1"/>
  <c r="R711" i="72" s="1"/>
  <c r="AF711" i="72" s="1"/>
  <c r="L707" i="72"/>
  <c r="O707" i="72" s="1"/>
  <c r="R707" i="72" s="1"/>
  <c r="L699" i="72"/>
  <c r="O699" i="72" s="1"/>
  <c r="L695" i="72"/>
  <c r="O695" i="72" s="1"/>
  <c r="L687" i="72"/>
  <c r="O687" i="72" s="1"/>
  <c r="R687" i="72" s="1"/>
  <c r="AF687" i="72" s="1"/>
  <c r="L683" i="72"/>
  <c r="O683" i="72" s="1"/>
  <c r="R683" i="72" s="1"/>
  <c r="AF683" i="72" s="1"/>
  <c r="L679" i="72"/>
  <c r="O679" i="72" s="1"/>
  <c r="R679" i="72" s="1"/>
  <c r="AF679" i="72" s="1"/>
  <c r="L671" i="72"/>
  <c r="O671" i="72" s="1"/>
  <c r="L667" i="72"/>
  <c r="O667" i="72" s="1"/>
  <c r="R667" i="72" s="1"/>
  <c r="AF667" i="72" s="1"/>
  <c r="L659" i="72"/>
  <c r="O659" i="72" s="1"/>
  <c r="R659" i="72" s="1"/>
  <c r="AF659" i="72" s="1"/>
  <c r="L655" i="72"/>
  <c r="O655" i="72" s="1"/>
  <c r="L647" i="72"/>
  <c r="O647" i="72" s="1"/>
  <c r="L643" i="72"/>
  <c r="O643" i="72" s="1"/>
  <c r="L635" i="72"/>
  <c r="O635" i="72" s="1"/>
  <c r="R635" i="72" s="1"/>
  <c r="AF635" i="72" s="1"/>
  <c r="L631" i="72"/>
  <c r="O631" i="72" s="1"/>
  <c r="R631" i="72" s="1"/>
  <c r="AF631" i="72" s="1"/>
  <c r="L623" i="72"/>
  <c r="O623" i="72" s="1"/>
  <c r="L619" i="72"/>
  <c r="O619" i="72" s="1"/>
  <c r="R619" i="72" s="1"/>
  <c r="AF619" i="72" s="1"/>
  <c r="L611" i="72"/>
  <c r="O611" i="72" s="1"/>
  <c r="L607" i="72"/>
  <c r="O607" i="72" s="1"/>
  <c r="R607" i="72" s="1"/>
  <c r="AF607" i="72" s="1"/>
  <c r="L599" i="72"/>
  <c r="O599" i="72" s="1"/>
  <c r="L595" i="72"/>
  <c r="O595" i="72" s="1"/>
  <c r="L591" i="72"/>
  <c r="O591" i="72" s="1"/>
  <c r="R591" i="72" s="1"/>
  <c r="AF591" i="72" s="1"/>
  <c r="L583" i="72"/>
  <c r="O583" i="72" s="1"/>
  <c r="R583" i="72" s="1"/>
  <c r="AF583" i="72" s="1"/>
  <c r="L579" i="72"/>
  <c r="O579" i="72" s="1"/>
  <c r="L571" i="72"/>
  <c r="O571" i="72" s="1"/>
  <c r="L567" i="72"/>
  <c r="O567" i="72" s="1"/>
  <c r="L559" i="72"/>
  <c r="O559" i="72" s="1"/>
  <c r="L555" i="72"/>
  <c r="O555" i="72" s="1"/>
  <c r="L547" i="72"/>
  <c r="O547" i="72" s="1"/>
  <c r="L543" i="72"/>
  <c r="O543" i="72" s="1"/>
  <c r="R543" i="72" s="1"/>
  <c r="AF543" i="72" s="1"/>
  <c r="L535" i="72"/>
  <c r="O535" i="72" s="1"/>
  <c r="L531" i="72"/>
  <c r="O531" i="72" s="1"/>
  <c r="R531" i="72" s="1"/>
  <c r="AF531" i="72" s="1"/>
  <c r="L523" i="72"/>
  <c r="O523" i="72" s="1"/>
  <c r="L519" i="72"/>
  <c r="O519" i="72" s="1"/>
  <c r="L511" i="72"/>
  <c r="O511" i="72" s="1"/>
  <c r="L507" i="72"/>
  <c r="O507" i="72" s="1"/>
  <c r="R507" i="72" s="1"/>
  <c r="AF507" i="72" s="1"/>
  <c r="L499" i="72"/>
  <c r="O499" i="72" s="1"/>
  <c r="R499" i="72" s="1"/>
  <c r="AF499" i="72" s="1"/>
  <c r="L495" i="72"/>
  <c r="O495" i="72" s="1"/>
  <c r="L491" i="72"/>
  <c r="O491" i="72" s="1"/>
  <c r="R491" i="72" s="1"/>
  <c r="L483" i="72"/>
  <c r="O483" i="72" s="1"/>
  <c r="R483" i="72" s="1"/>
  <c r="AF483" i="72" s="1"/>
  <c r="L455" i="72"/>
  <c r="O455" i="72" s="1"/>
  <c r="R455" i="72" s="1"/>
  <c r="AF455" i="72" s="1"/>
  <c r="L838" i="72"/>
  <c r="O838" i="72" s="1"/>
  <c r="L834" i="72"/>
  <c r="O834" i="72" s="1"/>
  <c r="L830" i="72"/>
  <c r="O830" i="72" s="1"/>
  <c r="L826" i="72"/>
  <c r="O826" i="72" s="1"/>
  <c r="R826" i="72" s="1"/>
  <c r="L822" i="72"/>
  <c r="O822" i="72" s="1"/>
  <c r="R822" i="72" s="1"/>
  <c r="AF822" i="72" s="1"/>
  <c r="L818" i="72"/>
  <c r="O818" i="72" s="1"/>
  <c r="R818" i="72" s="1"/>
  <c r="L814" i="72"/>
  <c r="O814" i="72" s="1"/>
  <c r="L810" i="72"/>
  <c r="O810" i="72" s="1"/>
  <c r="L806" i="72"/>
  <c r="O806" i="72" s="1"/>
  <c r="L802" i="72"/>
  <c r="O802" i="72" s="1"/>
  <c r="R802" i="72" s="1"/>
  <c r="AF802" i="72" s="1"/>
  <c r="L798" i="72"/>
  <c r="O798" i="72" s="1"/>
  <c r="L794" i="72"/>
  <c r="O794" i="72" s="1"/>
  <c r="L790" i="72"/>
  <c r="O790" i="72" s="1"/>
  <c r="L786" i="72"/>
  <c r="O786" i="72" s="1"/>
  <c r="R786" i="72" s="1"/>
  <c r="AF786" i="72" s="1"/>
  <c r="L782" i="72"/>
  <c r="O782" i="72" s="1"/>
  <c r="L778" i="72"/>
  <c r="O778" i="72" s="1"/>
  <c r="R778" i="72" s="1"/>
  <c r="AF778" i="72" s="1"/>
  <c r="L774" i="72"/>
  <c r="O774" i="72" s="1"/>
  <c r="L770" i="72"/>
  <c r="O770" i="72" s="1"/>
  <c r="L766" i="72"/>
  <c r="O766" i="72" s="1"/>
  <c r="L762" i="72"/>
  <c r="O762" i="72" s="1"/>
  <c r="L758" i="72"/>
  <c r="O758" i="72" s="1"/>
  <c r="L754" i="72"/>
  <c r="O754" i="72" s="1"/>
  <c r="R754" i="72" s="1"/>
  <c r="AF754" i="72" s="1"/>
  <c r="L750" i="72"/>
  <c r="O750" i="72" s="1"/>
  <c r="L746" i="72"/>
  <c r="O746" i="72" s="1"/>
  <c r="L742" i="72"/>
  <c r="O742" i="72" s="1"/>
  <c r="R742" i="72" s="1"/>
  <c r="AF742" i="72" s="1"/>
  <c r="L738" i="72"/>
  <c r="O738" i="72" s="1"/>
  <c r="L734" i="72"/>
  <c r="O734" i="72" s="1"/>
  <c r="L730" i="72"/>
  <c r="O730" i="72" s="1"/>
  <c r="R730" i="72" s="1"/>
  <c r="AF730" i="72" s="1"/>
  <c r="L726" i="72"/>
  <c r="O726" i="72" s="1"/>
  <c r="R726" i="72" s="1"/>
  <c r="AF726" i="72" s="1"/>
  <c r="L722" i="72"/>
  <c r="O722" i="72" s="1"/>
  <c r="L718" i="72"/>
  <c r="O718" i="72" s="1"/>
  <c r="R718" i="72" s="1"/>
  <c r="AF718" i="72" s="1"/>
  <c r="L714" i="72"/>
  <c r="O714" i="72" s="1"/>
  <c r="L710" i="72"/>
  <c r="O710" i="72" s="1"/>
  <c r="R710" i="72" s="1"/>
  <c r="L706" i="72"/>
  <c r="O706" i="72" s="1"/>
  <c r="L702" i="72"/>
  <c r="O702" i="72" s="1"/>
  <c r="L698" i="72"/>
  <c r="O698" i="72" s="1"/>
  <c r="L694" i="72"/>
  <c r="O694" i="72" s="1"/>
  <c r="R694" i="72" s="1"/>
  <c r="AF694" i="72" s="1"/>
  <c r="L690" i="72"/>
  <c r="O690" i="72" s="1"/>
  <c r="L686" i="72"/>
  <c r="O686" i="72" s="1"/>
  <c r="R686" i="72" s="1"/>
  <c r="AF686" i="72" s="1"/>
  <c r="L682" i="72"/>
  <c r="O682" i="72" s="1"/>
  <c r="L678" i="72"/>
  <c r="O678" i="72" s="1"/>
  <c r="R678" i="72" s="1"/>
  <c r="L674" i="72"/>
  <c r="O674" i="72" s="1"/>
  <c r="L670" i="72"/>
  <c r="O670" i="72" s="1"/>
  <c r="L666" i="72"/>
  <c r="O666" i="72" s="1"/>
  <c r="L662" i="72"/>
  <c r="O662" i="72" s="1"/>
  <c r="R662" i="72" s="1"/>
  <c r="AF662" i="72" s="1"/>
  <c r="L658" i="72"/>
  <c r="O658" i="72" s="1"/>
  <c r="L654" i="72"/>
  <c r="O654" i="72" s="1"/>
  <c r="R654" i="72" s="1"/>
  <c r="AF654" i="72" s="1"/>
  <c r="L650" i="72"/>
  <c r="O650" i="72" s="1"/>
  <c r="L646" i="72"/>
  <c r="O646" i="72" s="1"/>
  <c r="R646" i="72" s="1"/>
  <c r="AF646" i="72" s="1"/>
  <c r="L642" i="72"/>
  <c r="O642" i="72" s="1"/>
  <c r="L638" i="72"/>
  <c r="O638" i="72" s="1"/>
  <c r="L634" i="72"/>
  <c r="O634" i="72" s="1"/>
  <c r="L630" i="72"/>
  <c r="O630" i="72" s="1"/>
  <c r="R630" i="72" s="1"/>
  <c r="AF630" i="72" s="1"/>
  <c r="L626" i="72"/>
  <c r="O626" i="72" s="1"/>
  <c r="L622" i="72"/>
  <c r="O622" i="72" s="1"/>
  <c r="R622" i="72" s="1"/>
  <c r="AF622" i="72" s="1"/>
  <c r="L618" i="72"/>
  <c r="O618" i="72" s="1"/>
  <c r="L614" i="72"/>
  <c r="O614" i="72" s="1"/>
  <c r="L610" i="72"/>
  <c r="O610" i="72" s="1"/>
  <c r="L606" i="72"/>
  <c r="O606" i="72" s="1"/>
  <c r="L602" i="72"/>
  <c r="O602" i="72" s="1"/>
  <c r="L598" i="72"/>
  <c r="O598" i="72" s="1"/>
  <c r="R598" i="72" s="1"/>
  <c r="AF598" i="72" s="1"/>
  <c r="L594" i="72"/>
  <c r="O594" i="72" s="1"/>
  <c r="L590" i="72"/>
  <c r="O590" i="72" s="1"/>
  <c r="R590" i="72" s="1"/>
  <c r="AF590" i="72" s="1"/>
  <c r="L586" i="72"/>
  <c r="O586" i="72" s="1"/>
  <c r="L582" i="72"/>
  <c r="O582" i="72" s="1"/>
  <c r="R582" i="72" s="1"/>
  <c r="AF582" i="72" s="1"/>
  <c r="L578" i="72"/>
  <c r="O578" i="72" s="1"/>
  <c r="L574" i="72"/>
  <c r="O574" i="72" s="1"/>
  <c r="L570" i="72"/>
  <c r="O570" i="72" s="1"/>
  <c r="L566" i="72"/>
  <c r="O566" i="72" s="1"/>
  <c r="R566" i="72" s="1"/>
  <c r="AF566" i="72" s="1"/>
  <c r="L562" i="72"/>
  <c r="O562" i="72" s="1"/>
  <c r="L558" i="72"/>
  <c r="O558" i="72" s="1"/>
  <c r="R558" i="72" s="1"/>
  <c r="AF558" i="72" s="1"/>
  <c r="L554" i="72"/>
  <c r="O554" i="72" s="1"/>
  <c r="L550" i="72"/>
  <c r="O550" i="72" s="1"/>
  <c r="R550" i="72" s="1"/>
  <c r="AF550" i="72" s="1"/>
  <c r="L546" i="72"/>
  <c r="O546" i="72" s="1"/>
  <c r="L542" i="72"/>
  <c r="O542" i="72" s="1"/>
  <c r="L538" i="72"/>
  <c r="O538" i="72" s="1"/>
  <c r="L534" i="72"/>
  <c r="O534" i="72" s="1"/>
  <c r="R534" i="72" s="1"/>
  <c r="AF534" i="72" s="1"/>
  <c r="L530" i="72"/>
  <c r="O530" i="72" s="1"/>
  <c r="L526" i="72"/>
  <c r="O526" i="72" s="1"/>
  <c r="R526" i="72" s="1"/>
  <c r="L522" i="72"/>
  <c r="O522" i="72" s="1"/>
  <c r="L518" i="72"/>
  <c r="O518" i="72" s="1"/>
  <c r="R518" i="72" s="1"/>
  <c r="L514" i="72"/>
  <c r="O514" i="72" s="1"/>
  <c r="L510" i="72"/>
  <c r="O510" i="72" s="1"/>
  <c r="L506" i="72"/>
  <c r="O506" i="72" s="1"/>
  <c r="L502" i="72"/>
  <c r="O502" i="72" s="1"/>
  <c r="R502" i="72" s="1"/>
  <c r="AF502" i="72" s="1"/>
  <c r="L498" i="72"/>
  <c r="O498" i="72" s="1"/>
  <c r="L494" i="72"/>
  <c r="O494" i="72" s="1"/>
  <c r="R494" i="72" s="1"/>
  <c r="AF494" i="72" s="1"/>
  <c r="L490" i="72"/>
  <c r="O490" i="72" s="1"/>
  <c r="L486" i="72"/>
  <c r="O486" i="72" s="1"/>
  <c r="R486" i="72" s="1"/>
  <c r="AF486" i="72" s="1"/>
  <c r="L482" i="72"/>
  <c r="O482" i="72" s="1"/>
  <c r="L478" i="72"/>
  <c r="O478" i="72" s="1"/>
  <c r="L474" i="72"/>
  <c r="O474" i="72" s="1"/>
  <c r="L470" i="72"/>
  <c r="O470" i="72" s="1"/>
  <c r="R470" i="72" s="1"/>
  <c r="AF470" i="72" s="1"/>
  <c r="L466" i="72"/>
  <c r="O466" i="72" s="1"/>
  <c r="L462" i="72"/>
  <c r="O462" i="72" s="1"/>
  <c r="L458" i="72"/>
  <c r="O458" i="72" s="1"/>
  <c r="L454" i="72"/>
  <c r="O454" i="72" s="1"/>
  <c r="R454" i="72" s="1"/>
  <c r="AF454" i="72" s="1"/>
  <c r="L450" i="72"/>
  <c r="O450" i="72" s="1"/>
  <c r="R450" i="72" s="1"/>
  <c r="AF450" i="72" s="1"/>
  <c r="L446" i="72"/>
  <c r="O446" i="72" s="1"/>
  <c r="L442" i="72"/>
  <c r="O442" i="72" s="1"/>
  <c r="L438" i="72"/>
  <c r="O438" i="72" s="1"/>
  <c r="R438" i="72" s="1"/>
  <c r="AF438" i="72" s="1"/>
  <c r="L434" i="72"/>
  <c r="O434" i="72" s="1"/>
  <c r="R434" i="72" s="1"/>
  <c r="AF434" i="72" s="1"/>
  <c r="L430" i="72"/>
  <c r="O430" i="72" s="1"/>
  <c r="L426" i="72"/>
  <c r="O426" i="72" s="1"/>
  <c r="L422" i="72"/>
  <c r="O422" i="72" s="1"/>
  <c r="R422" i="72" s="1"/>
  <c r="AF422" i="72" s="1"/>
  <c r="L418" i="72"/>
  <c r="O418" i="72" s="1"/>
  <c r="R418" i="72" s="1"/>
  <c r="AF418" i="72" s="1"/>
  <c r="L414" i="72"/>
  <c r="O414" i="72" s="1"/>
  <c r="L410" i="72"/>
  <c r="O410" i="72" s="1"/>
  <c r="L406" i="72"/>
  <c r="O406" i="72" s="1"/>
  <c r="R406" i="72" s="1"/>
  <c r="AF406" i="72" s="1"/>
  <c r="L402" i="72"/>
  <c r="O402" i="72" s="1"/>
  <c r="R402" i="72" s="1"/>
  <c r="AF402" i="72" s="1"/>
  <c r="L398" i="72"/>
  <c r="O398" i="72" s="1"/>
  <c r="L394" i="72"/>
  <c r="O394" i="72" s="1"/>
  <c r="L390" i="72"/>
  <c r="O390" i="72" s="1"/>
  <c r="R390" i="72" s="1"/>
  <c r="AF390" i="72" s="1"/>
  <c r="L386" i="72"/>
  <c r="O386" i="72" s="1"/>
  <c r="R386" i="72" s="1"/>
  <c r="AF386" i="72" s="1"/>
  <c r="L382" i="72"/>
  <c r="O382" i="72" s="1"/>
  <c r="L378" i="72"/>
  <c r="O378" i="72" s="1"/>
  <c r="L374" i="72"/>
  <c r="O374" i="72" s="1"/>
  <c r="R374" i="72" s="1"/>
  <c r="L370" i="72"/>
  <c r="O370" i="72" s="1"/>
  <c r="R370" i="72" s="1"/>
  <c r="AF370" i="72" s="1"/>
  <c r="L366" i="72"/>
  <c r="O366" i="72" s="1"/>
  <c r="L362" i="72"/>
  <c r="O362" i="72" s="1"/>
  <c r="L358" i="72"/>
  <c r="O358" i="72" s="1"/>
  <c r="R358" i="72" s="1"/>
  <c r="AF358" i="72" s="1"/>
  <c r="L354" i="72"/>
  <c r="O354" i="72" s="1"/>
  <c r="R354" i="72" s="1"/>
  <c r="L350" i="72"/>
  <c r="O350" i="72" s="1"/>
  <c r="L346" i="72"/>
  <c r="O346" i="72" s="1"/>
  <c r="L342" i="72"/>
  <c r="O342" i="72" s="1"/>
  <c r="R342" i="72" s="1"/>
  <c r="AF342" i="72" s="1"/>
  <c r="L338" i="72"/>
  <c r="O338" i="72" s="1"/>
  <c r="R338" i="72" s="1"/>
  <c r="AF338" i="72" s="1"/>
  <c r="L334" i="72"/>
  <c r="O334" i="72" s="1"/>
  <c r="L330" i="72"/>
  <c r="O330" i="72" s="1"/>
  <c r="L326" i="72"/>
  <c r="O326" i="72" s="1"/>
  <c r="R326" i="72" s="1"/>
  <c r="AF326" i="72" s="1"/>
  <c r="L322" i="72"/>
  <c r="O322" i="72" s="1"/>
  <c r="R322" i="72" s="1"/>
  <c r="AF322" i="72" s="1"/>
  <c r="L318" i="72"/>
  <c r="O318" i="72" s="1"/>
  <c r="L314" i="72"/>
  <c r="O314" i="72" s="1"/>
  <c r="L310" i="72"/>
  <c r="O310" i="72" s="1"/>
  <c r="R310" i="72" s="1"/>
  <c r="AF310" i="72" s="1"/>
  <c r="L306" i="72"/>
  <c r="O306" i="72" s="1"/>
  <c r="R306" i="72" s="1"/>
  <c r="AF306" i="72" s="1"/>
  <c r="L302" i="72"/>
  <c r="O302" i="72" s="1"/>
  <c r="L298" i="72"/>
  <c r="O298" i="72" s="1"/>
  <c r="L294" i="72"/>
  <c r="O294" i="72" s="1"/>
  <c r="R294" i="72" s="1"/>
  <c r="AF294" i="72" s="1"/>
  <c r="L290" i="72"/>
  <c r="O290" i="72" s="1"/>
  <c r="R290" i="72" s="1"/>
  <c r="AF290" i="72" s="1"/>
  <c r="L286" i="72"/>
  <c r="O286" i="72" s="1"/>
  <c r="L282" i="72"/>
  <c r="O282" i="72" s="1"/>
  <c r="L278" i="72"/>
  <c r="O278" i="72" s="1"/>
  <c r="R278" i="72" s="1"/>
  <c r="AF278" i="72" s="1"/>
  <c r="L274" i="72"/>
  <c r="O274" i="72" s="1"/>
  <c r="R274" i="72" s="1"/>
  <c r="AF274" i="72" s="1"/>
  <c r="L270" i="72"/>
  <c r="O270" i="72" s="1"/>
  <c r="L266" i="72"/>
  <c r="O266" i="72" s="1"/>
  <c r="L262" i="72"/>
  <c r="O262" i="72" s="1"/>
  <c r="R262" i="72" s="1"/>
  <c r="AF262" i="72" s="1"/>
  <c r="L258" i="72"/>
  <c r="O258" i="72" s="1"/>
  <c r="R258" i="72" s="1"/>
  <c r="AF258" i="72" s="1"/>
  <c r="L254" i="72"/>
  <c r="O254" i="72" s="1"/>
  <c r="L250" i="72"/>
  <c r="O250" i="72" s="1"/>
  <c r="L246" i="72"/>
  <c r="O246" i="72" s="1"/>
  <c r="R246" i="72" s="1"/>
  <c r="AF246" i="72" s="1"/>
  <c r="L242" i="72"/>
  <c r="O242" i="72" s="1"/>
  <c r="R242" i="72" s="1"/>
  <c r="AF242" i="72" s="1"/>
  <c r="L238" i="72"/>
  <c r="O238" i="72" s="1"/>
  <c r="L234" i="72"/>
  <c r="O234" i="72" s="1"/>
  <c r="L230" i="72"/>
  <c r="O230" i="72" s="1"/>
  <c r="R230" i="72" s="1"/>
  <c r="L226" i="72"/>
  <c r="O226" i="72" s="1"/>
  <c r="R226" i="72" s="1"/>
  <c r="AF226" i="72" s="1"/>
  <c r="L222" i="72"/>
  <c r="O222" i="72" s="1"/>
  <c r="L218" i="72"/>
  <c r="O218" i="72" s="1"/>
  <c r="L214" i="72"/>
  <c r="O214" i="72" s="1"/>
  <c r="R214" i="72" s="1"/>
  <c r="AF214" i="72" s="1"/>
  <c r="L210" i="72"/>
  <c r="O210" i="72" s="1"/>
  <c r="R210" i="72" s="1"/>
  <c r="AF210" i="72" s="1"/>
  <c r="L206" i="72"/>
  <c r="O206" i="72" s="1"/>
  <c r="L202" i="72"/>
  <c r="O202" i="72" s="1"/>
  <c r="L198" i="72"/>
  <c r="O198" i="72" s="1"/>
  <c r="R198" i="72" s="1"/>
  <c r="AF198" i="72" s="1"/>
  <c r="L194" i="72"/>
  <c r="O194" i="72" s="1"/>
  <c r="R194" i="72" s="1"/>
  <c r="AF194" i="72" s="1"/>
  <c r="L190" i="72"/>
  <c r="O190" i="72" s="1"/>
  <c r="L186" i="72"/>
  <c r="O186" i="72" s="1"/>
  <c r="L182" i="72"/>
  <c r="O182" i="72" s="1"/>
  <c r="R182" i="72" s="1"/>
  <c r="AF182" i="72" s="1"/>
  <c r="L178" i="72"/>
  <c r="O178" i="72" s="1"/>
  <c r="L174" i="72"/>
  <c r="O174" i="72" s="1"/>
  <c r="R174" i="72" s="1"/>
  <c r="AF174" i="72" s="1"/>
  <c r="L170" i="72"/>
  <c r="O170" i="72" s="1"/>
  <c r="L166" i="72"/>
  <c r="O166" i="72" s="1"/>
  <c r="R166" i="72" s="1"/>
  <c r="AF166" i="72" s="1"/>
  <c r="L162" i="72"/>
  <c r="O162" i="72" s="1"/>
  <c r="L158" i="72"/>
  <c r="O158" i="72" s="1"/>
  <c r="L154" i="72"/>
  <c r="O154" i="72" s="1"/>
  <c r="L150" i="72"/>
  <c r="O150" i="72" s="1"/>
  <c r="R150" i="72" s="1"/>
  <c r="AF150" i="72" s="1"/>
  <c r="L146" i="72"/>
  <c r="O146" i="72" s="1"/>
  <c r="L142" i="72"/>
  <c r="O142" i="72" s="1"/>
  <c r="R142" i="72" s="1"/>
  <c r="AF142" i="72" s="1"/>
  <c r="L138" i="72"/>
  <c r="O138" i="72" s="1"/>
  <c r="L134" i="72"/>
  <c r="O134" i="72" s="1"/>
  <c r="R134" i="72" s="1"/>
  <c r="AF134" i="72" s="1"/>
  <c r="L130" i="72"/>
  <c r="O130" i="72" s="1"/>
  <c r="L126" i="72"/>
  <c r="O126" i="72" s="1"/>
  <c r="L122" i="72"/>
  <c r="O122" i="72" s="1"/>
  <c r="L118" i="72"/>
  <c r="O118" i="72" s="1"/>
  <c r="L114" i="72"/>
  <c r="O114" i="72" s="1"/>
  <c r="R114" i="72" s="1"/>
  <c r="AF114" i="72" s="1"/>
  <c r="L110" i="72"/>
  <c r="O110" i="72" s="1"/>
  <c r="L106" i="72"/>
  <c r="O106" i="72" s="1"/>
  <c r="L102" i="72"/>
  <c r="O102" i="72" s="1"/>
  <c r="R102" i="72" s="1"/>
  <c r="AF102" i="72" s="1"/>
  <c r="L98" i="72"/>
  <c r="O98" i="72" s="1"/>
  <c r="R98" i="72" s="1"/>
  <c r="AF98" i="72" s="1"/>
  <c r="L94" i="72"/>
  <c r="O94" i="72" s="1"/>
  <c r="L90" i="72"/>
  <c r="O90" i="72" s="1"/>
  <c r="L86" i="72"/>
  <c r="O86" i="72" s="1"/>
  <c r="R86" i="72" s="1"/>
  <c r="AF86" i="72" s="1"/>
  <c r="L82" i="72"/>
  <c r="O82" i="72" s="1"/>
  <c r="R82" i="72" s="1"/>
  <c r="AF82" i="72" s="1"/>
  <c r="L78" i="72"/>
  <c r="O78" i="72" s="1"/>
  <c r="L74" i="72"/>
  <c r="O74" i="72" s="1"/>
  <c r="L70" i="72"/>
  <c r="O70" i="72" s="1"/>
  <c r="R70" i="72" s="1"/>
  <c r="AF70" i="72" s="1"/>
  <c r="L66" i="72"/>
  <c r="O66" i="72" s="1"/>
  <c r="R66" i="72" s="1"/>
  <c r="AF66" i="72" s="1"/>
  <c r="L62" i="72"/>
  <c r="O62" i="72" s="1"/>
  <c r="L58" i="72"/>
  <c r="O58" i="72" s="1"/>
  <c r="L54" i="72"/>
  <c r="O54" i="72" s="1"/>
  <c r="R54" i="72" s="1"/>
  <c r="AF54" i="72" s="1"/>
  <c r="L50" i="72"/>
  <c r="O50" i="72" s="1"/>
  <c r="R50" i="72" s="1"/>
  <c r="AF50" i="72" s="1"/>
  <c r="L46" i="72"/>
  <c r="O46" i="72" s="1"/>
  <c r="L42" i="72"/>
  <c r="O42" i="72" s="1"/>
  <c r="L38" i="72"/>
  <c r="O38" i="72" s="1"/>
  <c r="R38" i="72" s="1"/>
  <c r="AF38" i="72" s="1"/>
  <c r="L34" i="72"/>
  <c r="O34" i="72" s="1"/>
  <c r="R34" i="72" s="1"/>
  <c r="AF34" i="72" s="1"/>
  <c r="L30" i="72"/>
  <c r="O30" i="72" s="1"/>
  <c r="L26" i="72"/>
  <c r="O26" i="72" s="1"/>
  <c r="L22" i="72"/>
  <c r="O22" i="72" s="1"/>
  <c r="R22" i="72" s="1"/>
  <c r="AF22" i="72" s="1"/>
  <c r="L18" i="72"/>
  <c r="O18" i="72" s="1"/>
  <c r="R18" i="72" s="1"/>
  <c r="L833" i="72"/>
  <c r="O833" i="72" s="1"/>
  <c r="L825" i="72"/>
  <c r="O825" i="72" s="1"/>
  <c r="R825" i="72" s="1"/>
  <c r="L817" i="72"/>
  <c r="O817" i="72" s="1"/>
  <c r="R817" i="72" s="1"/>
  <c r="AF817" i="72" s="1"/>
  <c r="L809" i="72"/>
  <c r="O809" i="72" s="1"/>
  <c r="L801" i="72"/>
  <c r="O801" i="72" s="1"/>
  <c r="L793" i="72"/>
  <c r="O793" i="72" s="1"/>
  <c r="R793" i="72" s="1"/>
  <c r="AF793" i="72" s="1"/>
  <c r="L785" i="72"/>
  <c r="O785" i="72" s="1"/>
  <c r="L781" i="72"/>
  <c r="O781" i="72" s="1"/>
  <c r="R781" i="72" s="1"/>
  <c r="L773" i="72"/>
  <c r="O773" i="72" s="1"/>
  <c r="L765" i="72"/>
  <c r="O765" i="72" s="1"/>
  <c r="R765" i="72" s="1"/>
  <c r="L757" i="72"/>
  <c r="O757" i="72" s="1"/>
  <c r="L749" i="72"/>
  <c r="O749" i="72" s="1"/>
  <c r="R749" i="72" s="1"/>
  <c r="AF749" i="72" s="1"/>
  <c r="L741" i="72"/>
  <c r="O741" i="72" s="1"/>
  <c r="L733" i="72"/>
  <c r="O733" i="72" s="1"/>
  <c r="L725" i="72"/>
  <c r="O725" i="72" s="1"/>
  <c r="L717" i="72"/>
  <c r="O717" i="72" s="1"/>
  <c r="R717" i="72" s="1"/>
  <c r="L709" i="72"/>
  <c r="O709" i="72" s="1"/>
  <c r="L701" i="72"/>
  <c r="O701" i="72" s="1"/>
  <c r="R701" i="72" s="1"/>
  <c r="AF701" i="72" s="1"/>
  <c r="L693" i="72"/>
  <c r="O693" i="72" s="1"/>
  <c r="L685" i="72"/>
  <c r="O685" i="72" s="1"/>
  <c r="R685" i="72" s="1"/>
  <c r="L681" i="72"/>
  <c r="O681" i="72" s="1"/>
  <c r="L673" i="72"/>
  <c r="O673" i="72" s="1"/>
  <c r="L665" i="72"/>
  <c r="O665" i="72" s="1"/>
  <c r="R665" i="72" s="1"/>
  <c r="AF665" i="72" s="1"/>
  <c r="L657" i="72"/>
  <c r="O657" i="72" s="1"/>
  <c r="L649" i="72"/>
  <c r="O649" i="72" s="1"/>
  <c r="L641" i="72"/>
  <c r="O641" i="72" s="1"/>
  <c r="L637" i="72"/>
  <c r="O637" i="72" s="1"/>
  <c r="R637" i="72" s="1"/>
  <c r="AF637" i="72" s="1"/>
  <c r="L629" i="72"/>
  <c r="O629" i="72" s="1"/>
  <c r="L621" i="72"/>
  <c r="O621" i="72" s="1"/>
  <c r="R621" i="72" s="1"/>
  <c r="AF621" i="72" s="1"/>
  <c r="L613" i="72"/>
  <c r="O613" i="72" s="1"/>
  <c r="L605" i="72"/>
  <c r="O605" i="72" s="1"/>
  <c r="L597" i="72"/>
  <c r="O597" i="72" s="1"/>
  <c r="L589" i="72"/>
  <c r="O589" i="72" s="1"/>
  <c r="R589" i="72" s="1"/>
  <c r="AF589" i="72" s="1"/>
  <c r="L585" i="72"/>
  <c r="O585" i="72" s="1"/>
  <c r="R585" i="72" s="1"/>
  <c r="AF585" i="72" s="1"/>
  <c r="L577" i="72"/>
  <c r="O577" i="72" s="1"/>
  <c r="R577" i="72" s="1"/>
  <c r="AF577" i="72" s="1"/>
  <c r="L569" i="72"/>
  <c r="O569" i="72" s="1"/>
  <c r="R569" i="72" s="1"/>
  <c r="AF569" i="72" s="1"/>
  <c r="L561" i="72"/>
  <c r="O561" i="72" s="1"/>
  <c r="L553" i="72"/>
  <c r="O553" i="72" s="1"/>
  <c r="L549" i="72"/>
  <c r="O549" i="72" s="1"/>
  <c r="L541" i="72"/>
  <c r="O541" i="72" s="1"/>
  <c r="R541" i="72" s="1"/>
  <c r="AF541" i="72" s="1"/>
  <c r="L533" i="72"/>
  <c r="O533" i="72" s="1"/>
  <c r="L525" i="72"/>
  <c r="O525" i="72" s="1"/>
  <c r="R525" i="72" s="1"/>
  <c r="L517" i="72"/>
  <c r="O517" i="72" s="1"/>
  <c r="L509" i="72"/>
  <c r="O509" i="72" s="1"/>
  <c r="R509" i="72" s="1"/>
  <c r="AF509" i="72" s="1"/>
  <c r="L501" i="72"/>
  <c r="O501" i="72" s="1"/>
  <c r="L493" i="72"/>
  <c r="O493" i="72" s="1"/>
  <c r="R493" i="72" s="1"/>
  <c r="AF493" i="72" s="1"/>
  <c r="L485" i="72"/>
  <c r="O485" i="72" s="1"/>
  <c r="L477" i="72"/>
  <c r="O477" i="72" s="1"/>
  <c r="R477" i="72" s="1"/>
  <c r="L469" i="72"/>
  <c r="O469" i="72" s="1"/>
  <c r="L461" i="72"/>
  <c r="O461" i="72" s="1"/>
  <c r="R461" i="72" s="1"/>
  <c r="AF461" i="72" s="1"/>
  <c r="L453" i="72"/>
  <c r="O453" i="72" s="1"/>
  <c r="L445" i="72"/>
  <c r="O445" i="72" s="1"/>
  <c r="R445" i="72" s="1"/>
  <c r="AF445" i="72" s="1"/>
  <c r="L437" i="72"/>
  <c r="O437" i="72" s="1"/>
  <c r="L429" i="72"/>
  <c r="O429" i="72" s="1"/>
  <c r="R429" i="72" s="1"/>
  <c r="AF429" i="72" s="1"/>
  <c r="L421" i="72"/>
  <c r="O421" i="72" s="1"/>
  <c r="L401" i="72"/>
  <c r="O401" i="72" s="1"/>
  <c r="L393" i="72"/>
  <c r="O393" i="72" s="1"/>
  <c r="R393" i="72" s="1"/>
  <c r="AF393" i="72" s="1"/>
  <c r="L385" i="72"/>
  <c r="O385" i="72" s="1"/>
  <c r="R385" i="72" s="1"/>
  <c r="AF385" i="72" s="1"/>
  <c r="L377" i="72"/>
  <c r="O377" i="72" s="1"/>
  <c r="L369" i="72"/>
  <c r="O369" i="72" s="1"/>
  <c r="L365" i="72"/>
  <c r="O365" i="72" s="1"/>
  <c r="R365" i="72" s="1"/>
  <c r="AF365" i="72" s="1"/>
  <c r="L357" i="72"/>
  <c r="O357" i="72" s="1"/>
  <c r="L349" i="72"/>
  <c r="O349" i="72" s="1"/>
  <c r="R349" i="72" s="1"/>
  <c r="AF349" i="72" s="1"/>
  <c r="L341" i="72"/>
  <c r="O341" i="72" s="1"/>
  <c r="R341" i="72" s="1"/>
  <c r="L333" i="72"/>
  <c r="O333" i="72" s="1"/>
  <c r="L325" i="72"/>
  <c r="O325" i="72" s="1"/>
  <c r="L317" i="72"/>
  <c r="O317" i="72" s="1"/>
  <c r="L309" i="72"/>
  <c r="O309" i="72" s="1"/>
  <c r="L301" i="72"/>
  <c r="O301" i="72" s="1"/>
  <c r="L293" i="72"/>
  <c r="O293" i="72" s="1"/>
  <c r="L285" i="72"/>
  <c r="O285" i="72" s="1"/>
  <c r="L273" i="72"/>
  <c r="O273" i="72" s="1"/>
  <c r="L265" i="72"/>
  <c r="O265" i="72" s="1"/>
  <c r="R265" i="72" s="1"/>
  <c r="AF265" i="72" s="1"/>
  <c r="L257" i="72"/>
  <c r="O257" i="72" s="1"/>
  <c r="L249" i="72"/>
  <c r="O249" i="72" s="1"/>
  <c r="R249" i="72" s="1"/>
  <c r="AF249" i="72" s="1"/>
  <c r="L241" i="72"/>
  <c r="O241" i="72" s="1"/>
  <c r="L233" i="72"/>
  <c r="O233" i="72" s="1"/>
  <c r="R233" i="72" s="1"/>
  <c r="AF233" i="72" s="1"/>
  <c r="L225" i="72"/>
  <c r="O225" i="72" s="1"/>
  <c r="L217" i="72"/>
  <c r="O217" i="72" s="1"/>
  <c r="R217" i="72" s="1"/>
  <c r="L213" i="72"/>
  <c r="O213" i="72" s="1"/>
  <c r="R213" i="72" s="1"/>
  <c r="L205" i="72"/>
  <c r="O205" i="72" s="1"/>
  <c r="L197" i="72"/>
  <c r="O197" i="72" s="1"/>
  <c r="L189" i="72"/>
  <c r="O189" i="72" s="1"/>
  <c r="L181" i="72"/>
  <c r="O181" i="72" s="1"/>
  <c r="L173" i="72"/>
  <c r="O173" i="72" s="1"/>
  <c r="L169" i="72"/>
  <c r="O169" i="72" s="1"/>
  <c r="R169" i="72" s="1"/>
  <c r="AF169" i="72" s="1"/>
  <c r="L161" i="72"/>
  <c r="O161" i="72" s="1"/>
  <c r="L153" i="72"/>
  <c r="O153" i="72" s="1"/>
  <c r="L145" i="72"/>
  <c r="O145" i="72" s="1"/>
  <c r="L133" i="72"/>
  <c r="O133" i="72" s="1"/>
  <c r="L125" i="72"/>
  <c r="O125" i="72" s="1"/>
  <c r="L117" i="72"/>
  <c r="O117" i="72" s="1"/>
  <c r="L109" i="72"/>
  <c r="O109" i="72" s="1"/>
  <c r="L101" i="72"/>
  <c r="O101" i="72" s="1"/>
  <c r="L93" i="72"/>
  <c r="O93" i="72" s="1"/>
  <c r="L85" i="72"/>
  <c r="O85" i="72" s="1"/>
  <c r="R85" i="72" s="1"/>
  <c r="AF85" i="72" s="1"/>
  <c r="L81" i="72"/>
  <c r="O81" i="72" s="1"/>
  <c r="L73" i="72"/>
  <c r="O73" i="72" s="1"/>
  <c r="R73" i="72" s="1"/>
  <c r="AQ73" i="72" s="1"/>
  <c r="L65" i="72"/>
  <c r="O65" i="72" s="1"/>
  <c r="L57" i="72"/>
  <c r="O57" i="72" s="1"/>
  <c r="R57" i="72" s="1"/>
  <c r="AF57" i="72" s="1"/>
  <c r="L53" i="72"/>
  <c r="O53" i="72" s="1"/>
  <c r="L45" i="72"/>
  <c r="O45" i="72" s="1"/>
  <c r="L37" i="72"/>
  <c r="O37" i="72" s="1"/>
  <c r="R37" i="72" s="1"/>
  <c r="AF37" i="72" s="1"/>
  <c r="L29" i="72"/>
  <c r="O29" i="72" s="1"/>
  <c r="L21" i="72"/>
  <c r="O21" i="72" s="1"/>
  <c r="L832" i="72"/>
  <c r="O832" i="72" s="1"/>
  <c r="R832" i="72" s="1"/>
  <c r="AF832" i="72" s="1"/>
  <c r="L824" i="72"/>
  <c r="O824" i="72" s="1"/>
  <c r="R824" i="72" s="1"/>
  <c r="AF824" i="72" s="1"/>
  <c r="L816" i="72"/>
  <c r="O816" i="72" s="1"/>
  <c r="R816" i="72" s="1"/>
  <c r="L808" i="72"/>
  <c r="O808" i="72" s="1"/>
  <c r="L800" i="72"/>
  <c r="O800" i="72" s="1"/>
  <c r="L792" i="72"/>
  <c r="O792" i="72" s="1"/>
  <c r="R792" i="72" s="1"/>
  <c r="AF792" i="72" s="1"/>
  <c r="L784" i="72"/>
  <c r="O784" i="72" s="1"/>
  <c r="L776" i="72"/>
  <c r="O776" i="72" s="1"/>
  <c r="L768" i="72"/>
  <c r="O768" i="72" s="1"/>
  <c r="L760" i="72"/>
  <c r="O760" i="72" s="1"/>
  <c r="L748" i="72"/>
  <c r="O748" i="72" s="1"/>
  <c r="R748" i="72" s="1"/>
  <c r="AF748" i="72" s="1"/>
  <c r="L740" i="72"/>
  <c r="O740" i="72" s="1"/>
  <c r="L732" i="72"/>
  <c r="O732" i="72" s="1"/>
  <c r="L724" i="72"/>
  <c r="O724" i="72" s="1"/>
  <c r="R724" i="72" s="1"/>
  <c r="AF724" i="72" s="1"/>
  <c r="L716" i="72"/>
  <c r="O716" i="72" s="1"/>
  <c r="R716" i="72" s="1"/>
  <c r="AF716" i="72" s="1"/>
  <c r="L708" i="72"/>
  <c r="O708" i="72" s="1"/>
  <c r="L700" i="72"/>
  <c r="O700" i="72" s="1"/>
  <c r="R700" i="72" s="1"/>
  <c r="L692" i="72"/>
  <c r="O692" i="72" s="1"/>
  <c r="R692" i="72" s="1"/>
  <c r="L684" i="72"/>
  <c r="O684" i="72" s="1"/>
  <c r="L676" i="72"/>
  <c r="O676" i="72" s="1"/>
  <c r="L668" i="72"/>
  <c r="O668" i="72" s="1"/>
  <c r="R668" i="72" s="1"/>
  <c r="L660" i="72"/>
  <c r="O660" i="72" s="1"/>
  <c r="L652" i="72"/>
  <c r="O652" i="72" s="1"/>
  <c r="R652" i="72" s="1"/>
  <c r="AF652" i="72" s="1"/>
  <c r="L644" i="72"/>
  <c r="O644" i="72" s="1"/>
  <c r="R644" i="72" s="1"/>
  <c r="AF644" i="72" s="1"/>
  <c r="L636" i="72"/>
  <c r="O636" i="72" s="1"/>
  <c r="R636" i="72" s="1"/>
  <c r="AF636" i="72" s="1"/>
  <c r="L628" i="72"/>
  <c r="O628" i="72" s="1"/>
  <c r="R628" i="72" s="1"/>
  <c r="AF628" i="72" s="1"/>
  <c r="L620" i="72"/>
  <c r="O620" i="72" s="1"/>
  <c r="R620" i="72" s="1"/>
  <c r="AF620" i="72" s="1"/>
  <c r="L612" i="72"/>
  <c r="O612" i="72" s="1"/>
  <c r="L604" i="72"/>
  <c r="O604" i="72" s="1"/>
  <c r="L596" i="72"/>
  <c r="O596" i="72" s="1"/>
  <c r="R596" i="72" s="1"/>
  <c r="AF596" i="72" s="1"/>
  <c r="L588" i="72"/>
  <c r="O588" i="72" s="1"/>
  <c r="L580" i="72"/>
  <c r="O580" i="72" s="1"/>
  <c r="R580" i="72" s="1"/>
  <c r="AF580" i="72" s="1"/>
  <c r="L572" i="72"/>
  <c r="O572" i="72" s="1"/>
  <c r="L564" i="72"/>
  <c r="O564" i="72" s="1"/>
  <c r="L556" i="72"/>
  <c r="O556" i="72" s="1"/>
  <c r="L548" i="72"/>
  <c r="O548" i="72" s="1"/>
  <c r="R548" i="72" s="1"/>
  <c r="AF548" i="72" s="1"/>
  <c r="L536" i="72"/>
  <c r="O536" i="72" s="1"/>
  <c r="L528" i="72"/>
  <c r="O528" i="72" s="1"/>
  <c r="L520" i="72"/>
  <c r="O520" i="72" s="1"/>
  <c r="R520" i="72" s="1"/>
  <c r="AF520" i="72" s="1"/>
  <c r="L512" i="72"/>
  <c r="O512" i="72" s="1"/>
  <c r="L504" i="72"/>
  <c r="O504" i="72" s="1"/>
  <c r="L496" i="72"/>
  <c r="O496" i="72" s="1"/>
  <c r="L484" i="72"/>
  <c r="O484" i="72" s="1"/>
  <c r="L472" i="72"/>
  <c r="O472" i="72" s="1"/>
  <c r="R472" i="72" s="1"/>
  <c r="AF472" i="72" s="1"/>
  <c r="L464" i="72"/>
  <c r="O464" i="72" s="1"/>
  <c r="R464" i="72" s="1"/>
  <c r="AF464" i="72" s="1"/>
  <c r="L456" i="72"/>
  <c r="O456" i="72" s="1"/>
  <c r="L448" i="72"/>
  <c r="O448" i="72" s="1"/>
  <c r="R448" i="72" s="1"/>
  <c r="AF448" i="72" s="1"/>
  <c r="L440" i="72"/>
  <c r="O440" i="72" s="1"/>
  <c r="L428" i="72"/>
  <c r="O428" i="72" s="1"/>
  <c r="R428" i="72" s="1"/>
  <c r="AF428" i="72" s="1"/>
  <c r="L420" i="72"/>
  <c r="O420" i="72" s="1"/>
  <c r="R420" i="72" s="1"/>
  <c r="AF420" i="72" s="1"/>
  <c r="L416" i="72"/>
  <c r="O416" i="72" s="1"/>
  <c r="R416" i="72" s="1"/>
  <c r="AF416" i="72" s="1"/>
  <c r="L404" i="72"/>
  <c r="O404" i="72" s="1"/>
  <c r="L396" i="72"/>
  <c r="O396" i="72" s="1"/>
  <c r="L388" i="72"/>
  <c r="O388" i="72" s="1"/>
  <c r="L380" i="72"/>
  <c r="O380" i="72" s="1"/>
  <c r="L372" i="72"/>
  <c r="O372" i="72" s="1"/>
  <c r="R372" i="72" s="1"/>
  <c r="AF372" i="72" s="1"/>
  <c r="L360" i="72"/>
  <c r="O360" i="72" s="1"/>
  <c r="L352" i="72"/>
  <c r="O352" i="72" s="1"/>
  <c r="L344" i="72"/>
  <c r="O344" i="72" s="1"/>
  <c r="L336" i="72"/>
  <c r="O336" i="72" s="1"/>
  <c r="L328" i="72"/>
  <c r="O328" i="72" s="1"/>
  <c r="R328" i="72" s="1"/>
  <c r="AF328" i="72" s="1"/>
  <c r="L320" i="72"/>
  <c r="O320" i="72" s="1"/>
  <c r="L312" i="72"/>
  <c r="O312" i="72" s="1"/>
  <c r="R312" i="72" s="1"/>
  <c r="AF312" i="72" s="1"/>
  <c r="L304" i="72"/>
  <c r="O304" i="72" s="1"/>
  <c r="L296" i="72"/>
  <c r="O296" i="72" s="1"/>
  <c r="R296" i="72" s="1"/>
  <c r="AF296" i="72" s="1"/>
  <c r="L288" i="72"/>
  <c r="O288" i="72" s="1"/>
  <c r="R288" i="72" s="1"/>
  <c r="L280" i="72"/>
  <c r="O280" i="72" s="1"/>
  <c r="L272" i="72"/>
  <c r="O272" i="72" s="1"/>
  <c r="R272" i="72" s="1"/>
  <c r="AF272" i="72" s="1"/>
  <c r="L264" i="72"/>
  <c r="O264" i="72" s="1"/>
  <c r="L256" i="72"/>
  <c r="O256" i="72" s="1"/>
  <c r="R256" i="72" s="1"/>
  <c r="AF256" i="72" s="1"/>
  <c r="L248" i="72"/>
  <c r="O248" i="72" s="1"/>
  <c r="R248" i="72" s="1"/>
  <c r="AF248" i="72" s="1"/>
  <c r="L240" i="72"/>
  <c r="O240" i="72" s="1"/>
  <c r="R240" i="72" s="1"/>
  <c r="AF240" i="72" s="1"/>
  <c r="L232" i="72"/>
  <c r="O232" i="72" s="1"/>
  <c r="L224" i="72"/>
  <c r="O224" i="72" s="1"/>
  <c r="L212" i="72"/>
  <c r="O212" i="72" s="1"/>
  <c r="L200" i="72"/>
  <c r="O200" i="72" s="1"/>
  <c r="L192" i="72"/>
  <c r="O192" i="72" s="1"/>
  <c r="R192" i="72" s="1"/>
  <c r="AF192" i="72" s="1"/>
  <c r="L184" i="72"/>
  <c r="O184" i="72" s="1"/>
  <c r="R184" i="72" s="1"/>
  <c r="AF184" i="72" s="1"/>
  <c r="L176" i="72"/>
  <c r="O176" i="72" s="1"/>
  <c r="L168" i="72"/>
  <c r="O168" i="72" s="1"/>
  <c r="R168" i="72" s="1"/>
  <c r="L160" i="72"/>
  <c r="O160" i="72" s="1"/>
  <c r="R160" i="72" s="1"/>
  <c r="AF160" i="72" s="1"/>
  <c r="L152" i="72"/>
  <c r="O152" i="72" s="1"/>
  <c r="L144" i="72"/>
  <c r="O144" i="72" s="1"/>
  <c r="L136" i="72"/>
  <c r="O136" i="72" s="1"/>
  <c r="R136" i="72" s="1"/>
  <c r="AF136" i="72" s="1"/>
  <c r="L128" i="72"/>
  <c r="O128" i="72" s="1"/>
  <c r="L120" i="72"/>
  <c r="O120" i="72" s="1"/>
  <c r="L116" i="72"/>
  <c r="O116" i="72" s="1"/>
  <c r="R116" i="72" s="1"/>
  <c r="L108" i="72"/>
  <c r="O108" i="72" s="1"/>
  <c r="R108" i="72" s="1"/>
  <c r="AF108" i="72" s="1"/>
  <c r="L100" i="72"/>
  <c r="O100" i="72" s="1"/>
  <c r="L96" i="72"/>
  <c r="O96" i="72" s="1"/>
  <c r="L92" i="72"/>
  <c r="O92" i="72" s="1"/>
  <c r="R92" i="72" s="1"/>
  <c r="AF92" i="72" s="1"/>
  <c r="L84" i="72"/>
  <c r="O84" i="72" s="1"/>
  <c r="L80" i="72"/>
  <c r="O80" i="72" s="1"/>
  <c r="R80" i="72" s="1"/>
  <c r="AQ80" i="72" s="1"/>
  <c r="L76" i="72"/>
  <c r="O76" i="72" s="1"/>
  <c r="L72" i="72"/>
  <c r="O72" i="72" s="1"/>
  <c r="L68" i="72"/>
  <c r="O68" i="72" s="1"/>
  <c r="L64" i="72"/>
  <c r="O64" i="72" s="1"/>
  <c r="R64" i="72" s="1"/>
  <c r="AF64" i="72" s="1"/>
  <c r="L60" i="72"/>
  <c r="O60" i="72" s="1"/>
  <c r="L52" i="72"/>
  <c r="O52" i="72" s="1"/>
  <c r="L48" i="72"/>
  <c r="O48" i="72" s="1"/>
  <c r="R48" i="72" s="1"/>
  <c r="AF48" i="72" s="1"/>
  <c r="L44" i="72"/>
  <c r="O44" i="72" s="1"/>
  <c r="L40" i="72"/>
  <c r="O40" i="72" s="1"/>
  <c r="R40" i="72" s="1"/>
  <c r="AF40" i="72" s="1"/>
  <c r="L36" i="72"/>
  <c r="O36" i="72" s="1"/>
  <c r="L32" i="72"/>
  <c r="O32" i="72" s="1"/>
  <c r="L28" i="72"/>
  <c r="O28" i="72" s="1"/>
  <c r="AQ28" i="72" s="1"/>
  <c r="L24" i="72"/>
  <c r="O24" i="72" s="1"/>
  <c r="R24" i="72" s="1"/>
  <c r="AF24" i="72" s="1"/>
  <c r="L20" i="72"/>
  <c r="O20" i="72" s="1"/>
  <c r="R20" i="72" s="1"/>
  <c r="AF20" i="72" s="1"/>
  <c r="L837" i="72"/>
  <c r="O837" i="72" s="1"/>
  <c r="L829" i="72"/>
  <c r="O829" i="72" s="1"/>
  <c r="R829" i="72" s="1"/>
  <c r="AF829" i="72" s="1"/>
  <c r="L821" i="72"/>
  <c r="O821" i="72" s="1"/>
  <c r="L813" i="72"/>
  <c r="O813" i="72" s="1"/>
  <c r="R813" i="72" s="1"/>
  <c r="AF813" i="72" s="1"/>
  <c r="L805" i="72"/>
  <c r="O805" i="72" s="1"/>
  <c r="L797" i="72"/>
  <c r="O797" i="72" s="1"/>
  <c r="R797" i="72" s="1"/>
  <c r="AF797" i="72" s="1"/>
  <c r="L789" i="72"/>
  <c r="O789" i="72" s="1"/>
  <c r="L777" i="72"/>
  <c r="O777" i="72" s="1"/>
  <c r="L769" i="72"/>
  <c r="O769" i="72" s="1"/>
  <c r="L761" i="72"/>
  <c r="O761" i="72" s="1"/>
  <c r="R761" i="72" s="1"/>
  <c r="AF761" i="72" s="1"/>
  <c r="L753" i="72"/>
  <c r="O753" i="72" s="1"/>
  <c r="L745" i="72"/>
  <c r="O745" i="72" s="1"/>
  <c r="L737" i="72"/>
  <c r="O737" i="72" s="1"/>
  <c r="L729" i="72"/>
  <c r="O729" i="72" s="1"/>
  <c r="L721" i="72"/>
  <c r="O721" i="72" s="1"/>
  <c r="L713" i="72"/>
  <c r="O713" i="72" s="1"/>
  <c r="L705" i="72"/>
  <c r="O705" i="72" s="1"/>
  <c r="L697" i="72"/>
  <c r="O697" i="72" s="1"/>
  <c r="R697" i="72" s="1"/>
  <c r="L689" i="72"/>
  <c r="O689" i="72" s="1"/>
  <c r="L677" i="72"/>
  <c r="O677" i="72" s="1"/>
  <c r="L669" i="72"/>
  <c r="O669" i="72" s="1"/>
  <c r="R669" i="72" s="1"/>
  <c r="AF669" i="72" s="1"/>
  <c r="L661" i="72"/>
  <c r="O661" i="72" s="1"/>
  <c r="L653" i="72"/>
  <c r="O653" i="72" s="1"/>
  <c r="R653" i="72" s="1"/>
  <c r="AF653" i="72" s="1"/>
  <c r="L645" i="72"/>
  <c r="O645" i="72" s="1"/>
  <c r="L633" i="72"/>
  <c r="O633" i="72" s="1"/>
  <c r="R633" i="72" s="1"/>
  <c r="AF633" i="72" s="1"/>
  <c r="L625" i="72"/>
  <c r="O625" i="72" s="1"/>
  <c r="L617" i="72"/>
  <c r="O617" i="72" s="1"/>
  <c r="L609" i="72"/>
  <c r="O609" i="72" s="1"/>
  <c r="L601" i="72"/>
  <c r="O601" i="72" s="1"/>
  <c r="R601" i="72" s="1"/>
  <c r="L593" i="72"/>
  <c r="O593" i="72" s="1"/>
  <c r="R593" i="72" s="1"/>
  <c r="AF593" i="72" s="1"/>
  <c r="L581" i="72"/>
  <c r="O581" i="72" s="1"/>
  <c r="L573" i="72"/>
  <c r="O573" i="72" s="1"/>
  <c r="R573" i="72" s="1"/>
  <c r="AF573" i="72" s="1"/>
  <c r="L565" i="72"/>
  <c r="O565" i="72" s="1"/>
  <c r="L557" i="72"/>
  <c r="O557" i="72" s="1"/>
  <c r="R557" i="72" s="1"/>
  <c r="AF557" i="72" s="1"/>
  <c r="L545" i="72"/>
  <c r="O545" i="72" s="1"/>
  <c r="L537" i="72"/>
  <c r="O537" i="72" s="1"/>
  <c r="R537" i="72" s="1"/>
  <c r="AF537" i="72" s="1"/>
  <c r="L529" i="72"/>
  <c r="O529" i="72" s="1"/>
  <c r="L521" i="72"/>
  <c r="O521" i="72" s="1"/>
  <c r="R521" i="72" s="1"/>
  <c r="L513" i="72"/>
  <c r="O513" i="72" s="1"/>
  <c r="L505" i="72"/>
  <c r="O505" i="72" s="1"/>
  <c r="R505" i="72" s="1"/>
  <c r="AF505" i="72" s="1"/>
  <c r="L497" i="72"/>
  <c r="O497" i="72" s="1"/>
  <c r="L489" i="72"/>
  <c r="O489" i="72" s="1"/>
  <c r="R489" i="72" s="1"/>
  <c r="AF489" i="72" s="1"/>
  <c r="L481" i="72"/>
  <c r="O481" i="72" s="1"/>
  <c r="L473" i="72"/>
  <c r="O473" i="72" s="1"/>
  <c r="R473" i="72" s="1"/>
  <c r="L465" i="72"/>
  <c r="O465" i="72" s="1"/>
  <c r="L457" i="72"/>
  <c r="O457" i="72" s="1"/>
  <c r="L449" i="72"/>
  <c r="O449" i="72" s="1"/>
  <c r="L441" i="72"/>
  <c r="O441" i="72" s="1"/>
  <c r="L433" i="72"/>
  <c r="O433" i="72" s="1"/>
  <c r="L425" i="72"/>
  <c r="O425" i="72" s="1"/>
  <c r="R425" i="72" s="1"/>
  <c r="AF425" i="72" s="1"/>
  <c r="L417" i="72"/>
  <c r="O417" i="72" s="1"/>
  <c r="L413" i="72"/>
  <c r="O413" i="72" s="1"/>
  <c r="R413" i="72" s="1"/>
  <c r="L405" i="72"/>
  <c r="O405" i="72" s="1"/>
  <c r="L397" i="72"/>
  <c r="O397" i="72" s="1"/>
  <c r="R397" i="72" s="1"/>
  <c r="AF397" i="72" s="1"/>
  <c r="L389" i="72"/>
  <c r="O389" i="72" s="1"/>
  <c r="L381" i="72"/>
  <c r="O381" i="72" s="1"/>
  <c r="R381" i="72" s="1"/>
  <c r="AF381" i="72" s="1"/>
  <c r="L373" i="72"/>
  <c r="O373" i="72" s="1"/>
  <c r="L361" i="72"/>
  <c r="O361" i="72" s="1"/>
  <c r="R361" i="72" s="1"/>
  <c r="AF361" i="72" s="1"/>
  <c r="L353" i="72"/>
  <c r="O353" i="72" s="1"/>
  <c r="L345" i="72"/>
  <c r="O345" i="72" s="1"/>
  <c r="R345" i="72" s="1"/>
  <c r="AF345" i="72" s="1"/>
  <c r="L337" i="72"/>
  <c r="O337" i="72" s="1"/>
  <c r="L329" i="72"/>
  <c r="O329" i="72" s="1"/>
  <c r="R329" i="72" s="1"/>
  <c r="AF329" i="72" s="1"/>
  <c r="L321" i="72"/>
  <c r="O321" i="72" s="1"/>
  <c r="L313" i="72"/>
  <c r="O313" i="72" s="1"/>
  <c r="R313" i="72" s="1"/>
  <c r="AF313" i="72" s="1"/>
  <c r="L305" i="72"/>
  <c r="O305" i="72" s="1"/>
  <c r="L297" i="72"/>
  <c r="O297" i="72" s="1"/>
  <c r="R297" i="72" s="1"/>
  <c r="AF297" i="72" s="1"/>
  <c r="L289" i="72"/>
  <c r="O289" i="72" s="1"/>
  <c r="L281" i="72"/>
  <c r="O281" i="72" s="1"/>
  <c r="R281" i="72" s="1"/>
  <c r="AF281" i="72" s="1"/>
  <c r="L277" i="72"/>
  <c r="O277" i="72" s="1"/>
  <c r="L269" i="72"/>
  <c r="O269" i="72" s="1"/>
  <c r="L261" i="72"/>
  <c r="O261" i="72" s="1"/>
  <c r="L253" i="72"/>
  <c r="O253" i="72" s="1"/>
  <c r="R253" i="72" s="1"/>
  <c r="AF253" i="72" s="1"/>
  <c r="L245" i="72"/>
  <c r="O245" i="72" s="1"/>
  <c r="L237" i="72"/>
  <c r="O237" i="72" s="1"/>
  <c r="L229" i="72"/>
  <c r="O229" i="72" s="1"/>
  <c r="R229" i="72" s="1"/>
  <c r="L221" i="72"/>
  <c r="O221" i="72" s="1"/>
  <c r="L209" i="72"/>
  <c r="O209" i="72" s="1"/>
  <c r="L201" i="72"/>
  <c r="O201" i="72" s="1"/>
  <c r="R201" i="72" s="1"/>
  <c r="AF201" i="72" s="1"/>
  <c r="L193" i="72"/>
  <c r="O193" i="72" s="1"/>
  <c r="L185" i="72"/>
  <c r="O185" i="72" s="1"/>
  <c r="L177" i="72"/>
  <c r="O177" i="72" s="1"/>
  <c r="L165" i="72"/>
  <c r="O165" i="72" s="1"/>
  <c r="L157" i="72"/>
  <c r="O157" i="72" s="1"/>
  <c r="L149" i="72"/>
  <c r="O149" i="72" s="1"/>
  <c r="R149" i="72" s="1"/>
  <c r="L141" i="72"/>
  <c r="O141" i="72" s="1"/>
  <c r="L137" i="72"/>
  <c r="O137" i="72" s="1"/>
  <c r="L129" i="72"/>
  <c r="O129" i="72" s="1"/>
  <c r="L121" i="72"/>
  <c r="O121" i="72" s="1"/>
  <c r="R121" i="72" s="1"/>
  <c r="AF121" i="72" s="1"/>
  <c r="L113" i="72"/>
  <c r="O113" i="72" s="1"/>
  <c r="L105" i="72"/>
  <c r="O105" i="72" s="1"/>
  <c r="R105" i="72" s="1"/>
  <c r="AF105" i="72" s="1"/>
  <c r="L97" i="72"/>
  <c r="O97" i="72" s="1"/>
  <c r="L89" i="72"/>
  <c r="O89" i="72" s="1"/>
  <c r="L77" i="72"/>
  <c r="O77" i="72" s="1"/>
  <c r="L69" i="72"/>
  <c r="O69" i="72" s="1"/>
  <c r="L61" i="72"/>
  <c r="O61" i="72" s="1"/>
  <c r="L49" i="72"/>
  <c r="O49" i="72" s="1"/>
  <c r="L41" i="72"/>
  <c r="O41" i="72" s="1"/>
  <c r="R41" i="72" s="1"/>
  <c r="AF41" i="72" s="1"/>
  <c r="L33" i="72"/>
  <c r="O33" i="72" s="1"/>
  <c r="L25" i="72"/>
  <c r="O25" i="72" s="1"/>
  <c r="R25" i="72" s="1"/>
  <c r="AF25" i="72" s="1"/>
  <c r="L17" i="72"/>
  <c r="O17" i="72" s="1"/>
  <c r="L836" i="72"/>
  <c r="O836" i="72" s="1"/>
  <c r="L828" i="72"/>
  <c r="O828" i="72" s="1"/>
  <c r="R828" i="72" s="1"/>
  <c r="L820" i="72"/>
  <c r="O820" i="72" s="1"/>
  <c r="R820" i="72" s="1"/>
  <c r="L812" i="72"/>
  <c r="O812" i="72" s="1"/>
  <c r="L804" i="72"/>
  <c r="O804" i="72" s="1"/>
  <c r="L796" i="72"/>
  <c r="O796" i="72" s="1"/>
  <c r="R796" i="72" s="1"/>
  <c r="AF796" i="72" s="1"/>
  <c r="L788" i="72"/>
  <c r="O788" i="72" s="1"/>
  <c r="R788" i="72" s="1"/>
  <c r="AF788" i="72" s="1"/>
  <c r="L780" i="72"/>
  <c r="O780" i="72" s="1"/>
  <c r="R780" i="72" s="1"/>
  <c r="AF780" i="72" s="1"/>
  <c r="L772" i="72"/>
  <c r="O772" i="72" s="1"/>
  <c r="R772" i="72" s="1"/>
  <c r="AF772" i="72" s="1"/>
  <c r="L764" i="72"/>
  <c r="O764" i="72" s="1"/>
  <c r="R764" i="72" s="1"/>
  <c r="AF764" i="72" s="1"/>
  <c r="L756" i="72"/>
  <c r="O756" i="72" s="1"/>
  <c r="L752" i="72"/>
  <c r="O752" i="72" s="1"/>
  <c r="L744" i="72"/>
  <c r="O744" i="72" s="1"/>
  <c r="R744" i="72" s="1"/>
  <c r="AF744" i="72" s="1"/>
  <c r="L736" i="72"/>
  <c r="O736" i="72" s="1"/>
  <c r="L728" i="72"/>
  <c r="O728" i="72" s="1"/>
  <c r="L720" i="72"/>
  <c r="O720" i="72" s="1"/>
  <c r="L712" i="72"/>
  <c r="O712" i="72" s="1"/>
  <c r="L704" i="72"/>
  <c r="O704" i="72" s="1"/>
  <c r="L696" i="72"/>
  <c r="O696" i="72" s="1"/>
  <c r="R696" i="72" s="1"/>
  <c r="AF696" i="72" s="1"/>
  <c r="L688" i="72"/>
  <c r="O688" i="72" s="1"/>
  <c r="R688" i="72" s="1"/>
  <c r="AF688" i="72" s="1"/>
  <c r="L680" i="72"/>
  <c r="O680" i="72" s="1"/>
  <c r="L672" i="72"/>
  <c r="O672" i="72" s="1"/>
  <c r="R672" i="72" s="1"/>
  <c r="L664" i="72"/>
  <c r="O664" i="72" s="1"/>
  <c r="L656" i="72"/>
  <c r="O656" i="72" s="1"/>
  <c r="L648" i="72"/>
  <c r="O648" i="72" s="1"/>
  <c r="L640" i="72"/>
  <c r="O640" i="72" s="1"/>
  <c r="L632" i="72"/>
  <c r="O632" i="72" s="1"/>
  <c r="L624" i="72"/>
  <c r="O624" i="72" s="1"/>
  <c r="L616" i="72"/>
  <c r="O616" i="72" s="1"/>
  <c r="L608" i="72"/>
  <c r="O608" i="72" s="1"/>
  <c r="L600" i="72"/>
  <c r="O600" i="72" s="1"/>
  <c r="R600" i="72" s="1"/>
  <c r="AF600" i="72" s="1"/>
  <c r="L592" i="72"/>
  <c r="O592" i="72" s="1"/>
  <c r="R592" i="72" s="1"/>
  <c r="AF592" i="72" s="1"/>
  <c r="L584" i="72"/>
  <c r="O584" i="72" s="1"/>
  <c r="L576" i="72"/>
  <c r="O576" i="72" s="1"/>
  <c r="R576" i="72" s="1"/>
  <c r="L568" i="72"/>
  <c r="O568" i="72" s="1"/>
  <c r="R568" i="72" s="1"/>
  <c r="AF568" i="72" s="1"/>
  <c r="L560" i="72"/>
  <c r="O560" i="72" s="1"/>
  <c r="L552" i="72"/>
  <c r="O552" i="72" s="1"/>
  <c r="R552" i="72" s="1"/>
  <c r="AF552" i="72" s="1"/>
  <c r="L544" i="72"/>
  <c r="O544" i="72" s="1"/>
  <c r="R544" i="72" s="1"/>
  <c r="AF544" i="72" s="1"/>
  <c r="L540" i="72"/>
  <c r="O540" i="72" s="1"/>
  <c r="L532" i="72"/>
  <c r="O532" i="72" s="1"/>
  <c r="L524" i="72"/>
  <c r="O524" i="72" s="1"/>
  <c r="R524" i="72" s="1"/>
  <c r="AF524" i="72" s="1"/>
  <c r="L516" i="72"/>
  <c r="O516" i="72" s="1"/>
  <c r="R516" i="72" s="1"/>
  <c r="AF516" i="72" s="1"/>
  <c r="L508" i="72"/>
  <c r="O508" i="72" s="1"/>
  <c r="R508" i="72" s="1"/>
  <c r="AF508" i="72" s="1"/>
  <c r="L500" i="72"/>
  <c r="O500" i="72" s="1"/>
  <c r="R500" i="72" s="1"/>
  <c r="AF500" i="72" s="1"/>
  <c r="L492" i="72"/>
  <c r="O492" i="72" s="1"/>
  <c r="R492" i="72" s="1"/>
  <c r="AF492" i="72" s="1"/>
  <c r="L488" i="72"/>
  <c r="O488" i="72" s="1"/>
  <c r="L480" i="72"/>
  <c r="O480" i="72" s="1"/>
  <c r="L476" i="72"/>
  <c r="O476" i="72" s="1"/>
  <c r="R476" i="72" s="1"/>
  <c r="AF476" i="72" s="1"/>
  <c r="L468" i="72"/>
  <c r="O468" i="72" s="1"/>
  <c r="R468" i="72" s="1"/>
  <c r="AF468" i="72" s="1"/>
  <c r="L460" i="72"/>
  <c r="O460" i="72" s="1"/>
  <c r="L452" i="72"/>
  <c r="O452" i="72" s="1"/>
  <c r="L444" i="72"/>
  <c r="O444" i="72" s="1"/>
  <c r="L436" i="72"/>
  <c r="O436" i="72" s="1"/>
  <c r="L432" i="72"/>
  <c r="O432" i="72" s="1"/>
  <c r="L424" i="72"/>
  <c r="O424" i="72" s="1"/>
  <c r="R424" i="72" s="1"/>
  <c r="L412" i="72"/>
  <c r="O412" i="72" s="1"/>
  <c r="R412" i="72" s="1"/>
  <c r="AF412" i="72" s="1"/>
  <c r="L408" i="72"/>
  <c r="O408" i="72" s="1"/>
  <c r="R408" i="72" s="1"/>
  <c r="AF408" i="72" s="1"/>
  <c r="L400" i="72"/>
  <c r="O400" i="72" s="1"/>
  <c r="R400" i="72" s="1"/>
  <c r="AF400" i="72" s="1"/>
  <c r="L392" i="72"/>
  <c r="O392" i="72" s="1"/>
  <c r="R392" i="72" s="1"/>
  <c r="AF392" i="72" s="1"/>
  <c r="L384" i="72"/>
  <c r="O384" i="72" s="1"/>
  <c r="L376" i="72"/>
  <c r="O376" i="72" s="1"/>
  <c r="R376" i="72" s="1"/>
  <c r="AF376" i="72" s="1"/>
  <c r="L368" i="72"/>
  <c r="O368" i="72" s="1"/>
  <c r="R368" i="72" s="1"/>
  <c r="AF368" i="72" s="1"/>
  <c r="L364" i="72"/>
  <c r="O364" i="72" s="1"/>
  <c r="L356" i="72"/>
  <c r="O356" i="72" s="1"/>
  <c r="L348" i="72"/>
  <c r="O348" i="72" s="1"/>
  <c r="R348" i="72" s="1"/>
  <c r="AF348" i="72" s="1"/>
  <c r="L340" i="72"/>
  <c r="O340" i="72" s="1"/>
  <c r="R340" i="72" s="1"/>
  <c r="AF340" i="72" s="1"/>
  <c r="L332" i="72"/>
  <c r="O332" i="72" s="1"/>
  <c r="L324" i="72"/>
  <c r="O324" i="72" s="1"/>
  <c r="R324" i="72" s="1"/>
  <c r="AF324" i="72" s="1"/>
  <c r="L316" i="72"/>
  <c r="O316" i="72" s="1"/>
  <c r="L308" i="72"/>
  <c r="O308" i="72" s="1"/>
  <c r="L300" i="72"/>
  <c r="O300" i="72" s="1"/>
  <c r="R300" i="72" s="1"/>
  <c r="AF300" i="72" s="1"/>
  <c r="L292" i="72"/>
  <c r="O292" i="72" s="1"/>
  <c r="L284" i="72"/>
  <c r="O284" i="72" s="1"/>
  <c r="L276" i="72"/>
  <c r="O276" i="72" s="1"/>
  <c r="L268" i="72"/>
  <c r="O268" i="72" s="1"/>
  <c r="L260" i="72"/>
  <c r="O260" i="72" s="1"/>
  <c r="L252" i="72"/>
  <c r="O252" i="72" s="1"/>
  <c r="L244" i="72"/>
  <c r="O244" i="72" s="1"/>
  <c r="R244" i="72" s="1"/>
  <c r="L236" i="72"/>
  <c r="O236" i="72" s="1"/>
  <c r="L228" i="72"/>
  <c r="O228" i="72" s="1"/>
  <c r="L220" i="72"/>
  <c r="O220" i="72" s="1"/>
  <c r="R220" i="72" s="1"/>
  <c r="AF220" i="72" s="1"/>
  <c r="L216" i="72"/>
  <c r="O216" i="72" s="1"/>
  <c r="R216" i="72" s="1"/>
  <c r="AF216" i="72" s="1"/>
  <c r="L208" i="72"/>
  <c r="O208" i="72" s="1"/>
  <c r="L204" i="72"/>
  <c r="O204" i="72" s="1"/>
  <c r="R204" i="72" s="1"/>
  <c r="AF204" i="72" s="1"/>
  <c r="L196" i="72"/>
  <c r="O196" i="72" s="1"/>
  <c r="L188" i="72"/>
  <c r="O188" i="72" s="1"/>
  <c r="L180" i="72"/>
  <c r="O180" i="72" s="1"/>
  <c r="L172" i="72"/>
  <c r="O172" i="72" s="1"/>
  <c r="L164" i="72"/>
  <c r="O164" i="72" s="1"/>
  <c r="R164" i="72" s="1"/>
  <c r="AF164" i="72" s="1"/>
  <c r="L156" i="72"/>
  <c r="O156" i="72" s="1"/>
  <c r="L148" i="72"/>
  <c r="O148" i="72" s="1"/>
  <c r="L140" i="72"/>
  <c r="O140" i="72" s="1"/>
  <c r="R140" i="72" s="1"/>
  <c r="AF140" i="72" s="1"/>
  <c r="L132" i="72"/>
  <c r="O132" i="72" s="1"/>
  <c r="L124" i="72"/>
  <c r="O124" i="72" s="1"/>
  <c r="R124" i="72" s="1"/>
  <c r="AF124" i="72" s="1"/>
  <c r="L112" i="72"/>
  <c r="O112" i="72" s="1"/>
  <c r="L104" i="72"/>
  <c r="O104" i="72" s="1"/>
  <c r="L88" i="72"/>
  <c r="O88" i="72" s="1"/>
  <c r="L56" i="72"/>
  <c r="O56" i="72" s="1"/>
  <c r="L16" i="72"/>
  <c r="O16" i="72" s="1"/>
  <c r="R16" i="72" s="1"/>
  <c r="L827" i="72"/>
  <c r="O827" i="72" s="1"/>
  <c r="L815" i="72"/>
  <c r="O815" i="72" s="1"/>
  <c r="L799" i="72"/>
  <c r="O799" i="72" s="1"/>
  <c r="L787" i="72"/>
  <c r="O787" i="72" s="1"/>
  <c r="R787" i="72" s="1"/>
  <c r="L771" i="72"/>
  <c r="O771" i="72" s="1"/>
  <c r="R771" i="72" s="1"/>
  <c r="AF771" i="72" s="1"/>
  <c r="L755" i="72"/>
  <c r="O755" i="72" s="1"/>
  <c r="L739" i="72"/>
  <c r="O739" i="72" s="1"/>
  <c r="R739" i="72" s="1"/>
  <c r="AF739" i="72" s="1"/>
  <c r="L727" i="72"/>
  <c r="O727" i="72" s="1"/>
  <c r="L715" i="72"/>
  <c r="O715" i="72" s="1"/>
  <c r="R715" i="72" s="1"/>
  <c r="AF715" i="72" s="1"/>
  <c r="L703" i="72"/>
  <c r="O703" i="72" s="1"/>
  <c r="L691" i="72"/>
  <c r="O691" i="72" s="1"/>
  <c r="L675" i="72"/>
  <c r="O675" i="72" s="1"/>
  <c r="L663" i="72"/>
  <c r="O663" i="72" s="1"/>
  <c r="R663" i="72" s="1"/>
  <c r="AF663" i="72" s="1"/>
  <c r="L651" i="72"/>
  <c r="O651" i="72" s="1"/>
  <c r="L639" i="72"/>
  <c r="O639" i="72" s="1"/>
  <c r="R639" i="72" s="1"/>
  <c r="AF639" i="72" s="1"/>
  <c r="L627" i="72"/>
  <c r="O627" i="72" s="1"/>
  <c r="L615" i="72"/>
  <c r="O615" i="72" s="1"/>
  <c r="R615" i="72" s="1"/>
  <c r="AF615" i="72" s="1"/>
  <c r="L603" i="72"/>
  <c r="O603" i="72" s="1"/>
  <c r="L587" i="72"/>
  <c r="O587" i="72" s="1"/>
  <c r="R587" i="72" s="1"/>
  <c r="AF587" i="72" s="1"/>
  <c r="L575" i="72"/>
  <c r="O575" i="72" s="1"/>
  <c r="L563" i="72"/>
  <c r="O563" i="72" s="1"/>
  <c r="R563" i="72" s="1"/>
  <c r="AF563" i="72" s="1"/>
  <c r="L551" i="72"/>
  <c r="O551" i="72" s="1"/>
  <c r="L539" i="72"/>
  <c r="O539" i="72" s="1"/>
  <c r="R539" i="72" s="1"/>
  <c r="AF539" i="72" s="1"/>
  <c r="L527" i="72"/>
  <c r="O527" i="72" s="1"/>
  <c r="L515" i="72"/>
  <c r="O515" i="72" s="1"/>
  <c r="R515" i="72" s="1"/>
  <c r="AF515" i="72" s="1"/>
  <c r="L503" i="72"/>
  <c r="O503" i="72" s="1"/>
  <c r="L487" i="72"/>
  <c r="O487" i="72" s="1"/>
  <c r="R487" i="72" s="1"/>
  <c r="AF487" i="72" s="1"/>
  <c r="L479" i="72"/>
  <c r="O479" i="72" s="1"/>
  <c r="L475" i="72"/>
  <c r="O475" i="72" s="1"/>
  <c r="R475" i="72" s="1"/>
  <c r="L471" i="72"/>
  <c r="O471" i="72" s="1"/>
  <c r="L467" i="72"/>
  <c r="O467" i="72" s="1"/>
  <c r="R467" i="72" s="1"/>
  <c r="AF467" i="72" s="1"/>
  <c r="L463" i="72"/>
  <c r="O463" i="72" s="1"/>
  <c r="L459" i="72"/>
  <c r="O459" i="72" s="1"/>
  <c r="R459" i="72" s="1"/>
  <c r="AF459" i="72" s="1"/>
  <c r="L447" i="72"/>
  <c r="O447" i="72" s="1"/>
  <c r="L443" i="72"/>
  <c r="O443" i="72" s="1"/>
  <c r="L439" i="72"/>
  <c r="O439" i="72" s="1"/>
  <c r="R439" i="72" s="1"/>
  <c r="AF439" i="72" s="1"/>
  <c r="L435" i="72"/>
  <c r="O435" i="72" s="1"/>
  <c r="L431" i="72"/>
  <c r="O431" i="72" s="1"/>
  <c r="L427" i="72"/>
  <c r="O427" i="72" s="1"/>
  <c r="L423" i="72"/>
  <c r="O423" i="72" s="1"/>
  <c r="L419" i="72"/>
  <c r="O419" i="72" s="1"/>
  <c r="L415" i="72"/>
  <c r="O415" i="72" s="1"/>
  <c r="R415" i="72" s="1"/>
  <c r="AF415" i="72" s="1"/>
  <c r="L411" i="72"/>
  <c r="O411" i="72" s="1"/>
  <c r="R411" i="72" s="1"/>
  <c r="AF411" i="72" s="1"/>
  <c r="L407" i="72"/>
  <c r="O407" i="72" s="1"/>
  <c r="R407" i="72" s="1"/>
  <c r="AF407" i="72" s="1"/>
  <c r="L403" i="72"/>
  <c r="O403" i="72" s="1"/>
  <c r="R403" i="72" s="1"/>
  <c r="AF403" i="72" s="1"/>
  <c r="L399" i="72"/>
  <c r="O399" i="72" s="1"/>
  <c r="R399" i="72" s="1"/>
  <c r="AF399" i="72" s="1"/>
  <c r="L395" i="72"/>
  <c r="O395" i="72" s="1"/>
  <c r="R395" i="72" s="1"/>
  <c r="AF395" i="72" s="1"/>
  <c r="L391" i="72"/>
  <c r="O391" i="72" s="1"/>
  <c r="L387" i="72"/>
  <c r="O387" i="72" s="1"/>
  <c r="R387" i="72" s="1"/>
  <c r="AF387" i="72" s="1"/>
  <c r="L383" i="72"/>
  <c r="O383" i="72" s="1"/>
  <c r="L379" i="72"/>
  <c r="O379" i="72" s="1"/>
  <c r="L375" i="72"/>
  <c r="O375" i="72" s="1"/>
  <c r="L371" i="72"/>
  <c r="O371" i="72" s="1"/>
  <c r="L367" i="72"/>
  <c r="O367" i="72" s="1"/>
  <c r="R367" i="72" s="1"/>
  <c r="AF367" i="72" s="1"/>
  <c r="L363" i="72"/>
  <c r="O363" i="72" s="1"/>
  <c r="R363" i="72" s="1"/>
  <c r="AF363" i="72" s="1"/>
  <c r="L359" i="72"/>
  <c r="O359" i="72" s="1"/>
  <c r="L355" i="72"/>
  <c r="O355" i="72" s="1"/>
  <c r="L351" i="72"/>
  <c r="O351" i="72" s="1"/>
  <c r="L347" i="72"/>
  <c r="O347" i="72" s="1"/>
  <c r="L343" i="72"/>
  <c r="O343" i="72" s="1"/>
  <c r="R343" i="72" s="1"/>
  <c r="AF343" i="72" s="1"/>
  <c r="L339" i="72"/>
  <c r="O339" i="72" s="1"/>
  <c r="R339" i="72" s="1"/>
  <c r="AF339" i="72" s="1"/>
  <c r="L335" i="72"/>
  <c r="O335" i="72" s="1"/>
  <c r="L331" i="72"/>
  <c r="O331" i="72" s="1"/>
  <c r="R331" i="72" s="1"/>
  <c r="L327" i="72"/>
  <c r="O327" i="72" s="1"/>
  <c r="L323" i="72"/>
  <c r="O323" i="72" s="1"/>
  <c r="R323" i="72" s="1"/>
  <c r="AF323" i="72" s="1"/>
  <c r="L319" i="72"/>
  <c r="O319" i="72" s="1"/>
  <c r="R319" i="72" s="1"/>
  <c r="AF319" i="72" s="1"/>
  <c r="L315" i="72"/>
  <c r="O315" i="72" s="1"/>
  <c r="R315" i="72" s="1"/>
  <c r="L311" i="72"/>
  <c r="O311" i="72" s="1"/>
  <c r="L307" i="72"/>
  <c r="O307" i="72" s="1"/>
  <c r="L303" i="72"/>
  <c r="O303" i="72" s="1"/>
  <c r="L299" i="72"/>
  <c r="O299" i="72" s="1"/>
  <c r="R299" i="72" s="1"/>
  <c r="AF299" i="72" s="1"/>
  <c r="L295" i="72"/>
  <c r="O295" i="72" s="1"/>
  <c r="L291" i="72"/>
  <c r="O291" i="72" s="1"/>
  <c r="R291" i="72" s="1"/>
  <c r="AF291" i="72" s="1"/>
  <c r="L287" i="72"/>
  <c r="O287" i="72" s="1"/>
  <c r="R287" i="72" s="1"/>
  <c r="AF287" i="72" s="1"/>
  <c r="L283" i="72"/>
  <c r="O283" i="72" s="1"/>
  <c r="R283" i="72" s="1"/>
  <c r="AF283" i="72" s="1"/>
  <c r="L279" i="72"/>
  <c r="O279" i="72" s="1"/>
  <c r="L275" i="72"/>
  <c r="O275" i="72" s="1"/>
  <c r="R275" i="72" s="1"/>
  <c r="AF275" i="72" s="1"/>
  <c r="L271" i="72"/>
  <c r="O271" i="72" s="1"/>
  <c r="R271" i="72" s="1"/>
  <c r="AF271" i="72" s="1"/>
  <c r="L267" i="72"/>
  <c r="O267" i="72" s="1"/>
  <c r="R267" i="72" s="1"/>
  <c r="AF267" i="72" s="1"/>
  <c r="L263" i="72"/>
  <c r="O263" i="72" s="1"/>
  <c r="L255" i="72"/>
  <c r="O255" i="72" s="1"/>
  <c r="L251" i="72"/>
  <c r="O251" i="72" s="1"/>
  <c r="L247" i="72"/>
  <c r="O247" i="72" s="1"/>
  <c r="R247" i="72" s="1"/>
  <c r="AF247" i="72" s="1"/>
  <c r="L243" i="72"/>
  <c r="O243" i="72" s="1"/>
  <c r="R243" i="72" s="1"/>
  <c r="AF243" i="72" s="1"/>
  <c r="L239" i="72"/>
  <c r="O239" i="72" s="1"/>
  <c r="L235" i="72"/>
  <c r="O235" i="72" s="1"/>
  <c r="R235" i="72" s="1"/>
  <c r="L231" i="72"/>
  <c r="O231" i="72" s="1"/>
  <c r="L227" i="72"/>
  <c r="O227" i="72" s="1"/>
  <c r="L223" i="72"/>
  <c r="O223" i="72" s="1"/>
  <c r="R223" i="72" s="1"/>
  <c r="L219" i="72"/>
  <c r="O219" i="72" s="1"/>
  <c r="L215" i="72"/>
  <c r="O215" i="72" s="1"/>
  <c r="R215" i="72" s="1"/>
  <c r="AF215" i="72" s="1"/>
  <c r="L211" i="72"/>
  <c r="O211" i="72" s="1"/>
  <c r="L207" i="72"/>
  <c r="O207" i="72" s="1"/>
  <c r="R207" i="72" s="1"/>
  <c r="L203" i="72"/>
  <c r="O203" i="72" s="1"/>
  <c r="L199" i="72"/>
  <c r="O199" i="72" s="1"/>
  <c r="R199" i="72" s="1"/>
  <c r="L191" i="72"/>
  <c r="O191" i="72" s="1"/>
  <c r="L187" i="72"/>
  <c r="O187" i="72" s="1"/>
  <c r="L183" i="72"/>
  <c r="O183" i="72" s="1"/>
  <c r="L179" i="72"/>
  <c r="O179" i="72" s="1"/>
  <c r="R179" i="72" s="1"/>
  <c r="AF179" i="72" s="1"/>
  <c r="L175" i="72"/>
  <c r="O175" i="72" s="1"/>
  <c r="R175" i="72" s="1"/>
  <c r="AF175" i="72" s="1"/>
  <c r="L171" i="72"/>
  <c r="O171" i="72" s="1"/>
  <c r="R171" i="72" s="1"/>
  <c r="AF171" i="72" s="1"/>
  <c r="L167" i="72"/>
  <c r="O167" i="72" s="1"/>
  <c r="L163" i="72"/>
  <c r="O163" i="72" s="1"/>
  <c r="L159" i="72"/>
  <c r="O159" i="72" s="1"/>
  <c r="L155" i="72"/>
  <c r="O155" i="72" s="1"/>
  <c r="L151" i="72"/>
  <c r="O151" i="72" s="1"/>
  <c r="R151" i="72" s="1"/>
  <c r="AF151" i="72" s="1"/>
  <c r="L147" i="72"/>
  <c r="O147" i="72" s="1"/>
  <c r="R147" i="72" s="1"/>
  <c r="AF147" i="72" s="1"/>
  <c r="L143" i="72"/>
  <c r="O143" i="72" s="1"/>
  <c r="R143" i="72" s="1"/>
  <c r="AF143" i="72" s="1"/>
  <c r="L139" i="72"/>
  <c r="O139" i="72" s="1"/>
  <c r="R139" i="72" s="1"/>
  <c r="AF139" i="72" s="1"/>
  <c r="L135" i="72"/>
  <c r="O135" i="72" s="1"/>
  <c r="L131" i="72"/>
  <c r="O131" i="72" s="1"/>
  <c r="L127" i="72"/>
  <c r="O127" i="72" s="1"/>
  <c r="L123" i="72"/>
  <c r="O123" i="72" s="1"/>
  <c r="R123" i="72" s="1"/>
  <c r="AF123" i="72" s="1"/>
  <c r="L119" i="72"/>
  <c r="O119" i="72" s="1"/>
  <c r="L115" i="72"/>
  <c r="O115" i="72" s="1"/>
  <c r="R115" i="72" s="1"/>
  <c r="AF115" i="72" s="1"/>
  <c r="L111" i="72"/>
  <c r="O111" i="72" s="1"/>
  <c r="L107" i="72"/>
  <c r="O107" i="72" s="1"/>
  <c r="R107" i="72" s="1"/>
  <c r="L103" i="72"/>
  <c r="O103" i="72" s="1"/>
  <c r="L99" i="72"/>
  <c r="O99" i="72" s="1"/>
  <c r="L95" i="72"/>
  <c r="O95" i="72" s="1"/>
  <c r="R95" i="72" s="1"/>
  <c r="AF95" i="72" s="1"/>
  <c r="L91" i="72"/>
  <c r="O91" i="72" s="1"/>
  <c r="L87" i="72"/>
  <c r="O87" i="72" s="1"/>
  <c r="L83" i="72"/>
  <c r="O83" i="72" s="1"/>
  <c r="L79" i="72"/>
  <c r="O79" i="72" s="1"/>
  <c r="L75" i="72"/>
  <c r="O75" i="72" s="1"/>
  <c r="L71" i="72"/>
  <c r="O71" i="72" s="1"/>
  <c r="R71" i="72" s="1"/>
  <c r="AQ71" i="72" s="1"/>
  <c r="L67" i="72"/>
  <c r="O67" i="72" s="1"/>
  <c r="R67" i="72" s="1"/>
  <c r="AF67" i="72" s="1"/>
  <c r="L63" i="72"/>
  <c r="O63" i="72" s="1"/>
  <c r="R63" i="72" s="1"/>
  <c r="AF63" i="72" s="1"/>
  <c r="L59" i="72"/>
  <c r="O59" i="72" s="1"/>
  <c r="L55" i="72"/>
  <c r="O55" i="72" s="1"/>
  <c r="R55" i="72" s="1"/>
  <c r="AF55" i="72" s="1"/>
  <c r="L51" i="72"/>
  <c r="O51" i="72" s="1"/>
  <c r="L47" i="72"/>
  <c r="O47" i="72" s="1"/>
  <c r="L43" i="72"/>
  <c r="O43" i="72" s="1"/>
  <c r="R43" i="72" s="1"/>
  <c r="AF43" i="72" s="1"/>
  <c r="L39" i="72"/>
  <c r="O39" i="72" s="1"/>
  <c r="R39" i="72" s="1"/>
  <c r="AF39" i="72" s="1"/>
  <c r="L35" i="72"/>
  <c r="O35" i="72" s="1"/>
  <c r="R35" i="72" s="1"/>
  <c r="AF35" i="72" s="1"/>
  <c r="L31" i="72"/>
  <c r="O31" i="72" s="1"/>
  <c r="L27" i="72"/>
  <c r="O27" i="72" s="1"/>
  <c r="L23" i="72"/>
  <c r="O23" i="72" s="1"/>
  <c r="R23" i="72" s="1"/>
  <c r="AQ23" i="72" s="1"/>
  <c r="L19" i="72"/>
  <c r="O19" i="72" s="1"/>
  <c r="R221" i="72" l="1"/>
  <c r="AF221" i="72" s="1"/>
  <c r="R209" i="72"/>
  <c r="AF209" i="72" s="1"/>
  <c r="R337" i="72"/>
  <c r="AF337" i="72" s="1"/>
  <c r="R81" i="72"/>
  <c r="AQ81" i="72" s="1"/>
  <c r="R469" i="72"/>
  <c r="AF469" i="72" s="1"/>
  <c r="R533" i="72"/>
  <c r="AF533" i="72" s="1"/>
  <c r="R709" i="72"/>
  <c r="AF709" i="72" s="1"/>
  <c r="R773" i="72"/>
  <c r="AF773" i="72" s="1"/>
  <c r="R46" i="72"/>
  <c r="AF46" i="72" s="1"/>
  <c r="R78" i="72"/>
  <c r="AF78" i="72" s="1"/>
  <c r="R110" i="72"/>
  <c r="AB110" i="72" s="1"/>
  <c r="R206" i="72"/>
  <c r="AF206" i="72" s="1"/>
  <c r="R238" i="72"/>
  <c r="AF238" i="72" s="1"/>
  <c r="R270" i="72"/>
  <c r="AF270" i="72" s="1"/>
  <c r="R302" i="72"/>
  <c r="AF302" i="72" s="1"/>
  <c r="R334" i="72"/>
  <c r="AF334" i="72" s="1"/>
  <c r="R366" i="72"/>
  <c r="AF366" i="72" s="1"/>
  <c r="R398" i="72"/>
  <c r="AC398" i="72" s="1"/>
  <c r="R430" i="72"/>
  <c r="AB430" i="72" s="1"/>
  <c r="R462" i="72"/>
  <c r="AF462" i="72" s="1"/>
  <c r="R814" i="72"/>
  <c r="AF814" i="72" s="1"/>
  <c r="R579" i="72"/>
  <c r="AF579" i="72" s="1"/>
  <c r="R677" i="72"/>
  <c r="AF677" i="72" s="1"/>
  <c r="R72" i="72"/>
  <c r="AF72" i="72" s="1"/>
  <c r="R588" i="72"/>
  <c r="AF588" i="72" s="1"/>
  <c r="R784" i="72"/>
  <c r="AF784" i="72" s="1"/>
  <c r="R597" i="72"/>
  <c r="AF597" i="72" s="1"/>
  <c r="R479" i="72"/>
  <c r="AF479" i="72" s="1"/>
  <c r="R675" i="72"/>
  <c r="AF675" i="72" s="1"/>
  <c r="R112" i="72"/>
  <c r="AF112" i="72" s="1"/>
  <c r="R180" i="72"/>
  <c r="AF180" i="72" s="1"/>
  <c r="R236" i="72"/>
  <c r="AF236" i="72" s="1"/>
  <c r="R364" i="72"/>
  <c r="AB364" i="72" s="1"/>
  <c r="R664" i="72"/>
  <c r="AC664" i="72" s="1"/>
  <c r="R47" i="72"/>
  <c r="AF47" i="72" s="1"/>
  <c r="R111" i="72"/>
  <c r="AF111" i="72" s="1"/>
  <c r="R311" i="72"/>
  <c r="AB311" i="72" s="1"/>
  <c r="R61" i="72"/>
  <c r="AF61" i="72" s="1"/>
  <c r="R125" i="72"/>
  <c r="AF125" i="72" s="1"/>
  <c r="R189" i="72"/>
  <c r="AF189" i="72" s="1"/>
  <c r="R317" i="72"/>
  <c r="AC317" i="72" s="1"/>
  <c r="R838" i="72"/>
  <c r="AF838" i="72" s="1"/>
  <c r="R269" i="72"/>
  <c r="AF269" i="72" s="1"/>
  <c r="R42" i="72"/>
  <c r="AF42" i="72" s="1"/>
  <c r="R74" i="72"/>
  <c r="AF74" i="72" s="1"/>
  <c r="R106" i="72"/>
  <c r="AF106" i="72" s="1"/>
  <c r="R202" i="72"/>
  <c r="AF202" i="72" s="1"/>
  <c r="R234" i="72"/>
  <c r="AF234" i="72" s="1"/>
  <c r="R266" i="72"/>
  <c r="AB266" i="72" s="1"/>
  <c r="R298" i="72"/>
  <c r="AF298" i="72" s="1"/>
  <c r="R330" i="72"/>
  <c r="AF330" i="72" s="1"/>
  <c r="R362" i="72"/>
  <c r="AF362" i="72" s="1"/>
  <c r="R394" i="72"/>
  <c r="AB394" i="72" s="1"/>
  <c r="R426" i="72"/>
  <c r="AF426" i="72" s="1"/>
  <c r="R458" i="72"/>
  <c r="AF458" i="72" s="1"/>
  <c r="R571" i="72"/>
  <c r="AF571" i="72" s="1"/>
  <c r="R103" i="72"/>
  <c r="AF103" i="72" s="1"/>
  <c r="R203" i="72"/>
  <c r="AB203" i="72" s="1"/>
  <c r="R303" i="72"/>
  <c r="AF303" i="72" s="1"/>
  <c r="R471" i="72"/>
  <c r="AF471" i="72" s="1"/>
  <c r="R77" i="72"/>
  <c r="AF77" i="72" s="1"/>
  <c r="R141" i="72"/>
  <c r="AF141" i="72" s="1"/>
  <c r="R529" i="72"/>
  <c r="AF529" i="72" s="1"/>
  <c r="R205" i="72"/>
  <c r="AF205" i="72" s="1"/>
  <c r="R333" i="72"/>
  <c r="AF333" i="72" s="1"/>
  <c r="R29" i="72"/>
  <c r="AF29" i="72" s="1"/>
  <c r="R93" i="72"/>
  <c r="AB93" i="72" s="1"/>
  <c r="R285" i="72"/>
  <c r="AF285" i="72" s="1"/>
  <c r="R237" i="72"/>
  <c r="AF237" i="72" s="1"/>
  <c r="R45" i="72"/>
  <c r="AF45" i="72" s="1"/>
  <c r="R157" i="72"/>
  <c r="AF157" i="72" s="1"/>
  <c r="R109" i="72"/>
  <c r="AF109" i="72" s="1"/>
  <c r="R173" i="72"/>
  <c r="AB173" i="72" s="1"/>
  <c r="R301" i="72"/>
  <c r="AF301" i="72" s="1"/>
  <c r="AF18" i="72"/>
  <c r="AR18" i="72"/>
  <c r="R19" i="72"/>
  <c r="AF19" i="72" s="1"/>
  <c r="AF16" i="72"/>
  <c r="AR16" i="72"/>
  <c r="AB71" i="72"/>
  <c r="AF71" i="72"/>
  <c r="AC71" i="72"/>
  <c r="AB235" i="72"/>
  <c r="AF235" i="72"/>
  <c r="AC235" i="72"/>
  <c r="AB88" i="72"/>
  <c r="AF88" i="72"/>
  <c r="AC88" i="72"/>
  <c r="AB601" i="72"/>
  <c r="AF601" i="72"/>
  <c r="AB168" i="72"/>
  <c r="AF168" i="72"/>
  <c r="AC168" i="72"/>
  <c r="AB81" i="72"/>
  <c r="AF81" i="72"/>
  <c r="AC81" i="72"/>
  <c r="AB525" i="72"/>
  <c r="AF525" i="72"/>
  <c r="AC525" i="72"/>
  <c r="AB765" i="72"/>
  <c r="AF765" i="72"/>
  <c r="AC765" i="72"/>
  <c r="AB825" i="72"/>
  <c r="AF825" i="72"/>
  <c r="AC825" i="72"/>
  <c r="AB759" i="72"/>
  <c r="AF759" i="72"/>
  <c r="AC759" i="72"/>
  <c r="AB803" i="72"/>
  <c r="AF803" i="72"/>
  <c r="AC803" i="72"/>
  <c r="AB107" i="72"/>
  <c r="AF107" i="72"/>
  <c r="AC107" i="72"/>
  <c r="AB207" i="72"/>
  <c r="AF207" i="72"/>
  <c r="AC207" i="72"/>
  <c r="AB475" i="72"/>
  <c r="AF475" i="72"/>
  <c r="AC475" i="72"/>
  <c r="AB89" i="72"/>
  <c r="AF89" i="72"/>
  <c r="AC89" i="72"/>
  <c r="AB149" i="72"/>
  <c r="AF149" i="72"/>
  <c r="AC149" i="72"/>
  <c r="AB413" i="72"/>
  <c r="AF413" i="72"/>
  <c r="AC413" i="72"/>
  <c r="AB473" i="72"/>
  <c r="AF473" i="72"/>
  <c r="AC473" i="72"/>
  <c r="AB116" i="72"/>
  <c r="AF116" i="72"/>
  <c r="AB213" i="72"/>
  <c r="AF213" i="72"/>
  <c r="AC213" i="72"/>
  <c r="AB341" i="72"/>
  <c r="AF341" i="72"/>
  <c r="AC341" i="72"/>
  <c r="AB270" i="72"/>
  <c r="AF398" i="72"/>
  <c r="AB526" i="72"/>
  <c r="AF526" i="72"/>
  <c r="AC526" i="72"/>
  <c r="AB807" i="72"/>
  <c r="AF807" i="72"/>
  <c r="AC807" i="72"/>
  <c r="AF311" i="72"/>
  <c r="AB787" i="72"/>
  <c r="AF787" i="72"/>
  <c r="AC787" i="72"/>
  <c r="AB424" i="72"/>
  <c r="AF424" i="72"/>
  <c r="AC424" i="72"/>
  <c r="AB664" i="72"/>
  <c r="AF664" i="72"/>
  <c r="AB229" i="72"/>
  <c r="AF229" i="72"/>
  <c r="AC229" i="72"/>
  <c r="AB217" i="72"/>
  <c r="AF217" i="72"/>
  <c r="AC217" i="72"/>
  <c r="AB477" i="72"/>
  <c r="AF477" i="72"/>
  <c r="AC477" i="72"/>
  <c r="AB717" i="72"/>
  <c r="AF717" i="72"/>
  <c r="AC717" i="72"/>
  <c r="AB781" i="72"/>
  <c r="AF781" i="72"/>
  <c r="AC781" i="72"/>
  <c r="AB818" i="72"/>
  <c r="AF818" i="72"/>
  <c r="AC818" i="72"/>
  <c r="AB491" i="72"/>
  <c r="AF491" i="72"/>
  <c r="AC491" i="72"/>
  <c r="AB315" i="72"/>
  <c r="AF315" i="72"/>
  <c r="AC315" i="72"/>
  <c r="AF443" i="72"/>
  <c r="AC443" i="72"/>
  <c r="AB244" i="72"/>
  <c r="AF244" i="72"/>
  <c r="AC244" i="72"/>
  <c r="AB672" i="72"/>
  <c r="AF672" i="72"/>
  <c r="AB697" i="72"/>
  <c r="AF697" i="72"/>
  <c r="AC697" i="72"/>
  <c r="AB80" i="72"/>
  <c r="AF80" i="72"/>
  <c r="AC80" i="72"/>
  <c r="AB668" i="72"/>
  <c r="AF668" i="72"/>
  <c r="AC668" i="72"/>
  <c r="AB732" i="72"/>
  <c r="AF732" i="72"/>
  <c r="AC732" i="72"/>
  <c r="AB605" i="72"/>
  <c r="AF605" i="72"/>
  <c r="AC605" i="72"/>
  <c r="AB118" i="72"/>
  <c r="AF118" i="72"/>
  <c r="AC118" i="72"/>
  <c r="AB374" i="72"/>
  <c r="AF374" i="72"/>
  <c r="AC374" i="72"/>
  <c r="AB23" i="72"/>
  <c r="AF23" i="72"/>
  <c r="AC23" i="72"/>
  <c r="AB733" i="72"/>
  <c r="AF733" i="72"/>
  <c r="AC733" i="72"/>
  <c r="AB826" i="72"/>
  <c r="AF826" i="72"/>
  <c r="AC826" i="72"/>
  <c r="AB735" i="72"/>
  <c r="AF735" i="72"/>
  <c r="AC735" i="72"/>
  <c r="AB223" i="72"/>
  <c r="AF223" i="72"/>
  <c r="AC223" i="72"/>
  <c r="AB816" i="72"/>
  <c r="AF816" i="72"/>
  <c r="AC816" i="72"/>
  <c r="AB734" i="72"/>
  <c r="AF734" i="72"/>
  <c r="AC734" i="72"/>
  <c r="AB820" i="72"/>
  <c r="AF820" i="72"/>
  <c r="AC820" i="72"/>
  <c r="AB288" i="72"/>
  <c r="AF288" i="72"/>
  <c r="AC288" i="72"/>
  <c r="AB692" i="72"/>
  <c r="AF692" i="72"/>
  <c r="AC692" i="72"/>
  <c r="AB685" i="72"/>
  <c r="AF685" i="72"/>
  <c r="AC685" i="72"/>
  <c r="AB354" i="72"/>
  <c r="AF354" i="72"/>
  <c r="AC354" i="72"/>
  <c r="AB559" i="72"/>
  <c r="AF559" i="72"/>
  <c r="AC559" i="72"/>
  <c r="AB99" i="72"/>
  <c r="AF99" i="72"/>
  <c r="AC99" i="72"/>
  <c r="AB199" i="72"/>
  <c r="AF199" i="72"/>
  <c r="AC199" i="72"/>
  <c r="AB331" i="72"/>
  <c r="AF331" i="72"/>
  <c r="AC331" i="72"/>
  <c r="AB576" i="72"/>
  <c r="AF576" i="72"/>
  <c r="AC576" i="72"/>
  <c r="AB828" i="72"/>
  <c r="AF828" i="72"/>
  <c r="AC828" i="72"/>
  <c r="AB521" i="72"/>
  <c r="AF521" i="72"/>
  <c r="AC521" i="72"/>
  <c r="AF28" i="72"/>
  <c r="AC28" i="72"/>
  <c r="AB700" i="72"/>
  <c r="AF700" i="72"/>
  <c r="AC700" i="72"/>
  <c r="AB73" i="72"/>
  <c r="AF73" i="72"/>
  <c r="AC73" i="72"/>
  <c r="AB230" i="72"/>
  <c r="AF230" i="72"/>
  <c r="AC230" i="72"/>
  <c r="AB518" i="72"/>
  <c r="AF518" i="72"/>
  <c r="AB614" i="72"/>
  <c r="AF614" i="72"/>
  <c r="AC614" i="72"/>
  <c r="AB678" i="72"/>
  <c r="AF678" i="72"/>
  <c r="AC678" i="72"/>
  <c r="AB710" i="72"/>
  <c r="AF710" i="72"/>
  <c r="AC710" i="72"/>
  <c r="AB707" i="72"/>
  <c r="AF707" i="72"/>
  <c r="AC707" i="72"/>
  <c r="R584" i="72"/>
  <c r="AF584" i="72" s="1"/>
  <c r="R799" i="72"/>
  <c r="AF799" i="72" s="1"/>
  <c r="R188" i="72"/>
  <c r="AF188" i="72" s="1"/>
  <c r="R308" i="72"/>
  <c r="AF308" i="72" s="1"/>
  <c r="R608" i="72"/>
  <c r="AF608" i="72" s="1"/>
  <c r="R264" i="72"/>
  <c r="AF264" i="72" s="1"/>
  <c r="R396" i="72"/>
  <c r="AF396" i="72" s="1"/>
  <c r="R800" i="72"/>
  <c r="R776" i="72"/>
  <c r="AF776" i="72" s="1"/>
  <c r="R135" i="72"/>
  <c r="AF135" i="72" s="1"/>
  <c r="R167" i="72"/>
  <c r="AF167" i="72" s="1"/>
  <c r="R335" i="72"/>
  <c r="AF335" i="72" s="1"/>
  <c r="R551" i="72"/>
  <c r="R651" i="72"/>
  <c r="AF651" i="72" s="1"/>
  <c r="R755" i="72"/>
  <c r="AF755" i="72" s="1"/>
  <c r="R277" i="72"/>
  <c r="AF277" i="72" s="1"/>
  <c r="R805" i="72"/>
  <c r="AF805" i="72" s="1"/>
  <c r="R512" i="72"/>
  <c r="AF512" i="72" s="1"/>
  <c r="R708" i="72"/>
  <c r="AF708" i="72" s="1"/>
  <c r="R21" i="72"/>
  <c r="AF21" i="72" s="1"/>
  <c r="R736" i="72"/>
  <c r="AF736" i="72" s="1"/>
  <c r="R165" i="72"/>
  <c r="AF165" i="72" s="1"/>
  <c r="R536" i="72"/>
  <c r="AF536" i="72" s="1"/>
  <c r="R101" i="72"/>
  <c r="AF101" i="72" s="1"/>
  <c r="R293" i="72"/>
  <c r="AF293" i="72" s="1"/>
  <c r="R485" i="72"/>
  <c r="AF485" i="72" s="1"/>
  <c r="R549" i="72"/>
  <c r="AF549" i="72" s="1"/>
  <c r="R725" i="72"/>
  <c r="R259" i="72"/>
  <c r="AF259" i="72" s="1"/>
  <c r="R87" i="72"/>
  <c r="AF87" i="72" s="1"/>
  <c r="R351" i="72"/>
  <c r="AF351" i="72" s="1"/>
  <c r="R503" i="72"/>
  <c r="AF503" i="72" s="1"/>
  <c r="R603" i="72"/>
  <c r="AF603" i="72" s="1"/>
  <c r="R703" i="72"/>
  <c r="AF703" i="72" s="1"/>
  <c r="R196" i="72"/>
  <c r="AF196" i="72" s="1"/>
  <c r="R316" i="72"/>
  <c r="AF316" i="72" s="1"/>
  <c r="R616" i="72"/>
  <c r="AF616" i="72" s="1"/>
  <c r="R245" i="72"/>
  <c r="AF245" i="72" s="1"/>
  <c r="R808" i="72"/>
  <c r="AF808" i="72" s="1"/>
  <c r="R53" i="72"/>
  <c r="AF53" i="72" s="1"/>
  <c r="R613" i="72"/>
  <c r="AF613" i="72" s="1"/>
  <c r="R187" i="72"/>
  <c r="R645" i="72"/>
  <c r="R684" i="72"/>
  <c r="R117" i="72"/>
  <c r="AF117" i="72" s="1"/>
  <c r="R181" i="72"/>
  <c r="AF181" i="72" s="1"/>
  <c r="R309" i="72"/>
  <c r="AF309" i="72" s="1"/>
  <c r="R501" i="72"/>
  <c r="AF501" i="72" s="1"/>
  <c r="R741" i="72"/>
  <c r="AF741" i="72" s="1"/>
  <c r="R30" i="72"/>
  <c r="AF30" i="72" s="1"/>
  <c r="R62" i="72"/>
  <c r="AF62" i="72" s="1"/>
  <c r="R94" i="72"/>
  <c r="AF94" i="72" s="1"/>
  <c r="R126" i="72"/>
  <c r="R190" i="72"/>
  <c r="AF190" i="72" s="1"/>
  <c r="R222" i="72"/>
  <c r="AF222" i="72" s="1"/>
  <c r="R254" i="72"/>
  <c r="AF254" i="72" s="1"/>
  <c r="R286" i="72"/>
  <c r="AF286" i="72" s="1"/>
  <c r="R318" i="72"/>
  <c r="AF318" i="72" s="1"/>
  <c r="R350" i="72"/>
  <c r="AF350" i="72" s="1"/>
  <c r="R382" i="72"/>
  <c r="AF382" i="72" s="1"/>
  <c r="R414" i="72"/>
  <c r="AF414" i="72" s="1"/>
  <c r="R446" i="72"/>
  <c r="AF446" i="72" s="1"/>
  <c r="R783" i="72"/>
  <c r="R31" i="72"/>
  <c r="AF31" i="72" s="1"/>
  <c r="R127" i="72"/>
  <c r="AF127" i="72" s="1"/>
  <c r="R263" i="72"/>
  <c r="AF263" i="72" s="1"/>
  <c r="R527" i="72"/>
  <c r="AF527" i="72" s="1"/>
  <c r="R627" i="72"/>
  <c r="AF627" i="72" s="1"/>
  <c r="R727" i="72"/>
  <c r="R452" i="72"/>
  <c r="AF452" i="72" s="1"/>
  <c r="R261" i="72"/>
  <c r="AF261" i="72" s="1"/>
  <c r="R581" i="72"/>
  <c r="AF581" i="72" s="1"/>
  <c r="R789" i="72"/>
  <c r="AF789" i="72" s="1"/>
  <c r="R152" i="72"/>
  <c r="AF152" i="72" s="1"/>
  <c r="R564" i="72"/>
  <c r="AF564" i="72" s="1"/>
  <c r="R760" i="72"/>
  <c r="AF760" i="72" s="1"/>
  <c r="R629" i="72"/>
  <c r="AF629" i="72" s="1"/>
  <c r="R834" i="72"/>
  <c r="AF834" i="72" s="1"/>
  <c r="R835" i="72"/>
  <c r="R163" i="72"/>
  <c r="R276" i="72"/>
  <c r="R640" i="72"/>
  <c r="AF640" i="72" s="1"/>
  <c r="R69" i="72"/>
  <c r="AF69" i="72" s="1"/>
  <c r="R661" i="72"/>
  <c r="AF661" i="72" s="1"/>
  <c r="R360" i="72"/>
  <c r="AF360" i="72" s="1"/>
  <c r="R133" i="72"/>
  <c r="AF133" i="72" s="1"/>
  <c r="R197" i="72"/>
  <c r="AF197" i="72" s="1"/>
  <c r="R325" i="72"/>
  <c r="AF325" i="72" s="1"/>
  <c r="R517" i="72"/>
  <c r="AF517" i="72" s="1"/>
  <c r="R693" i="72"/>
  <c r="AF693" i="72" s="1"/>
  <c r="R757" i="72"/>
  <c r="R648" i="72"/>
  <c r="AF648" i="72" s="1"/>
  <c r="R465" i="72"/>
  <c r="AF465" i="72" s="1"/>
  <c r="R737" i="72"/>
  <c r="AF737" i="72" s="1"/>
  <c r="R68" i="72"/>
  <c r="AF68" i="72" s="1"/>
  <c r="R304" i="72"/>
  <c r="AF304" i="72" s="1"/>
  <c r="R145" i="72"/>
  <c r="R641" i="72"/>
  <c r="AF641" i="72" s="1"/>
  <c r="R138" i="72"/>
  <c r="AF138" i="72" s="1"/>
  <c r="R170" i="72"/>
  <c r="AF170" i="72" s="1"/>
  <c r="R490" i="72"/>
  <c r="AF490" i="72" s="1"/>
  <c r="R522" i="72"/>
  <c r="AF522" i="72" s="1"/>
  <c r="R554" i="72"/>
  <c r="AF554" i="72" s="1"/>
  <c r="R586" i="72"/>
  <c r="AF586" i="72" s="1"/>
  <c r="R650" i="72"/>
  <c r="AF650" i="72" s="1"/>
  <c r="R682" i="72"/>
  <c r="AF682" i="72" s="1"/>
  <c r="R714" i="72"/>
  <c r="R75" i="72"/>
  <c r="AF75" i="72" s="1"/>
  <c r="R371" i="72"/>
  <c r="AF371" i="72" s="1"/>
  <c r="R228" i="72"/>
  <c r="AF228" i="72" s="1"/>
  <c r="R609" i="72"/>
  <c r="AF609" i="72" s="1"/>
  <c r="R176" i="72"/>
  <c r="AF176" i="72" s="1"/>
  <c r="R380" i="72"/>
  <c r="AF380" i="72" s="1"/>
  <c r="R401" i="72"/>
  <c r="AF401" i="72" s="1"/>
  <c r="R833" i="72"/>
  <c r="AF833" i="72" s="1"/>
  <c r="R782" i="72"/>
  <c r="AF782" i="72" s="1"/>
  <c r="R353" i="72"/>
  <c r="AF353" i="72" s="1"/>
  <c r="R417" i="72"/>
  <c r="R481" i="72"/>
  <c r="R545" i="72"/>
  <c r="AF545" i="72" s="1"/>
  <c r="R689" i="72"/>
  <c r="AF689" i="72" s="1"/>
  <c r="R120" i="72"/>
  <c r="AF120" i="72" s="1"/>
  <c r="R161" i="72"/>
  <c r="AF161" i="72" s="1"/>
  <c r="R767" i="72"/>
  <c r="AF767" i="72" s="1"/>
  <c r="R347" i="72"/>
  <c r="AF347" i="72" s="1"/>
  <c r="R379" i="72"/>
  <c r="AF379" i="72" s="1"/>
  <c r="R691" i="72"/>
  <c r="AF691" i="72" s="1"/>
  <c r="R432" i="72"/>
  <c r="AF432" i="72" s="1"/>
  <c r="R44" i="72"/>
  <c r="AF44" i="72" s="1"/>
  <c r="R183" i="72"/>
  <c r="R447" i="72"/>
  <c r="AF447" i="72" s="1"/>
  <c r="R815" i="72"/>
  <c r="R132" i="72"/>
  <c r="AF132" i="72" s="1"/>
  <c r="R252" i="72"/>
  <c r="AF252" i="72" s="1"/>
  <c r="R433" i="72"/>
  <c r="AF433" i="72" s="1"/>
  <c r="R705" i="72"/>
  <c r="AF705" i="72" s="1"/>
  <c r="R769" i="72"/>
  <c r="AF769" i="72" s="1"/>
  <c r="R200" i="72"/>
  <c r="AF200" i="72" s="1"/>
  <c r="R404" i="72"/>
  <c r="AF404" i="72" s="1"/>
  <c r="R740" i="72"/>
  <c r="AF740" i="72" s="1"/>
  <c r="R154" i="72"/>
  <c r="AF154" i="72" s="1"/>
  <c r="R474" i="72"/>
  <c r="AF474" i="72" s="1"/>
  <c r="R506" i="72"/>
  <c r="AF506" i="72" s="1"/>
  <c r="R538" i="72"/>
  <c r="AF538" i="72" s="1"/>
  <c r="R570" i="72"/>
  <c r="AF570" i="72" s="1"/>
  <c r="R602" i="72"/>
  <c r="AF602" i="72" s="1"/>
  <c r="R634" i="72"/>
  <c r="AF634" i="72" s="1"/>
  <c r="R666" i="72"/>
  <c r="AF666" i="72" s="1"/>
  <c r="R698" i="72"/>
  <c r="AF698" i="72" s="1"/>
  <c r="R762" i="72"/>
  <c r="R643" i="72"/>
  <c r="AF643" i="72" s="1"/>
  <c r="R51" i="72"/>
  <c r="AF51" i="72" s="1"/>
  <c r="R27" i="72"/>
  <c r="AF27" i="72" s="1"/>
  <c r="R419" i="72"/>
  <c r="AF419" i="72" s="1"/>
  <c r="R384" i="72"/>
  <c r="AF384" i="72" s="1"/>
  <c r="R280" i="72"/>
  <c r="R369" i="72"/>
  <c r="AF369" i="72" s="1"/>
  <c r="R561" i="72"/>
  <c r="AF561" i="72" s="1"/>
  <c r="R801" i="72"/>
  <c r="R798" i="72"/>
  <c r="AF798" i="72" s="1"/>
  <c r="R555" i="72"/>
  <c r="AF555" i="72" s="1"/>
  <c r="R599" i="72"/>
  <c r="R423" i="72"/>
  <c r="AF423" i="72" s="1"/>
  <c r="R463" i="72"/>
  <c r="AF463" i="72" s="1"/>
  <c r="R332" i="72"/>
  <c r="AF332" i="72" s="1"/>
  <c r="R129" i="72"/>
  <c r="AF129" i="72" s="1"/>
  <c r="R449" i="72"/>
  <c r="AF449" i="72" s="1"/>
  <c r="R513" i="72"/>
  <c r="R721" i="72"/>
  <c r="AF721" i="72" s="1"/>
  <c r="R96" i="72"/>
  <c r="R738" i="72"/>
  <c r="AF738" i="72" s="1"/>
  <c r="R511" i="72"/>
  <c r="AF511" i="72" s="1"/>
  <c r="R775" i="72"/>
  <c r="R225" i="72"/>
  <c r="AF225" i="72" s="1"/>
  <c r="R785" i="72"/>
  <c r="R33" i="72"/>
  <c r="AF33" i="72" s="1"/>
  <c r="R625" i="72"/>
  <c r="AF625" i="72" s="1"/>
  <c r="R495" i="72"/>
  <c r="AF495" i="72" s="1"/>
  <c r="R239" i="72"/>
  <c r="AF239" i="72" s="1"/>
  <c r="R307" i="72"/>
  <c r="AF307" i="72" s="1"/>
  <c r="R435" i="72"/>
  <c r="AF435" i="72" s="1"/>
  <c r="R104" i="72"/>
  <c r="R172" i="72"/>
  <c r="AF172" i="72" s="1"/>
  <c r="R292" i="72"/>
  <c r="AF292" i="72" s="1"/>
  <c r="R356" i="72"/>
  <c r="AF356" i="72" s="1"/>
  <c r="R532" i="72"/>
  <c r="AF532" i="72" s="1"/>
  <c r="R656" i="72"/>
  <c r="AF656" i="72" s="1"/>
  <c r="R720" i="72"/>
  <c r="R17" i="72"/>
  <c r="AR17" i="72" s="1"/>
  <c r="R745" i="72"/>
  <c r="R36" i="72"/>
  <c r="AF36" i="72" s="1"/>
  <c r="R153" i="72"/>
  <c r="R273" i="72"/>
  <c r="AF273" i="72" s="1"/>
  <c r="R649" i="72"/>
  <c r="AF649" i="72" s="1"/>
  <c r="R750" i="72"/>
  <c r="AF750" i="72" s="1"/>
  <c r="R623" i="72"/>
  <c r="AF623" i="72" s="1"/>
  <c r="R671" i="72"/>
  <c r="AF671" i="72" s="1"/>
  <c r="R79" i="72"/>
  <c r="AF79" i="72" s="1"/>
  <c r="R279" i="72"/>
  <c r="R575" i="72"/>
  <c r="AF575" i="72" s="1"/>
  <c r="R480" i="72"/>
  <c r="AF480" i="72" s="1"/>
  <c r="R540" i="72"/>
  <c r="AF540" i="72" s="1"/>
  <c r="R728" i="72"/>
  <c r="AF728" i="72" s="1"/>
  <c r="R97" i="72"/>
  <c r="AF97" i="72" s="1"/>
  <c r="R289" i="72"/>
  <c r="AF289" i="72" s="1"/>
  <c r="R753" i="72"/>
  <c r="AF753" i="72" s="1"/>
  <c r="R320" i="72"/>
  <c r="AF320" i="72" s="1"/>
  <c r="R456" i="72"/>
  <c r="AF456" i="72" s="1"/>
  <c r="R657" i="72"/>
  <c r="AF657" i="72" s="1"/>
  <c r="R146" i="72"/>
  <c r="AF146" i="72" s="1"/>
  <c r="R178" i="72"/>
  <c r="R466" i="72"/>
  <c r="AF466" i="72" s="1"/>
  <c r="R498" i="72"/>
  <c r="AF498" i="72" s="1"/>
  <c r="R530" i="72"/>
  <c r="AF530" i="72" s="1"/>
  <c r="R562" i="72"/>
  <c r="AF562" i="72" s="1"/>
  <c r="R594" i="72"/>
  <c r="R626" i="72"/>
  <c r="AF626" i="72" s="1"/>
  <c r="R658" i="72"/>
  <c r="AF658" i="72" s="1"/>
  <c r="R690" i="72"/>
  <c r="AF690" i="72" s="1"/>
  <c r="R722" i="72"/>
  <c r="R535" i="72"/>
  <c r="R723" i="72"/>
  <c r="R811" i="72"/>
  <c r="R219" i="72"/>
  <c r="AF219" i="72" s="1"/>
  <c r="R251" i="72"/>
  <c r="AF251" i="72" s="1"/>
  <c r="R383" i="72"/>
  <c r="R680" i="72"/>
  <c r="AF680" i="72" s="1"/>
  <c r="R113" i="72"/>
  <c r="R177" i="72"/>
  <c r="AF177" i="72" s="1"/>
  <c r="R305" i="72"/>
  <c r="AF305" i="72" s="1"/>
  <c r="R497" i="72"/>
  <c r="AF497" i="72" s="1"/>
  <c r="R84" i="72"/>
  <c r="AF84" i="72" s="1"/>
  <c r="R676" i="72"/>
  <c r="AF676" i="72" s="1"/>
  <c r="R553" i="72"/>
  <c r="AF553" i="72" s="1"/>
  <c r="R673" i="72"/>
  <c r="R26" i="72"/>
  <c r="AF26" i="72" s="1"/>
  <c r="R58" i="72"/>
  <c r="AF58" i="72" s="1"/>
  <c r="R90" i="72"/>
  <c r="AF90" i="72" s="1"/>
  <c r="R122" i="72"/>
  <c r="R186" i="72"/>
  <c r="AF186" i="72" s="1"/>
  <c r="R218" i="72"/>
  <c r="R250" i="72"/>
  <c r="AF250" i="72" s="1"/>
  <c r="R282" i="72"/>
  <c r="AF282" i="72" s="1"/>
  <c r="R314" i="72"/>
  <c r="R346" i="72"/>
  <c r="R378" i="72"/>
  <c r="AF378" i="72" s="1"/>
  <c r="R410" i="72"/>
  <c r="AF410" i="72" s="1"/>
  <c r="R794" i="72"/>
  <c r="AF794" i="72" s="1"/>
  <c r="R547" i="72"/>
  <c r="AF547" i="72" s="1"/>
  <c r="R595" i="72"/>
  <c r="AF595" i="72" s="1"/>
  <c r="R823" i="72"/>
  <c r="R91" i="72"/>
  <c r="R155" i="72"/>
  <c r="AF155" i="72" s="1"/>
  <c r="R255" i="72"/>
  <c r="R827" i="72"/>
  <c r="AF827" i="72" s="1"/>
  <c r="R444" i="72"/>
  <c r="AF444" i="72" s="1"/>
  <c r="R624" i="72"/>
  <c r="AF624" i="72" s="1"/>
  <c r="R752" i="72"/>
  <c r="AF752" i="72" s="1"/>
  <c r="R812" i="72"/>
  <c r="AF812" i="72" s="1"/>
  <c r="R49" i="72"/>
  <c r="AF49" i="72" s="1"/>
  <c r="R185" i="72"/>
  <c r="AF185" i="72" s="1"/>
  <c r="R713" i="72"/>
  <c r="R777" i="72"/>
  <c r="AF777" i="72" s="1"/>
  <c r="R212" i="72"/>
  <c r="AF212" i="72" s="1"/>
  <c r="R344" i="72"/>
  <c r="R556" i="72"/>
  <c r="AF556" i="72" s="1"/>
  <c r="R241" i="72"/>
  <c r="AF241" i="72" s="1"/>
  <c r="R681" i="72"/>
  <c r="R830" i="72"/>
  <c r="R647" i="72"/>
  <c r="AF647" i="72" s="1"/>
  <c r="R695" i="72"/>
  <c r="R831" i="72"/>
  <c r="AF831" i="72" s="1"/>
  <c r="R159" i="72"/>
  <c r="AF159" i="72" s="1"/>
  <c r="R191" i="72"/>
  <c r="R227" i="72"/>
  <c r="R295" i="72"/>
  <c r="AF295" i="72" s="1"/>
  <c r="R327" i="72"/>
  <c r="AF327" i="72" s="1"/>
  <c r="R359" i="72"/>
  <c r="R148" i="72"/>
  <c r="AF148" i="72" s="1"/>
  <c r="R268" i="72"/>
  <c r="AF268" i="72" s="1"/>
  <c r="R632" i="72"/>
  <c r="AF632" i="72" s="1"/>
  <c r="R193" i="72"/>
  <c r="AF193" i="72" s="1"/>
  <c r="R321" i="72"/>
  <c r="AF321" i="72" s="1"/>
  <c r="R60" i="72"/>
  <c r="AF60" i="72" s="1"/>
  <c r="R224" i="72"/>
  <c r="AF224" i="72" s="1"/>
  <c r="R352" i="72"/>
  <c r="AF352" i="72" s="1"/>
  <c r="R496" i="72"/>
  <c r="AF496" i="72" s="1"/>
  <c r="R65" i="72"/>
  <c r="AF65" i="72" s="1"/>
  <c r="R377" i="72"/>
  <c r="AF377" i="72" s="1"/>
  <c r="R809" i="72"/>
  <c r="R130" i="72"/>
  <c r="R162" i="72"/>
  <c r="AF162" i="72" s="1"/>
  <c r="R482" i="72"/>
  <c r="AF482" i="72" s="1"/>
  <c r="R514" i="72"/>
  <c r="AF514" i="72" s="1"/>
  <c r="R546" i="72"/>
  <c r="AF546" i="72" s="1"/>
  <c r="R578" i="72"/>
  <c r="AF578" i="72" s="1"/>
  <c r="R610" i="72"/>
  <c r="AF610" i="72" s="1"/>
  <c r="R642" i="72"/>
  <c r="AF642" i="72" s="1"/>
  <c r="R674" i="72"/>
  <c r="AF674" i="72" s="1"/>
  <c r="R706" i="72"/>
  <c r="AF706" i="72" s="1"/>
  <c r="R770" i="72"/>
  <c r="AF770" i="72" s="1"/>
  <c r="R747" i="72"/>
  <c r="R791" i="72"/>
  <c r="AF791" i="72" s="1"/>
  <c r="R131" i="72"/>
  <c r="AF131" i="72" s="1"/>
  <c r="R56" i="72"/>
  <c r="AF56" i="72" s="1"/>
  <c r="R156" i="72"/>
  <c r="AF156" i="72" s="1"/>
  <c r="R704" i="72"/>
  <c r="R457" i="72"/>
  <c r="AF457" i="72" s="1"/>
  <c r="R729" i="72"/>
  <c r="R504" i="72"/>
  <c r="AF504" i="72" s="1"/>
  <c r="R768" i="72"/>
  <c r="AF768" i="72" s="1"/>
  <c r="R257" i="72"/>
  <c r="AF257" i="72" s="1"/>
  <c r="R774" i="72"/>
  <c r="R806" i="72"/>
  <c r="AF806" i="72" s="1"/>
  <c r="R519" i="72"/>
  <c r="AF519" i="72" s="1"/>
  <c r="R751" i="72"/>
  <c r="R195" i="72"/>
  <c r="R211" i="72"/>
  <c r="AF211" i="72" s="1"/>
  <c r="R375" i="72"/>
  <c r="AF375" i="72" s="1"/>
  <c r="R821" i="72"/>
  <c r="AF821" i="72" s="1"/>
  <c r="R76" i="72"/>
  <c r="AF76" i="72" s="1"/>
  <c r="R388" i="72"/>
  <c r="AF388" i="72" s="1"/>
  <c r="R528" i="72"/>
  <c r="AF528" i="72" s="1"/>
  <c r="R660" i="72"/>
  <c r="AF660" i="72" s="1"/>
  <c r="R451" i="72"/>
  <c r="R488" i="72"/>
  <c r="R128" i="72"/>
  <c r="AF128" i="72" s="1"/>
  <c r="R357" i="72"/>
  <c r="AF357" i="72" s="1"/>
  <c r="R421" i="72"/>
  <c r="AF421" i="72" s="1"/>
  <c r="R758" i="72"/>
  <c r="AF758" i="72" s="1"/>
  <c r="R790" i="72"/>
  <c r="R436" i="72"/>
  <c r="AF436" i="72" s="1"/>
  <c r="R804" i="72"/>
  <c r="AF804" i="72" s="1"/>
  <c r="R373" i="72"/>
  <c r="AF373" i="72" s="1"/>
  <c r="R837" i="72"/>
  <c r="R336" i="72"/>
  <c r="R612" i="72"/>
  <c r="AF612" i="72" s="1"/>
  <c r="R779" i="72"/>
  <c r="R355" i="72"/>
  <c r="R260" i="72"/>
  <c r="AF260" i="72" s="1"/>
  <c r="R52" i="72"/>
  <c r="AF52" i="72" s="1"/>
  <c r="R144" i="72"/>
  <c r="AF144" i="72" s="1"/>
  <c r="R484" i="72"/>
  <c r="AF484" i="72" s="1"/>
  <c r="R437" i="72"/>
  <c r="AF437" i="72" s="1"/>
  <c r="R158" i="72"/>
  <c r="R478" i="72"/>
  <c r="R510" i="72"/>
  <c r="AF510" i="72" s="1"/>
  <c r="R542" i="72"/>
  <c r="AF542" i="72" s="1"/>
  <c r="R574" i="72"/>
  <c r="AF574" i="72" s="1"/>
  <c r="R606" i="72"/>
  <c r="AF606" i="72" s="1"/>
  <c r="R638" i="72"/>
  <c r="AF638" i="72" s="1"/>
  <c r="R670" i="72"/>
  <c r="AF670" i="72" s="1"/>
  <c r="R702" i="72"/>
  <c r="AF702" i="72" s="1"/>
  <c r="R766" i="72"/>
  <c r="AF766" i="72" s="1"/>
  <c r="R59" i="72"/>
  <c r="AF59" i="72" s="1"/>
  <c r="R391" i="72"/>
  <c r="AF391" i="72" s="1"/>
  <c r="R208" i="72"/>
  <c r="R756" i="72"/>
  <c r="AF756" i="72" s="1"/>
  <c r="R389" i="72"/>
  <c r="AF389" i="72" s="1"/>
  <c r="R655" i="72"/>
  <c r="AF655" i="72" s="1"/>
  <c r="R699" i="72"/>
  <c r="AF699" i="72" s="1"/>
  <c r="R83" i="72"/>
  <c r="AF83" i="72" s="1"/>
  <c r="R231" i="72"/>
  <c r="AF231" i="72" s="1"/>
  <c r="R427" i="72"/>
  <c r="AF427" i="72" s="1"/>
  <c r="R460" i="72"/>
  <c r="AF460" i="72" s="1"/>
  <c r="R100" i="72"/>
  <c r="AF100" i="72" s="1"/>
  <c r="R232" i="72"/>
  <c r="AF232" i="72" s="1"/>
  <c r="R453" i="72"/>
  <c r="AF453" i="72" s="1"/>
  <c r="R567" i="72"/>
  <c r="AF567" i="72" s="1"/>
  <c r="R431" i="72"/>
  <c r="AF431" i="72" s="1"/>
  <c r="R284" i="72"/>
  <c r="AF284" i="72" s="1"/>
  <c r="R712" i="72"/>
  <c r="AF712" i="72" s="1"/>
  <c r="R836" i="72"/>
  <c r="R405" i="72"/>
  <c r="AF405" i="72" s="1"/>
  <c r="R32" i="72"/>
  <c r="AQ32" i="72" s="1"/>
  <c r="R440" i="72"/>
  <c r="AF440" i="72" s="1"/>
  <c r="R746" i="72"/>
  <c r="AF746" i="72" s="1"/>
  <c r="R810" i="72"/>
  <c r="AF810" i="72" s="1"/>
  <c r="R523" i="72"/>
  <c r="AF523" i="72" s="1"/>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J118" i="72"/>
  <c r="J119" i="72"/>
  <c r="J120" i="72"/>
  <c r="J121" i="72"/>
  <c r="J122" i="72"/>
  <c r="J123" i="72"/>
  <c r="J124" i="72"/>
  <c r="J125" i="72"/>
  <c r="J126" i="72"/>
  <c r="J127" i="72"/>
  <c r="J128" i="72"/>
  <c r="J129" i="72"/>
  <c r="J130" i="72"/>
  <c r="J131" i="72"/>
  <c r="J132" i="72"/>
  <c r="J133" i="72"/>
  <c r="J134" i="72"/>
  <c r="J135" i="72"/>
  <c r="J136" i="72"/>
  <c r="J137" i="72"/>
  <c r="J138" i="72"/>
  <c r="J139" i="72"/>
  <c r="J140" i="72"/>
  <c r="J141" i="72"/>
  <c r="J142" i="72"/>
  <c r="J143" i="72"/>
  <c r="J144" i="72"/>
  <c r="J145" i="72"/>
  <c r="J146" i="72"/>
  <c r="J147" i="72"/>
  <c r="J148" i="72"/>
  <c r="J149" i="72"/>
  <c r="J150" i="72"/>
  <c r="J151" i="72"/>
  <c r="J152" i="72"/>
  <c r="J153" i="72"/>
  <c r="J154" i="72"/>
  <c r="J155" i="72"/>
  <c r="J156" i="72"/>
  <c r="J157" i="72"/>
  <c r="J158" i="72"/>
  <c r="J159" i="72"/>
  <c r="J160" i="72"/>
  <c r="J161" i="72"/>
  <c r="J162" i="72"/>
  <c r="J163" i="72"/>
  <c r="J164" i="72"/>
  <c r="J165" i="72"/>
  <c r="J166" i="72"/>
  <c r="J167" i="72"/>
  <c r="J168" i="72"/>
  <c r="J169" i="72"/>
  <c r="J170" i="72"/>
  <c r="J171" i="72"/>
  <c r="J172" i="72"/>
  <c r="J173" i="72"/>
  <c r="J174" i="72"/>
  <c r="J175" i="72"/>
  <c r="J176" i="72"/>
  <c r="J177" i="72"/>
  <c r="J178" i="72"/>
  <c r="J179" i="72"/>
  <c r="J180" i="72"/>
  <c r="J181" i="72"/>
  <c r="J182" i="72"/>
  <c r="J183" i="72"/>
  <c r="J184" i="72"/>
  <c r="J185" i="72"/>
  <c r="J186" i="72"/>
  <c r="J187" i="72"/>
  <c r="J188" i="72"/>
  <c r="J189" i="72"/>
  <c r="J190" i="72"/>
  <c r="J191" i="72"/>
  <c r="J192" i="72"/>
  <c r="J193" i="72"/>
  <c r="J194" i="72"/>
  <c r="J195" i="72"/>
  <c r="J196" i="72"/>
  <c r="J197" i="72"/>
  <c r="J198" i="72"/>
  <c r="J199" i="72"/>
  <c r="J200" i="72"/>
  <c r="J201" i="72"/>
  <c r="J202" i="72"/>
  <c r="J203" i="72"/>
  <c r="J204" i="72"/>
  <c r="J205" i="72"/>
  <c r="J206" i="72"/>
  <c r="J207" i="72"/>
  <c r="J208" i="72"/>
  <c r="J209" i="72"/>
  <c r="J210" i="72"/>
  <c r="J211" i="72"/>
  <c r="J212" i="72"/>
  <c r="J213" i="72"/>
  <c r="J214" i="72"/>
  <c r="J215" i="72"/>
  <c r="J216" i="72"/>
  <c r="J217" i="72"/>
  <c r="J218" i="72"/>
  <c r="J219" i="72"/>
  <c r="J220" i="72"/>
  <c r="J221" i="72"/>
  <c r="J222" i="72"/>
  <c r="J223" i="72"/>
  <c r="J224" i="72"/>
  <c r="J225" i="72"/>
  <c r="J226" i="72"/>
  <c r="J227" i="72"/>
  <c r="J228" i="72"/>
  <c r="J229" i="72"/>
  <c r="J230" i="72"/>
  <c r="J231" i="72"/>
  <c r="J232" i="72"/>
  <c r="J233" i="72"/>
  <c r="J234" i="72"/>
  <c r="J235" i="72"/>
  <c r="J236" i="72"/>
  <c r="J237" i="72"/>
  <c r="J238" i="72"/>
  <c r="J239" i="72"/>
  <c r="J240" i="72"/>
  <c r="J241" i="72"/>
  <c r="J242" i="72"/>
  <c r="J243" i="72"/>
  <c r="J244" i="72"/>
  <c r="J245" i="72"/>
  <c r="J246" i="72"/>
  <c r="J247" i="72"/>
  <c r="J248" i="72"/>
  <c r="J249" i="72"/>
  <c r="J250" i="72"/>
  <c r="J251" i="72"/>
  <c r="J252" i="72"/>
  <c r="J253" i="72"/>
  <c r="J254" i="72"/>
  <c r="J255" i="72"/>
  <c r="J256" i="72"/>
  <c r="J257" i="72"/>
  <c r="J258" i="72"/>
  <c r="J259" i="72"/>
  <c r="J260" i="72"/>
  <c r="J261" i="72"/>
  <c r="J262" i="72"/>
  <c r="J263" i="72"/>
  <c r="J264" i="72"/>
  <c r="J265" i="72"/>
  <c r="J266" i="72"/>
  <c r="J267" i="72"/>
  <c r="J268" i="72"/>
  <c r="J269" i="72"/>
  <c r="J270" i="72"/>
  <c r="J271" i="72"/>
  <c r="J272" i="72"/>
  <c r="J273" i="72"/>
  <c r="J274" i="72"/>
  <c r="J275" i="72"/>
  <c r="J276" i="72"/>
  <c r="J277" i="72"/>
  <c r="J278" i="72"/>
  <c r="J279" i="72"/>
  <c r="J280" i="72"/>
  <c r="J281" i="72"/>
  <c r="J282" i="72"/>
  <c r="J283" i="72"/>
  <c r="J284" i="72"/>
  <c r="J285" i="72"/>
  <c r="J286" i="72"/>
  <c r="J287" i="72"/>
  <c r="J288" i="72"/>
  <c r="J289" i="72"/>
  <c r="J290" i="72"/>
  <c r="J291" i="72"/>
  <c r="J292" i="72"/>
  <c r="J293" i="72"/>
  <c r="J294" i="72"/>
  <c r="J295" i="72"/>
  <c r="J296" i="72"/>
  <c r="J297" i="72"/>
  <c r="J298" i="72"/>
  <c r="J299" i="72"/>
  <c r="J300" i="72"/>
  <c r="J301" i="72"/>
  <c r="J302" i="72"/>
  <c r="J303" i="72"/>
  <c r="J304" i="72"/>
  <c r="J305" i="72"/>
  <c r="J306" i="72"/>
  <c r="J307" i="72"/>
  <c r="J308" i="72"/>
  <c r="J309" i="72"/>
  <c r="J310" i="72"/>
  <c r="J311" i="72"/>
  <c r="J312" i="72"/>
  <c r="J313" i="72"/>
  <c r="J314" i="72"/>
  <c r="J315" i="72"/>
  <c r="J316" i="72"/>
  <c r="J317" i="72"/>
  <c r="J318" i="72"/>
  <c r="J319" i="72"/>
  <c r="J320" i="72"/>
  <c r="J321" i="72"/>
  <c r="J322" i="72"/>
  <c r="J323" i="72"/>
  <c r="J324" i="72"/>
  <c r="J325" i="72"/>
  <c r="J326" i="72"/>
  <c r="J327" i="72"/>
  <c r="J328" i="72"/>
  <c r="J329" i="72"/>
  <c r="J330" i="72"/>
  <c r="J331" i="72"/>
  <c r="J332" i="72"/>
  <c r="J333" i="72"/>
  <c r="J334" i="72"/>
  <c r="J335" i="72"/>
  <c r="J336" i="72"/>
  <c r="J337" i="72"/>
  <c r="J338" i="72"/>
  <c r="J339" i="72"/>
  <c r="J340" i="72"/>
  <c r="J341" i="72"/>
  <c r="J342" i="72"/>
  <c r="J343" i="72"/>
  <c r="J344" i="72"/>
  <c r="J345" i="72"/>
  <c r="J346" i="72"/>
  <c r="J347" i="72"/>
  <c r="J348" i="72"/>
  <c r="J349" i="72"/>
  <c r="J350" i="72"/>
  <c r="J351" i="72"/>
  <c r="J352" i="72"/>
  <c r="J353" i="72"/>
  <c r="J354" i="72"/>
  <c r="J355" i="72"/>
  <c r="J356" i="72"/>
  <c r="J357" i="72"/>
  <c r="J358" i="72"/>
  <c r="J359" i="72"/>
  <c r="J360" i="72"/>
  <c r="J361" i="72"/>
  <c r="J362" i="72"/>
  <c r="J363" i="72"/>
  <c r="J364" i="72"/>
  <c r="J365" i="72"/>
  <c r="J366" i="72"/>
  <c r="J367" i="72"/>
  <c r="J368" i="72"/>
  <c r="J369" i="72"/>
  <c r="J370" i="72"/>
  <c r="J371" i="72"/>
  <c r="J372" i="72"/>
  <c r="J373" i="72"/>
  <c r="J374" i="72"/>
  <c r="J375" i="72"/>
  <c r="J376" i="72"/>
  <c r="J377" i="72"/>
  <c r="J378" i="72"/>
  <c r="J379" i="72"/>
  <c r="J380" i="72"/>
  <c r="J381" i="72"/>
  <c r="J382" i="72"/>
  <c r="J383" i="72"/>
  <c r="J384" i="72"/>
  <c r="J385" i="72"/>
  <c r="J386" i="72"/>
  <c r="J387" i="72"/>
  <c r="J388" i="72"/>
  <c r="J389" i="72"/>
  <c r="J390" i="72"/>
  <c r="J391" i="72"/>
  <c r="J392" i="72"/>
  <c r="J393" i="72"/>
  <c r="J394" i="72"/>
  <c r="J395" i="72"/>
  <c r="J396" i="72"/>
  <c r="J397" i="72"/>
  <c r="J398" i="72"/>
  <c r="J399" i="72"/>
  <c r="J400" i="72"/>
  <c r="J401" i="72"/>
  <c r="J402" i="72"/>
  <c r="J403" i="72"/>
  <c r="J404" i="72"/>
  <c r="J405" i="72"/>
  <c r="J406" i="72"/>
  <c r="J407" i="72"/>
  <c r="J408" i="72"/>
  <c r="J410" i="72"/>
  <c r="J411" i="72"/>
  <c r="J412" i="72"/>
  <c r="J413" i="72"/>
  <c r="J414" i="72"/>
  <c r="J415" i="72"/>
  <c r="J416" i="72"/>
  <c r="J417" i="72"/>
  <c r="J418" i="72"/>
  <c r="J419" i="72"/>
  <c r="J420" i="72"/>
  <c r="J421" i="72"/>
  <c r="J422" i="72"/>
  <c r="J423" i="72"/>
  <c r="J424" i="72"/>
  <c r="J425" i="72"/>
  <c r="J426" i="72"/>
  <c r="J427" i="72"/>
  <c r="J428" i="72"/>
  <c r="J429" i="72"/>
  <c r="J430" i="72"/>
  <c r="J431" i="72"/>
  <c r="J432" i="72"/>
  <c r="J433" i="72"/>
  <c r="J434" i="72"/>
  <c r="J435" i="72"/>
  <c r="J436" i="72"/>
  <c r="J437" i="72"/>
  <c r="J438" i="72"/>
  <c r="J439" i="72"/>
  <c r="J440" i="72"/>
  <c r="J441" i="72"/>
  <c r="J442" i="72"/>
  <c r="J443" i="72"/>
  <c r="J444" i="72"/>
  <c r="J445" i="72"/>
  <c r="J446" i="72"/>
  <c r="J447" i="72"/>
  <c r="J448" i="72"/>
  <c r="J449" i="72"/>
  <c r="J450" i="72"/>
  <c r="J451" i="72"/>
  <c r="J452" i="72"/>
  <c r="J453" i="72"/>
  <c r="J454" i="72"/>
  <c r="J455" i="72"/>
  <c r="J456" i="72"/>
  <c r="J457" i="72"/>
  <c r="J458" i="72"/>
  <c r="J459" i="72"/>
  <c r="J460" i="72"/>
  <c r="J461" i="72"/>
  <c r="J462" i="72"/>
  <c r="J463" i="72"/>
  <c r="J464" i="72"/>
  <c r="J465" i="72"/>
  <c r="J466" i="72"/>
  <c r="J467" i="72"/>
  <c r="J468" i="72"/>
  <c r="J469" i="72"/>
  <c r="J470" i="72"/>
  <c r="J471" i="72"/>
  <c r="J472" i="72"/>
  <c r="J473" i="72"/>
  <c r="J474" i="72"/>
  <c r="J475" i="72"/>
  <c r="J476" i="72"/>
  <c r="J477" i="72"/>
  <c r="J478" i="72"/>
  <c r="J479" i="72"/>
  <c r="J480" i="72"/>
  <c r="J481" i="72"/>
  <c r="J482" i="72"/>
  <c r="J483" i="72"/>
  <c r="J484" i="72"/>
  <c r="J485" i="72"/>
  <c r="J486" i="72"/>
  <c r="J487" i="72"/>
  <c r="J488" i="72"/>
  <c r="J489" i="72"/>
  <c r="J490" i="72"/>
  <c r="J491" i="72"/>
  <c r="J492" i="72"/>
  <c r="J493" i="72"/>
  <c r="J494" i="72"/>
  <c r="J495" i="72"/>
  <c r="J496" i="72"/>
  <c r="J497" i="72"/>
  <c r="J498" i="72"/>
  <c r="J499" i="72"/>
  <c r="J500" i="72"/>
  <c r="J501" i="72"/>
  <c r="J502" i="72"/>
  <c r="J503" i="72"/>
  <c r="J504" i="72"/>
  <c r="J505" i="72"/>
  <c r="J506" i="72"/>
  <c r="J507" i="72"/>
  <c r="J508" i="72"/>
  <c r="J509" i="72"/>
  <c r="J510" i="72"/>
  <c r="J511" i="72"/>
  <c r="J512" i="72"/>
  <c r="J513" i="72"/>
  <c r="J514" i="72"/>
  <c r="J515" i="72"/>
  <c r="J516" i="72"/>
  <c r="J517" i="72"/>
  <c r="J518" i="72"/>
  <c r="J519" i="72"/>
  <c r="J520" i="72"/>
  <c r="J521" i="72"/>
  <c r="J522" i="72"/>
  <c r="J523" i="72"/>
  <c r="J524" i="72"/>
  <c r="J525" i="72"/>
  <c r="J526" i="72"/>
  <c r="J527" i="72"/>
  <c r="J528" i="72"/>
  <c r="J529" i="72"/>
  <c r="J530" i="72"/>
  <c r="J531" i="72"/>
  <c r="J532" i="72"/>
  <c r="J533" i="72"/>
  <c r="J534" i="72"/>
  <c r="J535" i="72"/>
  <c r="J536" i="72"/>
  <c r="J537" i="72"/>
  <c r="J538" i="72"/>
  <c r="J539" i="72"/>
  <c r="J540" i="72"/>
  <c r="J541" i="72"/>
  <c r="J542" i="72"/>
  <c r="J543" i="72"/>
  <c r="J544" i="72"/>
  <c r="J545" i="72"/>
  <c r="J546" i="72"/>
  <c r="J547" i="72"/>
  <c r="J548" i="72"/>
  <c r="J549" i="72"/>
  <c r="J550" i="72"/>
  <c r="J551" i="72"/>
  <c r="J552" i="72"/>
  <c r="J553" i="72"/>
  <c r="J554" i="72"/>
  <c r="J555" i="72"/>
  <c r="J556" i="72"/>
  <c r="J557" i="72"/>
  <c r="J558" i="72"/>
  <c r="J559" i="72"/>
  <c r="J560" i="72"/>
  <c r="J561" i="72"/>
  <c r="J562" i="72"/>
  <c r="J563" i="72"/>
  <c r="J564" i="72"/>
  <c r="J565" i="72"/>
  <c r="J566" i="72"/>
  <c r="J567" i="72"/>
  <c r="J568" i="72"/>
  <c r="J569" i="72"/>
  <c r="J570" i="72"/>
  <c r="J571" i="72"/>
  <c r="J572" i="72"/>
  <c r="J573" i="72"/>
  <c r="J574" i="72"/>
  <c r="J575" i="72"/>
  <c r="J576" i="72"/>
  <c r="J577" i="72"/>
  <c r="J578" i="72"/>
  <c r="J579" i="72"/>
  <c r="J580" i="72"/>
  <c r="J581" i="72"/>
  <c r="J582" i="72"/>
  <c r="J583" i="72"/>
  <c r="J584" i="72"/>
  <c r="J585" i="72"/>
  <c r="J586" i="72"/>
  <c r="J587" i="72"/>
  <c r="J588" i="72"/>
  <c r="J589" i="72"/>
  <c r="J590" i="72"/>
  <c r="J591" i="72"/>
  <c r="J592" i="72"/>
  <c r="J593" i="72"/>
  <c r="J594" i="72"/>
  <c r="J595" i="72"/>
  <c r="J596" i="72"/>
  <c r="J597" i="72"/>
  <c r="J598" i="72"/>
  <c r="J599" i="72"/>
  <c r="J600" i="72"/>
  <c r="J601" i="72"/>
  <c r="J602" i="72"/>
  <c r="J603" i="72"/>
  <c r="J604" i="72"/>
  <c r="J605" i="72"/>
  <c r="J606" i="72"/>
  <c r="J607" i="72"/>
  <c r="J608" i="72"/>
  <c r="J609" i="72"/>
  <c r="J610" i="72"/>
  <c r="J611" i="72"/>
  <c r="J612" i="72"/>
  <c r="J613" i="72"/>
  <c r="J614" i="72"/>
  <c r="J615" i="72"/>
  <c r="J616" i="72"/>
  <c r="J617" i="72"/>
  <c r="J618" i="72"/>
  <c r="J619" i="72"/>
  <c r="J620" i="72"/>
  <c r="J621" i="72"/>
  <c r="J622" i="72"/>
  <c r="J623" i="72"/>
  <c r="J624" i="72"/>
  <c r="J625" i="72"/>
  <c r="J626" i="72"/>
  <c r="J627" i="72"/>
  <c r="J628" i="72"/>
  <c r="J629" i="72"/>
  <c r="J630" i="72"/>
  <c r="J631" i="72"/>
  <c r="J632" i="72"/>
  <c r="J633" i="72"/>
  <c r="J634" i="72"/>
  <c r="J635" i="72"/>
  <c r="J636" i="72"/>
  <c r="J637" i="72"/>
  <c r="J638" i="72"/>
  <c r="J639" i="72"/>
  <c r="J640" i="72"/>
  <c r="J641" i="72"/>
  <c r="J642" i="72"/>
  <c r="J643" i="72"/>
  <c r="J644" i="72"/>
  <c r="J645" i="72"/>
  <c r="J646" i="72"/>
  <c r="J647" i="72"/>
  <c r="J648" i="72"/>
  <c r="J649" i="72"/>
  <c r="J650" i="72"/>
  <c r="J651" i="72"/>
  <c r="J652" i="72"/>
  <c r="J653" i="72"/>
  <c r="J654" i="72"/>
  <c r="J655" i="72"/>
  <c r="J656" i="72"/>
  <c r="J657" i="72"/>
  <c r="J658" i="72"/>
  <c r="J659" i="72"/>
  <c r="J660" i="72"/>
  <c r="J661" i="72"/>
  <c r="J662" i="72"/>
  <c r="J663" i="72"/>
  <c r="J664" i="72"/>
  <c r="J665" i="72"/>
  <c r="J666" i="72"/>
  <c r="J667" i="72"/>
  <c r="J668" i="72"/>
  <c r="J669" i="72"/>
  <c r="J670" i="72"/>
  <c r="J671" i="72"/>
  <c r="J672" i="72"/>
  <c r="J673" i="72"/>
  <c r="J674" i="72"/>
  <c r="J675" i="72"/>
  <c r="J676" i="72"/>
  <c r="J677" i="72"/>
  <c r="J678" i="72"/>
  <c r="J679" i="72"/>
  <c r="J680" i="72"/>
  <c r="J681" i="72"/>
  <c r="J682" i="72"/>
  <c r="J683" i="72"/>
  <c r="J684" i="72"/>
  <c r="J685" i="72"/>
  <c r="J686" i="72"/>
  <c r="J687" i="72"/>
  <c r="J688" i="72"/>
  <c r="J689" i="72"/>
  <c r="J690" i="72"/>
  <c r="J691" i="72"/>
  <c r="J692" i="72"/>
  <c r="J693" i="72"/>
  <c r="J694" i="72"/>
  <c r="J695" i="72"/>
  <c r="J696" i="72"/>
  <c r="J697" i="72"/>
  <c r="J698" i="72"/>
  <c r="J699" i="72"/>
  <c r="J700" i="72"/>
  <c r="J701" i="72"/>
  <c r="J702" i="72"/>
  <c r="J703" i="72"/>
  <c r="J704" i="72"/>
  <c r="J705" i="72"/>
  <c r="J706" i="72"/>
  <c r="J707" i="72"/>
  <c r="J708" i="72"/>
  <c r="J709" i="72"/>
  <c r="J710" i="72"/>
  <c r="J711" i="72"/>
  <c r="J712" i="72"/>
  <c r="J713" i="72"/>
  <c r="J714" i="72"/>
  <c r="J715" i="72"/>
  <c r="J716" i="72"/>
  <c r="J717" i="72"/>
  <c r="J718" i="72"/>
  <c r="J719" i="72"/>
  <c r="J720" i="72"/>
  <c r="J721" i="72"/>
  <c r="J722" i="72"/>
  <c r="J723" i="72"/>
  <c r="J724" i="72"/>
  <c r="J725" i="72"/>
  <c r="J726" i="72"/>
  <c r="J727" i="72"/>
  <c r="J728" i="72"/>
  <c r="J729" i="72"/>
  <c r="J730" i="72"/>
  <c r="J731" i="72"/>
  <c r="J732" i="72"/>
  <c r="J733" i="72"/>
  <c r="J734" i="72"/>
  <c r="J735" i="72"/>
  <c r="J736" i="72"/>
  <c r="J737" i="72"/>
  <c r="J738" i="72"/>
  <c r="J739" i="72"/>
  <c r="J740" i="72"/>
  <c r="J741" i="72"/>
  <c r="J742" i="72"/>
  <c r="J743" i="72"/>
  <c r="J744" i="72"/>
  <c r="J745" i="72"/>
  <c r="J746" i="72"/>
  <c r="J747" i="72"/>
  <c r="J748" i="72"/>
  <c r="J749" i="72"/>
  <c r="J750" i="72"/>
  <c r="J751" i="72"/>
  <c r="J752" i="72"/>
  <c r="J753" i="72"/>
  <c r="J754" i="72"/>
  <c r="J755" i="72"/>
  <c r="J756" i="72"/>
  <c r="J757" i="72"/>
  <c r="J758" i="72"/>
  <c r="J759" i="72"/>
  <c r="J760" i="72"/>
  <c r="J761" i="72"/>
  <c r="J762" i="72"/>
  <c r="J763" i="72"/>
  <c r="J764" i="72"/>
  <c r="J765" i="72"/>
  <c r="J766" i="72"/>
  <c r="J767" i="72"/>
  <c r="J768" i="72"/>
  <c r="J769" i="72"/>
  <c r="J770" i="72"/>
  <c r="J771" i="72"/>
  <c r="J772" i="72"/>
  <c r="J773" i="72"/>
  <c r="J774" i="72"/>
  <c r="J775" i="72"/>
  <c r="J776" i="72"/>
  <c r="J777" i="72"/>
  <c r="J778" i="72"/>
  <c r="J779" i="72"/>
  <c r="J780" i="72"/>
  <c r="J781" i="72"/>
  <c r="J782" i="72"/>
  <c r="J783" i="72"/>
  <c r="J784" i="72"/>
  <c r="J785" i="72"/>
  <c r="J786" i="72"/>
  <c r="J787" i="72"/>
  <c r="J788" i="72"/>
  <c r="J789" i="72"/>
  <c r="J790" i="72"/>
  <c r="J791" i="72"/>
  <c r="J792" i="72"/>
  <c r="J793" i="72"/>
  <c r="J794" i="72"/>
  <c r="J795" i="72"/>
  <c r="J796" i="72"/>
  <c r="J797" i="72"/>
  <c r="J798" i="72"/>
  <c r="J799" i="72"/>
  <c r="J800" i="72"/>
  <c r="J801" i="72"/>
  <c r="J802" i="72"/>
  <c r="J803" i="72"/>
  <c r="J804" i="72"/>
  <c r="J805" i="72"/>
  <c r="J806" i="72"/>
  <c r="J807" i="72"/>
  <c r="J808" i="72"/>
  <c r="J809" i="72"/>
  <c r="J810" i="72"/>
  <c r="J811" i="72"/>
  <c r="J812" i="72"/>
  <c r="J813" i="72"/>
  <c r="J814" i="72"/>
  <c r="J815" i="72"/>
  <c r="J816" i="72"/>
  <c r="J817" i="72"/>
  <c r="J818" i="72"/>
  <c r="J819" i="72"/>
  <c r="J820" i="72"/>
  <c r="J821" i="72"/>
  <c r="J822" i="72"/>
  <c r="J823" i="72"/>
  <c r="J824" i="72"/>
  <c r="J825" i="72"/>
  <c r="J826" i="72"/>
  <c r="J827" i="72"/>
  <c r="J828" i="72"/>
  <c r="J829" i="72"/>
  <c r="J830" i="72"/>
  <c r="J831" i="72"/>
  <c r="J832" i="72"/>
  <c r="J833" i="72"/>
  <c r="J834" i="72"/>
  <c r="J835" i="72"/>
  <c r="J836" i="72"/>
  <c r="J837" i="72"/>
  <c r="J838" i="72"/>
  <c r="J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I118" i="72"/>
  <c r="I119" i="72"/>
  <c r="I120" i="72"/>
  <c r="I121" i="72"/>
  <c r="I122" i="72"/>
  <c r="I123" i="72"/>
  <c r="I124" i="72"/>
  <c r="I125" i="72"/>
  <c r="I126" i="72"/>
  <c r="I127" i="72"/>
  <c r="I128" i="72"/>
  <c r="I129" i="72"/>
  <c r="I130" i="72"/>
  <c r="I131" i="72"/>
  <c r="I132" i="72"/>
  <c r="I133" i="72"/>
  <c r="I134" i="72"/>
  <c r="I135" i="72"/>
  <c r="I136" i="72"/>
  <c r="I137" i="72"/>
  <c r="I138" i="72"/>
  <c r="I139" i="72"/>
  <c r="I140" i="72"/>
  <c r="I141" i="72"/>
  <c r="I142" i="72"/>
  <c r="I143" i="72"/>
  <c r="I144" i="72"/>
  <c r="I145" i="72"/>
  <c r="I146" i="72"/>
  <c r="I147" i="72"/>
  <c r="I148" i="72"/>
  <c r="I149" i="72"/>
  <c r="I150" i="72"/>
  <c r="I151" i="72"/>
  <c r="I152" i="72"/>
  <c r="I153" i="72"/>
  <c r="I154" i="72"/>
  <c r="I155" i="72"/>
  <c r="I156" i="72"/>
  <c r="I157" i="72"/>
  <c r="I158" i="72"/>
  <c r="I159" i="72"/>
  <c r="I160" i="72"/>
  <c r="I161" i="72"/>
  <c r="I162" i="72"/>
  <c r="I163" i="72"/>
  <c r="I164" i="72"/>
  <c r="I165" i="72"/>
  <c r="I166" i="72"/>
  <c r="I167" i="72"/>
  <c r="I168" i="72"/>
  <c r="I169" i="72"/>
  <c r="I170" i="72"/>
  <c r="I171" i="72"/>
  <c r="I172" i="72"/>
  <c r="I173" i="72"/>
  <c r="I174" i="72"/>
  <c r="I175" i="72"/>
  <c r="I176" i="72"/>
  <c r="I177" i="72"/>
  <c r="I178" i="72"/>
  <c r="I179" i="72"/>
  <c r="I180" i="72"/>
  <c r="I181" i="72"/>
  <c r="I182" i="72"/>
  <c r="I183" i="72"/>
  <c r="I184" i="72"/>
  <c r="I185" i="72"/>
  <c r="I186" i="72"/>
  <c r="I187" i="72"/>
  <c r="I188" i="72"/>
  <c r="I189" i="72"/>
  <c r="I190" i="72"/>
  <c r="I191" i="72"/>
  <c r="I192" i="72"/>
  <c r="I193" i="72"/>
  <c r="I194" i="72"/>
  <c r="I195" i="72"/>
  <c r="I196" i="72"/>
  <c r="I197" i="72"/>
  <c r="I198" i="72"/>
  <c r="I199" i="72"/>
  <c r="I200" i="72"/>
  <c r="I201" i="72"/>
  <c r="I202" i="72"/>
  <c r="I203" i="72"/>
  <c r="I204" i="72"/>
  <c r="I205" i="72"/>
  <c r="I206" i="72"/>
  <c r="I207" i="72"/>
  <c r="I208" i="72"/>
  <c r="I209" i="72"/>
  <c r="I210" i="72"/>
  <c r="I211" i="72"/>
  <c r="I212" i="72"/>
  <c r="I213" i="72"/>
  <c r="I214" i="72"/>
  <c r="I215" i="72"/>
  <c r="I216" i="72"/>
  <c r="I217" i="72"/>
  <c r="I218" i="72"/>
  <c r="I219" i="72"/>
  <c r="I220" i="72"/>
  <c r="I221" i="72"/>
  <c r="I222" i="72"/>
  <c r="I223" i="72"/>
  <c r="I224" i="72"/>
  <c r="I225" i="72"/>
  <c r="I226" i="72"/>
  <c r="I227" i="72"/>
  <c r="I228" i="72"/>
  <c r="I229" i="72"/>
  <c r="I230" i="72"/>
  <c r="I231" i="72"/>
  <c r="I232" i="72"/>
  <c r="I233" i="72"/>
  <c r="I234" i="72"/>
  <c r="I235" i="72"/>
  <c r="I236" i="72"/>
  <c r="I237" i="72"/>
  <c r="I238" i="72"/>
  <c r="I239" i="72"/>
  <c r="I240" i="72"/>
  <c r="I241" i="72"/>
  <c r="I242" i="72"/>
  <c r="I243" i="72"/>
  <c r="I244" i="72"/>
  <c r="I245" i="72"/>
  <c r="I246" i="72"/>
  <c r="I247" i="72"/>
  <c r="I248" i="72"/>
  <c r="I249" i="72"/>
  <c r="I250" i="72"/>
  <c r="I251" i="72"/>
  <c r="I252" i="72"/>
  <c r="I253" i="72"/>
  <c r="I254" i="72"/>
  <c r="I255" i="72"/>
  <c r="I256" i="72"/>
  <c r="I257" i="72"/>
  <c r="I258" i="72"/>
  <c r="I259" i="72"/>
  <c r="I260" i="72"/>
  <c r="I261" i="72"/>
  <c r="I262" i="72"/>
  <c r="I263" i="72"/>
  <c r="I264" i="72"/>
  <c r="I265" i="72"/>
  <c r="I266" i="72"/>
  <c r="I267" i="72"/>
  <c r="I268" i="72"/>
  <c r="I269" i="72"/>
  <c r="I270" i="72"/>
  <c r="I271" i="72"/>
  <c r="I272" i="72"/>
  <c r="I273" i="72"/>
  <c r="I274" i="72"/>
  <c r="I275" i="72"/>
  <c r="I276" i="72"/>
  <c r="I277" i="72"/>
  <c r="I278" i="72"/>
  <c r="I279" i="72"/>
  <c r="I280" i="72"/>
  <c r="I281" i="72"/>
  <c r="I282" i="72"/>
  <c r="I283" i="72"/>
  <c r="I284" i="72"/>
  <c r="I285" i="72"/>
  <c r="I286" i="72"/>
  <c r="I287" i="72"/>
  <c r="I288" i="72"/>
  <c r="I289" i="72"/>
  <c r="I290" i="72"/>
  <c r="I291" i="72"/>
  <c r="I292" i="72"/>
  <c r="I293" i="72"/>
  <c r="I294" i="72"/>
  <c r="I295" i="72"/>
  <c r="I296" i="72"/>
  <c r="I297" i="72"/>
  <c r="I298" i="72"/>
  <c r="I299" i="72"/>
  <c r="I300" i="72"/>
  <c r="I301" i="72"/>
  <c r="I302" i="72"/>
  <c r="I303" i="72"/>
  <c r="I304" i="72"/>
  <c r="I305" i="72"/>
  <c r="I306" i="72"/>
  <c r="I307" i="72"/>
  <c r="I308" i="72"/>
  <c r="I309" i="72"/>
  <c r="I310" i="72"/>
  <c r="I311" i="72"/>
  <c r="I312" i="72"/>
  <c r="I313" i="72"/>
  <c r="I314" i="72"/>
  <c r="I315" i="72"/>
  <c r="I316" i="72"/>
  <c r="I317" i="72"/>
  <c r="I318" i="72"/>
  <c r="I319" i="72"/>
  <c r="I320" i="72"/>
  <c r="I321" i="72"/>
  <c r="I322" i="72"/>
  <c r="I323" i="72"/>
  <c r="I324" i="72"/>
  <c r="I325" i="72"/>
  <c r="I326" i="72"/>
  <c r="I327" i="72"/>
  <c r="I328" i="72"/>
  <c r="I329" i="72"/>
  <c r="I330" i="72"/>
  <c r="I331" i="72"/>
  <c r="I332" i="72"/>
  <c r="I333" i="72"/>
  <c r="I334" i="72"/>
  <c r="I335" i="72"/>
  <c r="I336" i="72"/>
  <c r="I337" i="72"/>
  <c r="I338" i="72"/>
  <c r="I339" i="72"/>
  <c r="I340" i="72"/>
  <c r="I341" i="72"/>
  <c r="I342" i="72"/>
  <c r="I343" i="72"/>
  <c r="I344" i="72"/>
  <c r="I345" i="72"/>
  <c r="I346" i="72"/>
  <c r="I347" i="72"/>
  <c r="I348" i="72"/>
  <c r="I349" i="72"/>
  <c r="I350" i="72"/>
  <c r="I351" i="72"/>
  <c r="I352" i="72"/>
  <c r="I353" i="72"/>
  <c r="I354" i="72"/>
  <c r="I355" i="72"/>
  <c r="I356" i="72"/>
  <c r="I357" i="72"/>
  <c r="I358" i="72"/>
  <c r="I359" i="72"/>
  <c r="I360" i="72"/>
  <c r="I361" i="72"/>
  <c r="I362" i="72"/>
  <c r="I363" i="72"/>
  <c r="I364" i="72"/>
  <c r="I365" i="72"/>
  <c r="I366" i="72"/>
  <c r="I367" i="72"/>
  <c r="I368" i="72"/>
  <c r="I369" i="72"/>
  <c r="I370" i="72"/>
  <c r="I371" i="72"/>
  <c r="I372" i="72"/>
  <c r="I373" i="72"/>
  <c r="I374" i="72"/>
  <c r="I375" i="72"/>
  <c r="I376" i="72"/>
  <c r="I377" i="72"/>
  <c r="I378" i="72"/>
  <c r="I379" i="72"/>
  <c r="I380" i="72"/>
  <c r="I381" i="72"/>
  <c r="I382" i="72"/>
  <c r="I383" i="72"/>
  <c r="I384" i="72"/>
  <c r="I385" i="72"/>
  <c r="I386" i="72"/>
  <c r="I387" i="72"/>
  <c r="I388" i="72"/>
  <c r="I389" i="72"/>
  <c r="I390" i="72"/>
  <c r="I391" i="72"/>
  <c r="I392" i="72"/>
  <c r="I393" i="72"/>
  <c r="I394" i="72"/>
  <c r="I395" i="72"/>
  <c r="I396" i="72"/>
  <c r="I397" i="72"/>
  <c r="I398" i="72"/>
  <c r="I399" i="72"/>
  <c r="I400" i="72"/>
  <c r="I401" i="72"/>
  <c r="I402" i="72"/>
  <c r="I403" i="72"/>
  <c r="I404" i="72"/>
  <c r="I405" i="72"/>
  <c r="I406" i="72"/>
  <c r="I407" i="72"/>
  <c r="I408" i="72"/>
  <c r="I410" i="72"/>
  <c r="I411" i="72"/>
  <c r="I412" i="72"/>
  <c r="I413" i="72"/>
  <c r="I414" i="72"/>
  <c r="I415" i="72"/>
  <c r="I416" i="72"/>
  <c r="I417" i="72"/>
  <c r="I418" i="72"/>
  <c r="I419" i="72"/>
  <c r="I420" i="72"/>
  <c r="I421" i="72"/>
  <c r="I422" i="72"/>
  <c r="I423" i="72"/>
  <c r="I424" i="72"/>
  <c r="I425" i="72"/>
  <c r="I426" i="72"/>
  <c r="I427" i="72"/>
  <c r="I428" i="72"/>
  <c r="I429" i="72"/>
  <c r="I430" i="72"/>
  <c r="I431" i="72"/>
  <c r="I432" i="72"/>
  <c r="I433" i="72"/>
  <c r="I434" i="72"/>
  <c r="I435" i="72"/>
  <c r="I436" i="72"/>
  <c r="I437" i="72"/>
  <c r="I438" i="72"/>
  <c r="I439" i="72"/>
  <c r="I440" i="72"/>
  <c r="I441" i="72"/>
  <c r="I442" i="72"/>
  <c r="I443" i="72"/>
  <c r="I444" i="72"/>
  <c r="I445" i="72"/>
  <c r="I446" i="72"/>
  <c r="I447" i="72"/>
  <c r="I448" i="72"/>
  <c r="I449" i="72"/>
  <c r="I450" i="72"/>
  <c r="I451" i="72"/>
  <c r="I452" i="72"/>
  <c r="I453" i="72"/>
  <c r="I454" i="72"/>
  <c r="I455" i="72"/>
  <c r="I456" i="72"/>
  <c r="I457" i="72"/>
  <c r="I458" i="72"/>
  <c r="I459" i="72"/>
  <c r="I460" i="72"/>
  <c r="I461" i="72"/>
  <c r="I462" i="72"/>
  <c r="I463" i="72"/>
  <c r="I464" i="72"/>
  <c r="I465" i="72"/>
  <c r="I466" i="72"/>
  <c r="I467" i="72"/>
  <c r="I468" i="72"/>
  <c r="I469" i="72"/>
  <c r="I470" i="72"/>
  <c r="I471" i="72"/>
  <c r="I472" i="72"/>
  <c r="I473" i="72"/>
  <c r="I474" i="72"/>
  <c r="I475" i="72"/>
  <c r="I476" i="72"/>
  <c r="I477" i="72"/>
  <c r="I478" i="72"/>
  <c r="I479" i="72"/>
  <c r="I480" i="72"/>
  <c r="I481" i="72"/>
  <c r="I482" i="72"/>
  <c r="I483" i="72"/>
  <c r="I484" i="72"/>
  <c r="I485" i="72"/>
  <c r="I486" i="72"/>
  <c r="I487" i="72"/>
  <c r="I488" i="72"/>
  <c r="I489" i="72"/>
  <c r="I490" i="72"/>
  <c r="I491" i="72"/>
  <c r="I492" i="72"/>
  <c r="I493" i="72"/>
  <c r="I494" i="72"/>
  <c r="I495" i="72"/>
  <c r="I496" i="72"/>
  <c r="I497" i="72"/>
  <c r="I498" i="72"/>
  <c r="I499" i="72"/>
  <c r="I500" i="72"/>
  <c r="I501" i="72"/>
  <c r="I502" i="72"/>
  <c r="I503" i="72"/>
  <c r="I504" i="72"/>
  <c r="I505" i="72"/>
  <c r="I506" i="72"/>
  <c r="I507" i="72"/>
  <c r="I508" i="72"/>
  <c r="I509" i="72"/>
  <c r="I510" i="72"/>
  <c r="I511" i="72"/>
  <c r="I512" i="72"/>
  <c r="I513" i="72"/>
  <c r="I514" i="72"/>
  <c r="I515" i="72"/>
  <c r="I516" i="72"/>
  <c r="I517" i="72"/>
  <c r="I518" i="72"/>
  <c r="I519" i="72"/>
  <c r="I520" i="72"/>
  <c r="I521" i="72"/>
  <c r="I522" i="72"/>
  <c r="I523" i="72"/>
  <c r="I524" i="72"/>
  <c r="I525" i="72"/>
  <c r="I526" i="72"/>
  <c r="I527" i="72"/>
  <c r="I528" i="72"/>
  <c r="I529" i="72"/>
  <c r="I530" i="72"/>
  <c r="I531" i="72"/>
  <c r="I532" i="72"/>
  <c r="I533" i="72"/>
  <c r="I534" i="72"/>
  <c r="I535" i="72"/>
  <c r="I536" i="72"/>
  <c r="I537" i="72"/>
  <c r="I538" i="72"/>
  <c r="I539" i="72"/>
  <c r="I540" i="72"/>
  <c r="I541" i="72"/>
  <c r="I542" i="72"/>
  <c r="I543" i="72"/>
  <c r="I544" i="72"/>
  <c r="I545" i="72"/>
  <c r="I546" i="72"/>
  <c r="I547" i="72"/>
  <c r="I548" i="72"/>
  <c r="I549" i="72"/>
  <c r="I550" i="72"/>
  <c r="I551" i="72"/>
  <c r="I552" i="72"/>
  <c r="I553" i="72"/>
  <c r="I554" i="72"/>
  <c r="I555" i="72"/>
  <c r="I556" i="72"/>
  <c r="I557" i="72"/>
  <c r="I558" i="72"/>
  <c r="I559" i="72"/>
  <c r="I560" i="72"/>
  <c r="I561" i="72"/>
  <c r="I562" i="72"/>
  <c r="I563" i="72"/>
  <c r="I564" i="72"/>
  <c r="I565" i="72"/>
  <c r="I566" i="72"/>
  <c r="I567" i="72"/>
  <c r="I568" i="72"/>
  <c r="I569" i="72"/>
  <c r="I570" i="72"/>
  <c r="I571" i="72"/>
  <c r="I572" i="72"/>
  <c r="I573" i="72"/>
  <c r="I574" i="72"/>
  <c r="I575" i="72"/>
  <c r="I576" i="72"/>
  <c r="I577" i="72"/>
  <c r="I578" i="72"/>
  <c r="I579" i="72"/>
  <c r="I580" i="72"/>
  <c r="I581" i="72"/>
  <c r="I582" i="72"/>
  <c r="I583" i="72"/>
  <c r="I584" i="72"/>
  <c r="I585" i="72"/>
  <c r="I586" i="72"/>
  <c r="I587" i="72"/>
  <c r="I588" i="72"/>
  <c r="I589" i="72"/>
  <c r="I590" i="72"/>
  <c r="I591" i="72"/>
  <c r="I592" i="72"/>
  <c r="I593" i="72"/>
  <c r="I594" i="72"/>
  <c r="I595" i="72"/>
  <c r="I596" i="72"/>
  <c r="I597" i="72"/>
  <c r="I598" i="72"/>
  <c r="I599" i="72"/>
  <c r="I600" i="72"/>
  <c r="I601" i="72"/>
  <c r="I602" i="72"/>
  <c r="I603" i="72"/>
  <c r="I604" i="72"/>
  <c r="I605" i="72"/>
  <c r="I606" i="72"/>
  <c r="I607" i="72"/>
  <c r="I608" i="72"/>
  <c r="I609" i="72"/>
  <c r="I610" i="72"/>
  <c r="I611" i="72"/>
  <c r="I612" i="72"/>
  <c r="I613" i="72"/>
  <c r="I614" i="72"/>
  <c r="I615" i="72"/>
  <c r="I616" i="72"/>
  <c r="I617" i="72"/>
  <c r="I618" i="72"/>
  <c r="I619" i="72"/>
  <c r="I620" i="72"/>
  <c r="I621" i="72"/>
  <c r="I622" i="72"/>
  <c r="I623" i="72"/>
  <c r="I624" i="72"/>
  <c r="I625" i="72"/>
  <c r="I626" i="72"/>
  <c r="I627" i="72"/>
  <c r="I628" i="72"/>
  <c r="I629" i="72"/>
  <c r="I630" i="72"/>
  <c r="I631" i="72"/>
  <c r="I632" i="72"/>
  <c r="I633" i="72"/>
  <c r="I634" i="72"/>
  <c r="I635" i="72"/>
  <c r="I636" i="72"/>
  <c r="I637" i="72"/>
  <c r="I638" i="72"/>
  <c r="I639" i="72"/>
  <c r="I640" i="72"/>
  <c r="I641" i="72"/>
  <c r="I642" i="72"/>
  <c r="I643" i="72"/>
  <c r="I644" i="72"/>
  <c r="I645" i="72"/>
  <c r="I646" i="72"/>
  <c r="I647" i="72"/>
  <c r="I648" i="72"/>
  <c r="I649" i="72"/>
  <c r="I650" i="72"/>
  <c r="I651" i="72"/>
  <c r="I652" i="72"/>
  <c r="I653" i="72"/>
  <c r="I654" i="72"/>
  <c r="I655" i="72"/>
  <c r="I656" i="72"/>
  <c r="I657" i="72"/>
  <c r="I658" i="72"/>
  <c r="I659" i="72"/>
  <c r="I660" i="72"/>
  <c r="I661" i="72"/>
  <c r="I662" i="72"/>
  <c r="I663" i="72"/>
  <c r="I664" i="72"/>
  <c r="I665" i="72"/>
  <c r="I666" i="72"/>
  <c r="I667" i="72"/>
  <c r="I668" i="72"/>
  <c r="I669" i="72"/>
  <c r="I670" i="72"/>
  <c r="I671" i="72"/>
  <c r="I672" i="72"/>
  <c r="I673" i="72"/>
  <c r="I674" i="72"/>
  <c r="I675" i="72"/>
  <c r="I676" i="72"/>
  <c r="I677" i="72"/>
  <c r="I678" i="72"/>
  <c r="I679" i="72"/>
  <c r="I680" i="72"/>
  <c r="I681" i="72"/>
  <c r="I682" i="72"/>
  <c r="I683" i="72"/>
  <c r="I684" i="72"/>
  <c r="I685" i="72"/>
  <c r="I686" i="72"/>
  <c r="I687" i="72"/>
  <c r="I688" i="72"/>
  <c r="I689" i="72"/>
  <c r="I690" i="72"/>
  <c r="I691" i="72"/>
  <c r="I692" i="72"/>
  <c r="I693" i="72"/>
  <c r="I694" i="72"/>
  <c r="I695" i="72"/>
  <c r="I696" i="72"/>
  <c r="I697" i="72"/>
  <c r="I698" i="72"/>
  <c r="I699" i="72"/>
  <c r="I700" i="72"/>
  <c r="I701" i="72"/>
  <c r="I702" i="72"/>
  <c r="I703" i="72"/>
  <c r="I704" i="72"/>
  <c r="I705" i="72"/>
  <c r="I706" i="72"/>
  <c r="I707" i="72"/>
  <c r="I708" i="72"/>
  <c r="I709" i="72"/>
  <c r="I710" i="72"/>
  <c r="I711" i="72"/>
  <c r="I712" i="72"/>
  <c r="I713" i="72"/>
  <c r="I714" i="72"/>
  <c r="I715" i="72"/>
  <c r="I716" i="72"/>
  <c r="I717" i="72"/>
  <c r="I718" i="72"/>
  <c r="I719" i="72"/>
  <c r="I720" i="72"/>
  <c r="I721" i="72"/>
  <c r="I722" i="72"/>
  <c r="I723" i="72"/>
  <c r="I724" i="72"/>
  <c r="I725" i="72"/>
  <c r="I726" i="72"/>
  <c r="I727" i="72"/>
  <c r="I728" i="72"/>
  <c r="I729" i="72"/>
  <c r="I730" i="72"/>
  <c r="I731" i="72"/>
  <c r="I732" i="72"/>
  <c r="I733" i="72"/>
  <c r="I734" i="72"/>
  <c r="I735" i="72"/>
  <c r="I736" i="72"/>
  <c r="I737" i="72"/>
  <c r="I738" i="72"/>
  <c r="I739" i="72"/>
  <c r="I740" i="72"/>
  <c r="I741" i="72"/>
  <c r="I742" i="72"/>
  <c r="I743" i="72"/>
  <c r="I744" i="72"/>
  <c r="I745" i="72"/>
  <c r="I746" i="72"/>
  <c r="I747" i="72"/>
  <c r="I748" i="72"/>
  <c r="I749" i="72"/>
  <c r="I750" i="72"/>
  <c r="I751" i="72"/>
  <c r="I752" i="72"/>
  <c r="I753" i="72"/>
  <c r="I754" i="72"/>
  <c r="I755" i="72"/>
  <c r="I756" i="72"/>
  <c r="I757" i="72"/>
  <c r="I758" i="72"/>
  <c r="I759" i="72"/>
  <c r="I760" i="72"/>
  <c r="I761" i="72"/>
  <c r="I762" i="72"/>
  <c r="I763" i="72"/>
  <c r="I764" i="72"/>
  <c r="I765" i="72"/>
  <c r="I766" i="72"/>
  <c r="I767" i="72"/>
  <c r="I768" i="72"/>
  <c r="I769" i="72"/>
  <c r="I770" i="72"/>
  <c r="I771" i="72"/>
  <c r="I772" i="72"/>
  <c r="I773" i="72"/>
  <c r="I774" i="72"/>
  <c r="I775" i="72"/>
  <c r="I776" i="72"/>
  <c r="I777" i="72"/>
  <c r="I778" i="72"/>
  <c r="I779" i="72"/>
  <c r="I780" i="72"/>
  <c r="I781" i="72"/>
  <c r="I782" i="72"/>
  <c r="I783" i="72"/>
  <c r="I784" i="72"/>
  <c r="I785" i="72"/>
  <c r="I786" i="72"/>
  <c r="I787" i="72"/>
  <c r="I788" i="72"/>
  <c r="I789" i="72"/>
  <c r="I790" i="72"/>
  <c r="I791" i="72"/>
  <c r="I792" i="72"/>
  <c r="I793" i="72"/>
  <c r="I794" i="72"/>
  <c r="I795" i="72"/>
  <c r="I796" i="72"/>
  <c r="I797" i="72"/>
  <c r="I798" i="72"/>
  <c r="I799" i="72"/>
  <c r="I800" i="72"/>
  <c r="I801" i="72"/>
  <c r="I802" i="72"/>
  <c r="I803" i="72"/>
  <c r="I804" i="72"/>
  <c r="I805" i="72"/>
  <c r="I806" i="72"/>
  <c r="I807" i="72"/>
  <c r="I808" i="72"/>
  <c r="I809" i="72"/>
  <c r="I810" i="72"/>
  <c r="I811" i="72"/>
  <c r="I812" i="72"/>
  <c r="I813" i="72"/>
  <c r="I814" i="72"/>
  <c r="I815" i="72"/>
  <c r="I816" i="72"/>
  <c r="I817" i="72"/>
  <c r="I818" i="72"/>
  <c r="I819" i="72"/>
  <c r="I820" i="72"/>
  <c r="I821" i="72"/>
  <c r="I822" i="72"/>
  <c r="I823" i="72"/>
  <c r="I824" i="72"/>
  <c r="I825" i="72"/>
  <c r="I826" i="72"/>
  <c r="I827" i="72"/>
  <c r="I828" i="72"/>
  <c r="I829" i="72"/>
  <c r="I830" i="72"/>
  <c r="I831" i="72"/>
  <c r="I832" i="72"/>
  <c r="I833" i="72"/>
  <c r="I834" i="72"/>
  <c r="I836" i="72"/>
  <c r="I838" i="72"/>
  <c r="I16" i="72"/>
  <c r="AF173" i="72" l="1"/>
  <c r="AF317" i="72"/>
  <c r="AB317" i="72"/>
  <c r="AF364" i="72"/>
  <c r="AF266" i="72"/>
  <c r="AC93" i="72"/>
  <c r="AB398" i="72"/>
  <c r="AC173" i="72"/>
  <c r="AC364" i="72"/>
  <c r="AC430" i="72"/>
  <c r="AB337" i="72"/>
  <c r="AC110" i="72"/>
  <c r="AC311" i="72"/>
  <c r="AF430" i="72"/>
  <c r="AF394" i="72"/>
  <c r="AF93" i="72"/>
  <c r="AC270" i="72"/>
  <c r="AB141" i="72"/>
  <c r="AK34" i="72"/>
  <c r="AF110" i="72"/>
  <c r="AC337" i="72"/>
  <c r="AC141" i="72"/>
  <c r="AC394" i="72"/>
  <c r="AF203" i="72"/>
  <c r="AC266" i="72"/>
  <c r="AC203" i="72"/>
  <c r="AB747" i="72"/>
  <c r="AF747" i="72"/>
  <c r="AC747" i="72"/>
  <c r="AB713" i="72"/>
  <c r="AF713" i="72"/>
  <c r="AC713" i="72"/>
  <c r="AB208" i="72"/>
  <c r="AF208" i="72"/>
  <c r="AC208" i="72"/>
  <c r="AB488" i="72"/>
  <c r="AF488" i="72"/>
  <c r="AC488" i="72"/>
  <c r="AB695" i="72"/>
  <c r="AF695" i="72"/>
  <c r="AC695" i="72"/>
  <c r="AB218" i="72"/>
  <c r="AF218" i="72"/>
  <c r="AC218" i="72"/>
  <c r="AB720" i="72"/>
  <c r="AF720" i="72"/>
  <c r="AC720" i="72"/>
  <c r="AB280" i="72"/>
  <c r="AF280" i="72"/>
  <c r="AC280" i="72"/>
  <c r="AB481" i="72"/>
  <c r="AF481" i="72"/>
  <c r="AC481" i="72"/>
  <c r="AB163" i="72"/>
  <c r="AF163" i="72"/>
  <c r="AC163" i="72"/>
  <c r="AB560" i="72"/>
  <c r="AF560" i="72"/>
  <c r="AC560" i="72"/>
  <c r="AB611" i="72"/>
  <c r="AF611" i="72"/>
  <c r="AC611" i="72"/>
  <c r="AB751" i="72"/>
  <c r="AF751" i="72"/>
  <c r="AC751" i="72"/>
  <c r="AB830" i="72"/>
  <c r="AF830" i="72"/>
  <c r="AC830" i="72"/>
  <c r="AF441" i="72"/>
  <c r="AC441" i="72"/>
  <c r="AB255" i="72"/>
  <c r="AF255" i="72"/>
  <c r="AC255" i="72"/>
  <c r="AB122" i="72"/>
  <c r="AF122" i="72"/>
  <c r="AC122" i="72"/>
  <c r="AB119" i="72"/>
  <c r="AF119" i="72"/>
  <c r="AC119" i="72"/>
  <c r="AB594" i="72"/>
  <c r="AF594" i="72"/>
  <c r="AC594" i="72"/>
  <c r="AB96" i="72"/>
  <c r="AF96" i="72"/>
  <c r="AC96" i="72"/>
  <c r="AB599" i="72"/>
  <c r="AF599" i="72"/>
  <c r="AC599" i="72"/>
  <c r="AF565" i="72"/>
  <c r="AC565" i="72"/>
  <c r="AB800" i="72"/>
  <c r="AF800" i="72"/>
  <c r="AC800" i="72"/>
  <c r="AB743" i="72"/>
  <c r="AF743" i="72"/>
  <c r="AC743" i="72"/>
  <c r="AB355" i="72"/>
  <c r="AF355" i="72"/>
  <c r="AC355" i="72"/>
  <c r="AB790" i="72"/>
  <c r="AF790" i="72"/>
  <c r="AC790" i="72"/>
  <c r="AB137" i="72"/>
  <c r="AF137" i="72"/>
  <c r="AC137" i="72"/>
  <c r="AB681" i="72"/>
  <c r="AF681" i="72"/>
  <c r="AC681" i="72"/>
  <c r="AB811" i="72"/>
  <c r="AF811" i="72"/>
  <c r="AB183" i="72"/>
  <c r="AF183" i="72"/>
  <c r="AC183" i="72"/>
  <c r="AB727" i="72"/>
  <c r="AF727" i="72"/>
  <c r="AC727" i="72"/>
  <c r="AB126" i="72"/>
  <c r="AF126" i="72"/>
  <c r="AC126" i="72"/>
  <c r="AB451" i="72"/>
  <c r="AF451" i="72"/>
  <c r="AC451" i="72"/>
  <c r="AB815" i="72"/>
  <c r="AF815" i="72"/>
  <c r="AC815" i="72"/>
  <c r="AB783" i="72"/>
  <c r="AF783" i="72"/>
  <c r="AC783" i="72"/>
  <c r="AB32" i="72"/>
  <c r="AF32" i="72"/>
  <c r="AC32" i="72"/>
  <c r="AB478" i="72"/>
  <c r="AF478" i="72"/>
  <c r="AC478" i="72"/>
  <c r="AB779" i="72"/>
  <c r="AF779" i="72"/>
  <c r="AC779" i="72"/>
  <c r="AB704" i="72"/>
  <c r="AF704" i="72"/>
  <c r="AC704" i="72"/>
  <c r="AB130" i="72"/>
  <c r="AF130" i="72"/>
  <c r="AC130" i="72"/>
  <c r="AB227" i="72"/>
  <c r="AF227" i="72"/>
  <c r="AB91" i="72"/>
  <c r="AF91" i="72"/>
  <c r="AC91" i="72"/>
  <c r="AB346" i="72"/>
  <c r="AF346" i="72"/>
  <c r="AC346" i="72"/>
  <c r="AB723" i="72"/>
  <c r="AF723" i="72"/>
  <c r="AC723" i="72"/>
  <c r="AB153" i="72"/>
  <c r="AF153" i="72"/>
  <c r="AC153" i="72"/>
  <c r="AB513" i="72"/>
  <c r="AF513" i="72"/>
  <c r="AC513" i="72"/>
  <c r="AB731" i="72"/>
  <c r="AF731" i="72"/>
  <c r="AC731" i="72"/>
  <c r="AB714" i="72"/>
  <c r="AF714" i="72"/>
  <c r="AC714" i="72"/>
  <c r="AB684" i="72"/>
  <c r="AF684" i="72"/>
  <c r="AC684" i="72"/>
  <c r="AB551" i="72"/>
  <c r="AF551" i="72"/>
  <c r="AC551" i="72"/>
  <c r="AB729" i="72"/>
  <c r="AF729" i="72"/>
  <c r="AC729" i="72"/>
  <c r="AB835" i="72"/>
  <c r="AF835" i="72"/>
  <c r="AC835" i="72"/>
  <c r="AB572" i="72"/>
  <c r="AF572" i="72"/>
  <c r="AC572" i="72"/>
  <c r="AB158" i="72"/>
  <c r="AF158" i="72"/>
  <c r="AC158" i="72"/>
  <c r="AB774" i="72"/>
  <c r="AF774" i="72"/>
  <c r="AC774" i="72"/>
  <c r="AB809" i="72"/>
  <c r="AF809" i="72"/>
  <c r="AB191" i="72"/>
  <c r="AF191" i="72"/>
  <c r="AC191" i="72"/>
  <c r="AB823" i="72"/>
  <c r="AF823" i="72"/>
  <c r="AC823" i="72"/>
  <c r="AB314" i="72"/>
  <c r="AF314" i="72"/>
  <c r="AC314" i="72"/>
  <c r="AB113" i="72"/>
  <c r="AF113" i="72"/>
  <c r="AB535" i="72"/>
  <c r="AF535" i="72"/>
  <c r="AC535" i="72"/>
  <c r="AB279" i="72"/>
  <c r="AF279" i="72"/>
  <c r="AC279" i="72"/>
  <c r="AB785" i="72"/>
  <c r="AF785" i="72"/>
  <c r="AC785" i="72"/>
  <c r="AB801" i="72"/>
  <c r="AF801" i="72"/>
  <c r="AC801" i="72"/>
  <c r="AB604" i="72"/>
  <c r="AF604" i="72"/>
  <c r="AC604" i="72"/>
  <c r="AB757" i="72"/>
  <c r="AF757" i="72"/>
  <c r="AC757" i="72"/>
  <c r="AB645" i="72"/>
  <c r="AF645" i="72"/>
  <c r="AC645" i="72"/>
  <c r="AB725" i="72"/>
  <c r="AF725" i="72"/>
  <c r="AC725" i="72"/>
  <c r="AB195" i="72"/>
  <c r="AF195" i="72"/>
  <c r="AC195" i="72"/>
  <c r="AB359" i="72"/>
  <c r="AF359" i="72"/>
  <c r="AC359" i="72"/>
  <c r="AF442" i="72"/>
  <c r="AC442" i="72"/>
  <c r="AB417" i="72"/>
  <c r="AF417" i="72"/>
  <c r="AC417" i="72"/>
  <c r="C20" i="127"/>
  <c r="AF836" i="72"/>
  <c r="AB336" i="72"/>
  <c r="AF336" i="72"/>
  <c r="AC336" i="72"/>
  <c r="AB344" i="72"/>
  <c r="AF344" i="72"/>
  <c r="AB673" i="72"/>
  <c r="AF673" i="72"/>
  <c r="AB722" i="72"/>
  <c r="AF722" i="72"/>
  <c r="AC722" i="72"/>
  <c r="AB617" i="72"/>
  <c r="AF617" i="72"/>
  <c r="AC617" i="72"/>
  <c r="AB745" i="72"/>
  <c r="AF745" i="72"/>
  <c r="AC745" i="72"/>
  <c r="AB104" i="72"/>
  <c r="AF104" i="72"/>
  <c r="AC104" i="72"/>
  <c r="AB187" i="72"/>
  <c r="AF187" i="72"/>
  <c r="AC187" i="72"/>
  <c r="AB837" i="72"/>
  <c r="AF837" i="72"/>
  <c r="AB383" i="72"/>
  <c r="AF383" i="72"/>
  <c r="AC383" i="72"/>
  <c r="AB178" i="72"/>
  <c r="AF178" i="72"/>
  <c r="AC178" i="72"/>
  <c r="AF17" i="72"/>
  <c r="AC17" i="72"/>
  <c r="AB775" i="72"/>
  <c r="AF775" i="72"/>
  <c r="AC775" i="72"/>
  <c r="AB762" i="72"/>
  <c r="AF762" i="72"/>
  <c r="AC762" i="72"/>
  <c r="AB618" i="72"/>
  <c r="AF618" i="72"/>
  <c r="AC618" i="72"/>
  <c r="AB145" i="72"/>
  <c r="AF145" i="72"/>
  <c r="AC145" i="72"/>
  <c r="AB276" i="72"/>
  <c r="AF276" i="72"/>
  <c r="AC276" i="72"/>
  <c r="AK33" i="72"/>
  <c r="AK29" i="72"/>
  <c r="C16" i="127" s="1"/>
  <c r="AK32" i="72"/>
  <c r="C19" i="127" s="1"/>
  <c r="AK30" i="72"/>
  <c r="C17" i="127" s="1"/>
  <c r="AK28" i="72"/>
  <c r="C15" i="127" s="1"/>
  <c r="AK27" i="72"/>
  <c r="C14" i="127" s="1"/>
  <c r="AK31" i="72"/>
  <c r="C18" i="127" s="1"/>
  <c r="R839" i="72"/>
  <c r="H263" i="134" s="1"/>
  <c r="H264" i="134" s="1"/>
  <c r="O839" i="72"/>
  <c r="Q839" i="72"/>
  <c r="I839" i="72"/>
  <c r="J839" i="72"/>
  <c r="E16" i="127" l="1"/>
  <c r="E20" i="127"/>
  <c r="E18" i="127"/>
  <c r="E14" i="127"/>
  <c r="E15" i="127"/>
  <c r="E17" i="127"/>
  <c r="E19" i="127"/>
  <c r="C13" i="127"/>
  <c r="R847" i="72"/>
  <c r="R852" i="72" s="1"/>
  <c r="P839" i="72"/>
  <c r="R855" i="72" s="1"/>
  <c r="C42" i="127" l="1"/>
  <c r="C78" i="127" s="1"/>
  <c r="E13" i="127"/>
  <c r="G83" i="118"/>
  <c r="G96" i="118" s="1"/>
  <c r="Q855" i="72"/>
  <c r="P855" i="72"/>
  <c r="E26" i="127" l="1"/>
  <c r="E42" i="127"/>
  <c r="G110" i="132"/>
  <c r="H110" i="132" s="1"/>
  <c r="C71" i="127"/>
  <c r="E71" i="127" s="1"/>
  <c r="N56" i="127"/>
  <c r="V85" i="72"/>
  <c r="X85" i="72" s="1"/>
  <c r="V86" i="72"/>
  <c r="V87" i="72"/>
  <c r="AQ88" i="72"/>
  <c r="AQ89" i="72"/>
  <c r="V90" i="72"/>
  <c r="V91" i="72"/>
  <c r="AQ91" i="72" s="1"/>
  <c r="V92" i="72"/>
  <c r="V93" i="72"/>
  <c r="AQ93" i="72" s="1"/>
  <c r="V94" i="72"/>
  <c r="V95" i="72"/>
  <c r="V96" i="72"/>
  <c r="AQ96" i="72" s="1"/>
  <c r="V97" i="72"/>
  <c r="V98" i="72"/>
  <c r="AQ99" i="72"/>
  <c r="V102" i="72"/>
  <c r="V103" i="72"/>
  <c r="V104" i="72"/>
  <c r="AQ104" i="72" s="1"/>
  <c r="V105" i="72"/>
  <c r="V106" i="72"/>
  <c r="V107" i="72"/>
  <c r="AQ107" i="72" s="1"/>
  <c r="V108" i="72"/>
  <c r="V109" i="72"/>
  <c r="V110" i="72"/>
  <c r="AQ110" i="72" s="1"/>
  <c r="V111" i="72"/>
  <c r="V112" i="72"/>
  <c r="V113" i="72"/>
  <c r="V114" i="72"/>
  <c r="V115" i="72"/>
  <c r="V116" i="72"/>
  <c r="AQ118" i="72"/>
  <c r="AQ119" i="72"/>
  <c r="V120" i="72"/>
  <c r="V121" i="72"/>
  <c r="V122" i="72"/>
  <c r="AQ122" i="72" s="1"/>
  <c r="V123" i="72"/>
  <c r="V124" i="72"/>
  <c r="V125" i="72"/>
  <c r="V126" i="72"/>
  <c r="AQ126" i="72" s="1"/>
  <c r="V130" i="72"/>
  <c r="AQ130" i="72" s="1"/>
  <c r="V131" i="72"/>
  <c r="V132" i="72"/>
  <c r="V133" i="72"/>
  <c r="V134" i="72"/>
  <c r="V135" i="72"/>
  <c r="V136" i="72"/>
  <c r="AQ137" i="72"/>
  <c r="V138" i="72"/>
  <c r="V140" i="72"/>
  <c r="V141" i="72"/>
  <c r="AQ141" i="72" s="1"/>
  <c r="V142" i="72"/>
  <c r="V143" i="72"/>
  <c r="V144" i="72"/>
  <c r="V145" i="72"/>
  <c r="AQ145" i="72" s="1"/>
  <c r="V146" i="72"/>
  <c r="V148" i="72"/>
  <c r="V149" i="72"/>
  <c r="AQ149" i="72" s="1"/>
  <c r="V150" i="72"/>
  <c r="V152" i="72"/>
  <c r="V153" i="72"/>
  <c r="AQ153" i="72" s="1"/>
  <c r="V158" i="72"/>
  <c r="AQ158" i="72" s="1"/>
  <c r="V159" i="72"/>
  <c r="V160" i="72"/>
  <c r="V161" i="72"/>
  <c r="V162" i="72"/>
  <c r="V163" i="72"/>
  <c r="AQ163" i="72" s="1"/>
  <c r="V167" i="72"/>
  <c r="V168" i="72"/>
  <c r="AQ168" i="72" s="1"/>
  <c r="V169" i="72"/>
  <c r="V170" i="72"/>
  <c r="V171" i="72"/>
  <c r="V172" i="72"/>
  <c r="V173" i="72"/>
  <c r="AQ173" i="72" s="1"/>
  <c r="V174" i="72"/>
  <c r="V175" i="72"/>
  <c r="V176" i="72"/>
  <c r="V177" i="72"/>
  <c r="V178" i="72"/>
  <c r="AQ178" i="72" s="1"/>
  <c r="V179" i="72"/>
  <c r="V180" i="72"/>
  <c r="V181" i="72"/>
  <c r="V182" i="72"/>
  <c r="V183" i="72"/>
  <c r="AQ183" i="72" s="1"/>
  <c r="V184" i="72"/>
  <c r="V185" i="72"/>
  <c r="V186" i="72"/>
  <c r="V187" i="72"/>
  <c r="AQ187" i="72" s="1"/>
  <c r="V188" i="72"/>
  <c r="V189" i="72"/>
  <c r="V190" i="72"/>
  <c r="V191" i="72"/>
  <c r="AQ191" i="72" s="1"/>
  <c r="V192" i="72"/>
  <c r="V194" i="72"/>
  <c r="V195" i="72"/>
  <c r="AQ195" i="72" s="1"/>
  <c r="V196" i="72"/>
  <c r="V197" i="72"/>
  <c r="V198" i="72"/>
  <c r="V199" i="72"/>
  <c r="AQ199" i="72" s="1"/>
  <c r="V200" i="72"/>
  <c r="V201" i="72"/>
  <c r="V202" i="72"/>
  <c r="V203" i="72"/>
  <c r="AQ203" i="72" s="1"/>
  <c r="V204" i="72"/>
  <c r="V205" i="72"/>
  <c r="V206" i="72"/>
  <c r="V207" i="72"/>
  <c r="AQ207" i="72" s="1"/>
  <c r="V208" i="72"/>
  <c r="AQ208" i="72" s="1"/>
  <c r="V209" i="72"/>
  <c r="V210" i="72"/>
  <c r="V211" i="72"/>
  <c r="V212" i="72"/>
  <c r="V213" i="72"/>
  <c r="AQ213" i="72" s="1"/>
  <c r="V214" i="72"/>
  <c r="V215" i="72"/>
  <c r="V216" i="72"/>
  <c r="V217" i="72"/>
  <c r="AQ217" i="72" s="1"/>
  <c r="V218" i="72"/>
  <c r="AQ218" i="72" s="1"/>
  <c r="V219" i="72"/>
  <c r="V220" i="72"/>
  <c r="V221" i="72"/>
  <c r="V222" i="72"/>
  <c r="V223" i="72"/>
  <c r="AQ223" i="72" s="1"/>
  <c r="V224" i="72"/>
  <c r="V225" i="72"/>
  <c r="V226" i="72"/>
  <c r="V227" i="72"/>
  <c r="V228" i="72"/>
  <c r="V229" i="72"/>
  <c r="AQ229" i="72" s="1"/>
  <c r="V230" i="72"/>
  <c r="AQ230" i="72" s="1"/>
  <c r="V231" i="72"/>
  <c r="V232" i="72"/>
  <c r="V233" i="72"/>
  <c r="V234" i="72"/>
  <c r="V235" i="72"/>
  <c r="AQ235" i="72" s="1"/>
  <c r="V236" i="72"/>
  <c r="V237" i="72"/>
  <c r="V238" i="72"/>
  <c r="V239" i="72"/>
  <c r="V240" i="72"/>
  <c r="V241" i="72"/>
  <c r="V242" i="72"/>
  <c r="V243" i="72"/>
  <c r="V244" i="72"/>
  <c r="AQ244" i="72" s="1"/>
  <c r="V245" i="72"/>
  <c r="V246" i="72"/>
  <c r="V247" i="72"/>
  <c r="V248" i="72"/>
  <c r="V249" i="72"/>
  <c r="V250" i="72"/>
  <c r="V251" i="72"/>
  <c r="V252" i="72"/>
  <c r="V253" i="72"/>
  <c r="V254" i="72"/>
  <c r="V255" i="72"/>
  <c r="AQ255" i="72" s="1"/>
  <c r="V256" i="72"/>
  <c r="V257" i="72"/>
  <c r="V258" i="72"/>
  <c r="V259" i="72"/>
  <c r="V260" i="72"/>
  <c r="V261" i="72"/>
  <c r="V262" i="72"/>
  <c r="V263" i="72"/>
  <c r="V264" i="72"/>
  <c r="V265" i="72"/>
  <c r="V266" i="72"/>
  <c r="AQ266" i="72" s="1"/>
  <c r="V267" i="72"/>
  <c r="V268" i="72"/>
  <c r="V269" i="72"/>
  <c r="V270" i="72"/>
  <c r="AQ270" i="72" s="1"/>
  <c r="V271" i="72"/>
  <c r="V272" i="72"/>
  <c r="V273" i="72"/>
  <c r="V274" i="72"/>
  <c r="V275" i="72"/>
  <c r="V276" i="72"/>
  <c r="AQ276" i="72" s="1"/>
  <c r="V277" i="72"/>
  <c r="V278" i="72"/>
  <c r="V279" i="72"/>
  <c r="V280" i="72"/>
  <c r="V281" i="72"/>
  <c r="V282" i="72"/>
  <c r="V283" i="72"/>
  <c r="V284" i="72"/>
  <c r="V285" i="72"/>
  <c r="V286" i="72"/>
  <c r="V287" i="72"/>
  <c r="V288" i="72"/>
  <c r="V289" i="72"/>
  <c r="V290" i="72"/>
  <c r="V291" i="72"/>
  <c r="V292" i="72"/>
  <c r="V293" i="72"/>
  <c r="V294" i="72"/>
  <c r="V295" i="72"/>
  <c r="V296" i="72"/>
  <c r="V297" i="72"/>
  <c r="V298" i="72"/>
  <c r="V299" i="72"/>
  <c r="V300" i="72"/>
  <c r="V301" i="72"/>
  <c r="V302" i="72"/>
  <c r="V303" i="72"/>
  <c r="V304" i="72"/>
  <c r="V305" i="72"/>
  <c r="V306" i="72"/>
  <c r="V307" i="72"/>
  <c r="V308" i="72"/>
  <c r="V309" i="72"/>
  <c r="V310" i="72"/>
  <c r="V311" i="72"/>
  <c r="V312" i="72"/>
  <c r="V313" i="72"/>
  <c r="V314" i="72"/>
  <c r="V315" i="72"/>
  <c r="V316" i="72"/>
  <c r="V317" i="72"/>
  <c r="V318" i="72"/>
  <c r="V319" i="72"/>
  <c r="V320" i="72"/>
  <c r="V321" i="72"/>
  <c r="V322" i="72"/>
  <c r="V323" i="72"/>
  <c r="V324" i="72"/>
  <c r="V325" i="72"/>
  <c r="V326" i="72"/>
  <c r="V327" i="72"/>
  <c r="V328" i="72"/>
  <c r="V329" i="72"/>
  <c r="V330" i="72"/>
  <c r="V331" i="72"/>
  <c r="V332" i="72"/>
  <c r="V333" i="72"/>
  <c r="V334" i="72"/>
  <c r="V335" i="72"/>
  <c r="V336" i="72"/>
  <c r="V337" i="72"/>
  <c r="V338" i="72"/>
  <c r="V339" i="72"/>
  <c r="V340" i="72"/>
  <c r="V341" i="72"/>
  <c r="V342" i="72"/>
  <c r="V343" i="72"/>
  <c r="V344" i="72"/>
  <c r="V345" i="72"/>
  <c r="V346" i="72"/>
  <c r="V347" i="72"/>
  <c r="V348" i="72"/>
  <c r="V349" i="72"/>
  <c r="V350" i="72"/>
  <c r="V351" i="72"/>
  <c r="V352" i="72"/>
  <c r="V353" i="72"/>
  <c r="V354" i="72"/>
  <c r="V355" i="72"/>
  <c r="V356" i="72"/>
  <c r="V357" i="72"/>
  <c r="V358" i="72"/>
  <c r="V359" i="72"/>
  <c r="V360" i="72"/>
  <c r="V361" i="72"/>
  <c r="V362" i="72"/>
  <c r="V363" i="72"/>
  <c r="V364" i="72"/>
  <c r="V365" i="72"/>
  <c r="V366" i="72"/>
  <c r="V367" i="72"/>
  <c r="V368" i="72"/>
  <c r="V369" i="72"/>
  <c r="V370" i="72"/>
  <c r="V371" i="72"/>
  <c r="V372" i="72"/>
  <c r="V373" i="72"/>
  <c r="V374" i="72"/>
  <c r="V375" i="72"/>
  <c r="V376" i="72"/>
  <c r="V377" i="72"/>
  <c r="V378" i="72"/>
  <c r="V379" i="72"/>
  <c r="V380" i="72"/>
  <c r="V381" i="72"/>
  <c r="V382" i="72"/>
  <c r="V383" i="72"/>
  <c r="V384" i="72"/>
  <c r="V385" i="72"/>
  <c r="V386" i="72"/>
  <c r="V387" i="72"/>
  <c r="V388" i="72"/>
  <c r="V389" i="72"/>
  <c r="V390" i="72"/>
  <c r="V391" i="72"/>
  <c r="V392" i="72"/>
  <c r="V393" i="72"/>
  <c r="V394" i="72"/>
  <c r="V395" i="72"/>
  <c r="V396" i="72"/>
  <c r="V397" i="72"/>
  <c r="V398" i="72"/>
  <c r="V399" i="72"/>
  <c r="V400" i="72"/>
  <c r="V401" i="72"/>
  <c r="V402" i="72"/>
  <c r="V403" i="72"/>
  <c r="V404" i="72"/>
  <c r="V405" i="72"/>
  <c r="V406" i="72"/>
  <c r="V407" i="72"/>
  <c r="V408" i="72"/>
  <c r="V410" i="72"/>
  <c r="V411" i="72"/>
  <c r="V412" i="72"/>
  <c r="V413" i="72"/>
  <c r="V414" i="72"/>
  <c r="V415" i="72"/>
  <c r="V416" i="72"/>
  <c r="V417" i="72"/>
  <c r="V418" i="72"/>
  <c r="V419" i="72"/>
  <c r="V420" i="72"/>
  <c r="V421" i="72"/>
  <c r="V422" i="72"/>
  <c r="V423" i="72"/>
  <c r="V424" i="72"/>
  <c r="V425" i="72"/>
  <c r="V426" i="72"/>
  <c r="V427" i="72"/>
  <c r="V428" i="72"/>
  <c r="V429" i="72"/>
  <c r="V430" i="72"/>
  <c r="V431" i="72"/>
  <c r="V432" i="72"/>
  <c r="V433" i="72"/>
  <c r="V434" i="72"/>
  <c r="V435" i="72"/>
  <c r="V436" i="72"/>
  <c r="V437" i="72"/>
  <c r="V438" i="72"/>
  <c r="V439" i="72"/>
  <c r="V440" i="72"/>
  <c r="V444" i="72"/>
  <c r="V445" i="72"/>
  <c r="V446" i="72"/>
  <c r="V447" i="72"/>
  <c r="V448" i="72"/>
  <c r="V449" i="72"/>
  <c r="V450" i="72"/>
  <c r="V451" i="72"/>
  <c r="V452" i="72"/>
  <c r="V453" i="72"/>
  <c r="V454" i="72"/>
  <c r="V455" i="72"/>
  <c r="V456" i="72"/>
  <c r="V457" i="72"/>
  <c r="V458" i="72"/>
  <c r="V459" i="72"/>
  <c r="V460" i="72"/>
  <c r="V461" i="72"/>
  <c r="V462" i="72"/>
  <c r="V463" i="72"/>
  <c r="V464" i="72"/>
  <c r="V465" i="72"/>
  <c r="V466" i="72"/>
  <c r="V467" i="72"/>
  <c r="V468" i="72"/>
  <c r="V469" i="72"/>
  <c r="V470" i="72"/>
  <c r="V471" i="72"/>
  <c r="V472" i="72"/>
  <c r="V473" i="72"/>
  <c r="V474" i="72"/>
  <c r="V475" i="72"/>
  <c r="V476" i="72"/>
  <c r="V477" i="72"/>
  <c r="V478" i="72"/>
  <c r="V479" i="72"/>
  <c r="V480" i="72"/>
  <c r="V481" i="72"/>
  <c r="V482" i="72"/>
  <c r="V483" i="72"/>
  <c r="V485" i="72"/>
  <c r="V486" i="72"/>
  <c r="V487" i="72"/>
  <c r="V488" i="72"/>
  <c r="V489" i="72"/>
  <c r="V491" i="72"/>
  <c r="V492" i="72"/>
  <c r="V493" i="72"/>
  <c r="V494" i="72"/>
  <c r="V496" i="72"/>
  <c r="V497" i="72"/>
  <c r="V498" i="72"/>
  <c r="V499" i="72"/>
  <c r="V502" i="72"/>
  <c r="V503" i="72"/>
  <c r="V505" i="72"/>
  <c r="V508" i="72"/>
  <c r="V509" i="72"/>
  <c r="V510" i="72"/>
  <c r="V511" i="72"/>
  <c r="V513" i="72"/>
  <c r="V514" i="72"/>
  <c r="V515" i="72"/>
  <c r="V516" i="72"/>
  <c r="V517" i="72"/>
  <c r="V518" i="72"/>
  <c r="V519" i="72"/>
  <c r="V520" i="72"/>
  <c r="V521" i="72"/>
  <c r="V522" i="72"/>
  <c r="V523" i="72"/>
  <c r="V524" i="72"/>
  <c r="V525" i="72"/>
  <c r="V526" i="72"/>
  <c r="V527" i="72"/>
  <c r="V528" i="72"/>
  <c r="V529" i="72"/>
  <c r="V530" i="72"/>
  <c r="V531" i="72"/>
  <c r="V532" i="72"/>
  <c r="V533" i="72"/>
  <c r="V534" i="72"/>
  <c r="V535" i="72"/>
  <c r="V536" i="72"/>
  <c r="V538" i="72"/>
  <c r="V539" i="72"/>
  <c r="V540" i="72"/>
  <c r="V541" i="72"/>
  <c r="V542" i="72"/>
  <c r="V543" i="72"/>
  <c r="V545" i="72"/>
  <c r="V546" i="72"/>
  <c r="V547" i="72"/>
  <c r="V548" i="72"/>
  <c r="V549" i="72"/>
  <c r="V550" i="72"/>
  <c r="V551" i="72"/>
  <c r="V552" i="72"/>
  <c r="V553" i="72"/>
  <c r="V554" i="72"/>
  <c r="V555" i="72"/>
  <c r="V556" i="72"/>
  <c r="V557" i="72"/>
  <c r="V558" i="72"/>
  <c r="V561" i="72"/>
  <c r="V562" i="72"/>
  <c r="V563" i="72"/>
  <c r="V564" i="72"/>
  <c r="V566" i="72"/>
  <c r="V567" i="72"/>
  <c r="V568" i="72"/>
  <c r="V569" i="72"/>
  <c r="V570" i="72"/>
  <c r="V571" i="72"/>
  <c r="V574" i="72"/>
  <c r="V575" i="72"/>
  <c r="V576" i="72"/>
  <c r="V577" i="72"/>
  <c r="V578" i="72"/>
  <c r="V579" i="72"/>
  <c r="V580" i="72"/>
  <c r="V581" i="72"/>
  <c r="V582" i="72"/>
  <c r="V583" i="72"/>
  <c r="V584" i="72"/>
  <c r="V585" i="72"/>
  <c r="V586" i="72"/>
  <c r="V588" i="72"/>
  <c r="V589" i="72"/>
  <c r="V590" i="72"/>
  <c r="V591" i="72"/>
  <c r="V592" i="72"/>
  <c r="V593" i="72"/>
  <c r="V594" i="72"/>
  <c r="V596" i="72"/>
  <c r="V597" i="72"/>
  <c r="V599" i="72"/>
  <c r="V600" i="72"/>
  <c r="V601" i="72"/>
  <c r="V602" i="72"/>
  <c r="V603" i="72"/>
  <c r="V604" i="72"/>
  <c r="V605" i="72"/>
  <c r="V606" i="72"/>
  <c r="V607" i="72"/>
  <c r="V608" i="72"/>
  <c r="V609" i="72"/>
  <c r="V610" i="72"/>
  <c r="V611" i="72"/>
  <c r="V612" i="72"/>
  <c r="V613" i="72"/>
  <c r="V614" i="72"/>
  <c r="V615" i="72"/>
  <c r="V616" i="72"/>
  <c r="V617" i="72"/>
  <c r="V618" i="72"/>
  <c r="V619" i="72"/>
  <c r="V620" i="72"/>
  <c r="V621" i="72"/>
  <c r="V622" i="72"/>
  <c r="V623" i="72"/>
  <c r="V624" i="72"/>
  <c r="V625" i="72"/>
  <c r="V626" i="72"/>
  <c r="V627" i="72"/>
  <c r="V628" i="72"/>
  <c r="V629" i="72"/>
  <c r="V630" i="72"/>
  <c r="V631" i="72"/>
  <c r="V632" i="72"/>
  <c r="V633" i="72"/>
  <c r="V634" i="72"/>
  <c r="V635" i="72"/>
  <c r="V636" i="72"/>
  <c r="V637" i="72"/>
  <c r="V638" i="72"/>
  <c r="V639" i="72"/>
  <c r="V640" i="72"/>
  <c r="V641" i="72"/>
  <c r="V642" i="72"/>
  <c r="V643" i="72"/>
  <c r="V644" i="72"/>
  <c r="V645" i="72"/>
  <c r="V646" i="72"/>
  <c r="V647" i="72"/>
  <c r="V648" i="72"/>
  <c r="V649" i="72"/>
  <c r="V650" i="72"/>
  <c r="V651" i="72"/>
  <c r="V652" i="72"/>
  <c r="V653" i="72"/>
  <c r="V654" i="72"/>
  <c r="V655" i="72"/>
  <c r="V656" i="72"/>
  <c r="V657" i="72"/>
  <c r="V658" i="72"/>
  <c r="V659" i="72"/>
  <c r="V660" i="72"/>
  <c r="V661" i="72"/>
  <c r="V662" i="72"/>
  <c r="V663" i="72"/>
  <c r="V664" i="72"/>
  <c r="V665" i="72"/>
  <c r="V666" i="72"/>
  <c r="V667" i="72"/>
  <c r="V668" i="72"/>
  <c r="V669" i="72"/>
  <c r="V670" i="72"/>
  <c r="V671" i="72"/>
  <c r="V672" i="72"/>
  <c r="V673" i="72"/>
  <c r="V674" i="72"/>
  <c r="V675" i="72"/>
  <c r="V676" i="72"/>
  <c r="V677" i="72"/>
  <c r="V678" i="72"/>
  <c r="V679" i="72"/>
  <c r="V680" i="72"/>
  <c r="V681" i="72"/>
  <c r="V682" i="72"/>
  <c r="V683" i="72"/>
  <c r="V684" i="72"/>
  <c r="V685" i="72"/>
  <c r="V686" i="72"/>
  <c r="V687" i="72"/>
  <c r="V688" i="72"/>
  <c r="V689" i="72"/>
  <c r="V690" i="72"/>
  <c r="V691" i="72"/>
  <c r="V692" i="72"/>
  <c r="V693" i="72"/>
  <c r="V694" i="72"/>
  <c r="V695" i="72"/>
  <c r="V696" i="72"/>
  <c r="V697" i="72"/>
  <c r="V698" i="72"/>
  <c r="V699" i="72"/>
  <c r="V700" i="72"/>
  <c r="V701" i="72"/>
  <c r="V702" i="72"/>
  <c r="V703" i="72"/>
  <c r="V704" i="72"/>
  <c r="V705" i="72"/>
  <c r="V706" i="72"/>
  <c r="V707" i="72"/>
  <c r="V708" i="72"/>
  <c r="V709" i="72"/>
  <c r="V710" i="72"/>
  <c r="V711" i="72"/>
  <c r="V712" i="72"/>
  <c r="V713" i="72"/>
  <c r="V714" i="72"/>
  <c r="V715" i="72"/>
  <c r="V716" i="72"/>
  <c r="V717" i="72"/>
  <c r="V718" i="72"/>
  <c r="V719" i="72"/>
  <c r="V720" i="72"/>
  <c r="V721" i="72"/>
  <c r="V722" i="72"/>
  <c r="V723" i="72"/>
  <c r="V724" i="72"/>
  <c r="V726" i="72"/>
  <c r="V727" i="72"/>
  <c r="V728" i="72"/>
  <c r="V729" i="72"/>
  <c r="V730" i="72"/>
  <c r="V736" i="72"/>
  <c r="V737" i="72"/>
  <c r="V738" i="72"/>
  <c r="V739" i="72"/>
  <c r="V740" i="72"/>
  <c r="V741" i="72"/>
  <c r="V742" i="72"/>
  <c r="V744" i="72"/>
  <c r="V745" i="72"/>
  <c r="V746" i="72"/>
  <c r="V747" i="72"/>
  <c r="V748" i="72"/>
  <c r="V749" i="72"/>
  <c r="V750" i="72"/>
  <c r="V751" i="72"/>
  <c r="V752" i="72"/>
  <c r="V753" i="72"/>
  <c r="V754" i="72"/>
  <c r="V755" i="72"/>
  <c r="V756" i="72"/>
  <c r="V757" i="72"/>
  <c r="V758" i="72"/>
  <c r="V759" i="72"/>
  <c r="V760" i="72"/>
  <c r="V761" i="72"/>
  <c r="V762" i="72"/>
  <c r="V763" i="72"/>
  <c r="V764" i="72"/>
  <c r="V765" i="72"/>
  <c r="V766" i="72"/>
  <c r="V767" i="72"/>
  <c r="V768" i="72"/>
  <c r="V769" i="72"/>
  <c r="V770" i="72"/>
  <c r="V771" i="72"/>
  <c r="V772" i="72"/>
  <c r="V773" i="72"/>
  <c r="V774" i="72"/>
  <c r="V775" i="72"/>
  <c r="V776" i="72"/>
  <c r="V777" i="72"/>
  <c r="V778" i="72"/>
  <c r="V779" i="72"/>
  <c r="V780" i="72"/>
  <c r="V781" i="72"/>
  <c r="V782" i="72"/>
  <c r="V783" i="72"/>
  <c r="V784" i="72"/>
  <c r="V785" i="72"/>
  <c r="V786" i="72"/>
  <c r="V787" i="72"/>
  <c r="V788" i="72"/>
  <c r="V789" i="72"/>
  <c r="V790" i="72"/>
  <c r="V791" i="72"/>
  <c r="V792" i="72"/>
  <c r="V793" i="72"/>
  <c r="V794" i="72"/>
  <c r="V795" i="72"/>
  <c r="V796" i="72"/>
  <c r="V797" i="72"/>
  <c r="V798" i="72"/>
  <c r="V799" i="72"/>
  <c r="V800" i="72"/>
  <c r="V801" i="72"/>
  <c r="V802" i="72"/>
  <c r="V803" i="72"/>
  <c r="V804" i="72"/>
  <c r="V805" i="72"/>
  <c r="V806" i="72"/>
  <c r="V807" i="72"/>
  <c r="V808" i="72"/>
  <c r="V809" i="72"/>
  <c r="V810" i="72"/>
  <c r="V811" i="72"/>
  <c r="V812" i="72"/>
  <c r="V813" i="72"/>
  <c r="V814" i="72"/>
  <c r="V815" i="72"/>
  <c r="V816" i="72"/>
  <c r="V817" i="72"/>
  <c r="V818" i="72"/>
  <c r="V819" i="72"/>
  <c r="V820" i="72"/>
  <c r="V822" i="72"/>
  <c r="V823" i="72"/>
  <c r="V824" i="72"/>
  <c r="V825" i="72"/>
  <c r="V826" i="72"/>
  <c r="V827" i="72"/>
  <c r="V828" i="72"/>
  <c r="V829" i="72"/>
  <c r="V830" i="72"/>
  <c r="V831" i="72"/>
  <c r="V832" i="72"/>
  <c r="V833" i="72"/>
  <c r="V834" i="72"/>
  <c r="V835" i="72"/>
  <c r="V836" i="72"/>
  <c r="V837" i="72"/>
  <c r="V838" i="72"/>
  <c r="V16" i="72"/>
  <c r="Y85" i="72" l="1"/>
  <c r="AP85" i="72"/>
  <c r="F18" i="127"/>
  <c r="G18" i="127" s="1"/>
  <c r="F20" i="127"/>
  <c r="F19" i="127"/>
  <c r="F16" i="127"/>
  <c r="X871" i="72"/>
  <c r="X870" i="72"/>
  <c r="Z870" i="72" s="1"/>
  <c r="X872" i="72"/>
  <c r="W29" i="72"/>
  <c r="G19" i="127" l="1"/>
  <c r="G20" i="127"/>
  <c r="G16" i="127"/>
  <c r="X472" i="72"/>
  <c r="AP472" i="72" s="1"/>
  <c r="W472" i="72"/>
  <c r="Z472" i="72" l="1"/>
  <c r="AD472" i="72" s="1"/>
  <c r="Y472" i="72"/>
  <c r="AA472" i="72" l="1"/>
  <c r="AB472" i="72" s="1"/>
  <c r="AC472" i="72" l="1"/>
  <c r="AX142" i="118" l="1"/>
  <c r="AW142" i="118"/>
  <c r="AV142" i="118"/>
  <c r="AU142" i="118"/>
  <c r="AT142" i="118"/>
  <c r="AS142" i="118"/>
  <c r="AR142" i="118"/>
  <c r="AQ142" i="118"/>
  <c r="X128" i="118"/>
  <c r="X127" i="118"/>
  <c r="AA126" i="118"/>
  <c r="X126" i="118"/>
  <c r="AA125" i="118"/>
  <c r="X125" i="118"/>
  <c r="AA124" i="118"/>
  <c r="F126" i="118"/>
  <c r="I126" i="118" s="1"/>
  <c r="F127" i="118" s="1"/>
  <c r="I127" i="118" s="1"/>
  <c r="F128" i="118" s="1"/>
  <c r="I128" i="118" s="1"/>
  <c r="S117" i="118"/>
  <c r="AA95" i="118"/>
  <c r="AI95" i="118" s="1"/>
  <c r="AN95" i="118" s="1"/>
  <c r="Y95" i="118"/>
  <c r="Q95" i="118"/>
  <c r="Q94" i="118"/>
  <c r="AA93" i="118"/>
  <c r="AI93" i="118" s="1"/>
  <c r="AN93" i="118" s="1"/>
  <c r="Y93" i="118"/>
  <c r="Q93" i="118"/>
  <c r="AA92" i="118"/>
  <c r="Y92" i="118"/>
  <c r="Q92" i="118"/>
  <c r="AA89" i="118"/>
  <c r="AI89" i="118" s="1"/>
  <c r="AN89" i="118" s="1"/>
  <c r="Y89" i="118"/>
  <c r="Q89" i="118"/>
  <c r="AI88" i="118"/>
  <c r="AN88" i="118" s="1"/>
  <c r="Y88" i="118"/>
  <c r="Q88" i="118"/>
  <c r="Q87" i="118"/>
  <c r="AA86" i="118"/>
  <c r="AI86" i="118" s="1"/>
  <c r="AN86" i="118" s="1"/>
  <c r="Y86" i="118"/>
  <c r="Q86" i="118"/>
  <c r="AA85" i="118"/>
  <c r="AI85" i="118" s="1"/>
  <c r="Y85" i="118"/>
  <c r="Q85" i="118"/>
  <c r="L84" i="118"/>
  <c r="AU84" i="118" s="1"/>
  <c r="AQ83" i="118"/>
  <c r="G81" i="118"/>
  <c r="AF43" i="118"/>
  <c r="AE43" i="118"/>
  <c r="G101" i="118" s="1"/>
  <c r="Y43" i="118"/>
  <c r="V43" i="118"/>
  <c r="M30" i="118"/>
  <c r="M6" i="118"/>
  <c r="AI34" i="72"/>
  <c r="AI33" i="72"/>
  <c r="AA117" i="118" l="1"/>
  <c r="AI43" i="118"/>
  <c r="G109" i="118"/>
  <c r="Q110" i="118" s="1"/>
  <c r="X129" i="118"/>
  <c r="AI92" i="118"/>
  <c r="AN92" i="118" s="1"/>
  <c r="AQ41" i="118"/>
  <c r="AG93" i="118"/>
  <c r="AG88" i="118"/>
  <c r="AG86" i="118"/>
  <c r="AG95" i="118"/>
  <c r="AA110" i="118"/>
  <c r="AG85" i="118"/>
  <c r="AA129" i="118"/>
  <c r="Q91" i="118"/>
  <c r="Q84" i="118"/>
  <c r="AG89" i="118"/>
  <c r="AG92" i="118"/>
  <c r="Q90" i="118"/>
  <c r="AY142" i="118"/>
  <c r="V17" i="72"/>
  <c r="AQ17" i="72" s="1"/>
  <c r="V19" i="72"/>
  <c r="V22" i="72"/>
  <c r="V24" i="72"/>
  <c r="V25" i="72"/>
  <c r="V26" i="72"/>
  <c r="V27" i="72"/>
  <c r="V29"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2" i="72"/>
  <c r="V74" i="72"/>
  <c r="V75" i="72"/>
  <c r="V76" i="72"/>
  <c r="V77" i="72"/>
  <c r="V78" i="72"/>
  <c r="V79" i="72"/>
  <c r="V82" i="72"/>
  <c r="V83" i="72"/>
  <c r="AQ108" i="118" l="1"/>
  <c r="Y110" i="118"/>
  <c r="AQ44" i="118"/>
  <c r="G117" i="118"/>
  <c r="AI44" i="118"/>
  <c r="L101" i="118"/>
  <c r="Y101" i="118"/>
  <c r="AG110" i="118"/>
  <c r="AI110" i="118"/>
  <c r="AN110" i="118" s="1"/>
  <c r="AA101" i="118" l="1"/>
  <c r="Q101" i="118"/>
  <c r="Q117" i="118"/>
  <c r="AI117" i="118"/>
  <c r="AN117" i="118" s="1"/>
  <c r="Y117" i="118"/>
  <c r="AG117" i="118"/>
  <c r="AQ132" i="118"/>
  <c r="Y134" i="118"/>
  <c r="Y17" i="72"/>
  <c r="AG101" i="118" l="1"/>
  <c r="AI101" i="118"/>
  <c r="AN101" i="118" s="1"/>
  <c r="Z113" i="72"/>
  <c r="AD113" i="72" s="1"/>
  <c r="Z116" i="72"/>
  <c r="AD116" i="72" s="1"/>
  <c r="Z227" i="72"/>
  <c r="AD227" i="72" s="1"/>
  <c r="Z344" i="72"/>
  <c r="AD344" i="72" s="1"/>
  <c r="Z518" i="72"/>
  <c r="AD518" i="72" s="1"/>
  <c r="Z601" i="72"/>
  <c r="AD601" i="72" s="1"/>
  <c r="Z672" i="72"/>
  <c r="AD672" i="72" s="1"/>
  <c r="Z673" i="72"/>
  <c r="AD673" i="72" s="1"/>
  <c r="Z809" i="72"/>
  <c r="AD809" i="72" s="1"/>
  <c r="Z811" i="72"/>
  <c r="AD811" i="72" s="1"/>
  <c r="Z837" i="72"/>
  <c r="AD837" i="72" s="1"/>
  <c r="AA344" i="72" l="1"/>
  <c r="AA811" i="72"/>
  <c r="AA113" i="72"/>
  <c r="AQ113" i="72" s="1"/>
  <c r="AA837" i="72"/>
  <c r="AA809" i="72"/>
  <c r="AA672" i="72"/>
  <c r="AA227" i="72"/>
  <c r="AQ227" i="72" s="1"/>
  <c r="AA116" i="72"/>
  <c r="AQ116" i="72" s="1"/>
  <c r="AA673" i="72"/>
  <c r="AA601" i="72"/>
  <c r="AA518" i="72"/>
  <c r="E21" i="43" l="1"/>
  <c r="E18" i="43"/>
  <c r="E17" i="43"/>
  <c r="E14" i="43" l="1"/>
  <c r="E19" i="43"/>
  <c r="E20" i="43"/>
  <c r="E16" i="43"/>
  <c r="AK36" i="72" l="1"/>
  <c r="AK37" i="72" s="1"/>
  <c r="G82" i="118" l="1"/>
  <c r="AN839" i="72"/>
  <c r="X344" i="72" l="1"/>
  <c r="X837" i="72"/>
  <c r="X838" i="72"/>
  <c r="AP838" i="72" s="1"/>
  <c r="X601" i="72"/>
  <c r="X809" i="72"/>
  <c r="X227" i="72"/>
  <c r="X672" i="72"/>
  <c r="X811" i="72"/>
  <c r="X518" i="72"/>
  <c r="X673" i="72"/>
  <c r="W18" i="72"/>
  <c r="W19" i="72"/>
  <c r="W22" i="72"/>
  <c r="W24" i="72"/>
  <c r="W25" i="72"/>
  <c r="W26" i="72"/>
  <c r="W27" i="72"/>
  <c r="Z29" i="72"/>
  <c r="AD29" i="72" s="1"/>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58" i="72"/>
  <c r="W59" i="72"/>
  <c r="W60" i="72"/>
  <c r="W61" i="72"/>
  <c r="W62" i="72"/>
  <c r="W63" i="72"/>
  <c r="W64" i="72"/>
  <c r="W65" i="72"/>
  <c r="W66" i="72"/>
  <c r="W67" i="72"/>
  <c r="W68" i="72"/>
  <c r="W69" i="72"/>
  <c r="W70" i="72"/>
  <c r="W72" i="72"/>
  <c r="W74" i="72"/>
  <c r="W75" i="72"/>
  <c r="W76" i="72"/>
  <c r="W77" i="72"/>
  <c r="W78" i="72"/>
  <c r="W79" i="72"/>
  <c r="W82" i="72"/>
  <c r="W83" i="72"/>
  <c r="W86" i="72"/>
  <c r="W87" i="72"/>
  <c r="W90" i="72"/>
  <c r="W92" i="72"/>
  <c r="W94" i="72"/>
  <c r="W95" i="72"/>
  <c r="W97" i="72"/>
  <c r="W98" i="72"/>
  <c r="W102" i="72"/>
  <c r="W103" i="72"/>
  <c r="W105" i="72"/>
  <c r="W106" i="72"/>
  <c r="W108" i="72"/>
  <c r="W109" i="72"/>
  <c r="W111" i="72"/>
  <c r="W112" i="72"/>
  <c r="W114" i="72"/>
  <c r="W115" i="72"/>
  <c r="W120" i="72"/>
  <c r="W121" i="72"/>
  <c r="W123" i="72"/>
  <c r="W124" i="72"/>
  <c r="W125" i="72"/>
  <c r="W131" i="72"/>
  <c r="W132" i="72"/>
  <c r="W133" i="72"/>
  <c r="W134" i="72"/>
  <c r="W135" i="72"/>
  <c r="W136" i="72"/>
  <c r="W138" i="72"/>
  <c r="W140" i="72"/>
  <c r="W142" i="72"/>
  <c r="W143" i="72"/>
  <c r="W144" i="72"/>
  <c r="W146" i="72"/>
  <c r="W147" i="72"/>
  <c r="W148" i="72"/>
  <c r="W150" i="72"/>
  <c r="W152" i="72"/>
  <c r="W159" i="72"/>
  <c r="W160" i="72"/>
  <c r="W161" i="72"/>
  <c r="W162" i="72"/>
  <c r="W167" i="72"/>
  <c r="W169" i="72"/>
  <c r="W170" i="72"/>
  <c r="W171" i="72"/>
  <c r="W172" i="72"/>
  <c r="W174" i="72"/>
  <c r="W175" i="72"/>
  <c r="W176" i="72"/>
  <c r="W177" i="72"/>
  <c r="W179" i="72"/>
  <c r="W180" i="72"/>
  <c r="W181" i="72"/>
  <c r="W182" i="72"/>
  <c r="W184" i="72"/>
  <c r="W185" i="72"/>
  <c r="W186" i="72"/>
  <c r="W188" i="72"/>
  <c r="W189" i="72"/>
  <c r="W190" i="72"/>
  <c r="W192" i="72"/>
  <c r="W194" i="72"/>
  <c r="W196" i="72"/>
  <c r="W197" i="72"/>
  <c r="W198" i="72"/>
  <c r="W200" i="72"/>
  <c r="W201" i="72"/>
  <c r="W202" i="72"/>
  <c r="W204" i="72"/>
  <c r="W205" i="72"/>
  <c r="W206" i="72"/>
  <c r="W209" i="72"/>
  <c r="W210" i="72"/>
  <c r="W211" i="72"/>
  <c r="W212" i="72"/>
  <c r="W214" i="72"/>
  <c r="W215" i="72"/>
  <c r="W216" i="72"/>
  <c r="W219" i="72"/>
  <c r="W220" i="72"/>
  <c r="W221" i="72"/>
  <c r="W222" i="72"/>
  <c r="W224" i="72"/>
  <c r="W225" i="72"/>
  <c r="W226" i="72"/>
  <c r="W228" i="72"/>
  <c r="W231" i="72"/>
  <c r="W232" i="72"/>
  <c r="W233" i="72"/>
  <c r="W234" i="72"/>
  <c r="W236" i="72"/>
  <c r="W237" i="72"/>
  <c r="W238" i="72"/>
  <c r="W239" i="72"/>
  <c r="W240" i="72"/>
  <c r="W241" i="72"/>
  <c r="W242" i="72"/>
  <c r="W243" i="72"/>
  <c r="W245" i="72"/>
  <c r="W246" i="72"/>
  <c r="W247" i="72"/>
  <c r="W248" i="72"/>
  <c r="W249" i="72"/>
  <c r="W250" i="72"/>
  <c r="W251" i="72"/>
  <c r="W252" i="72"/>
  <c r="W253" i="72"/>
  <c r="W254" i="72"/>
  <c r="W256" i="72"/>
  <c r="W257" i="72"/>
  <c r="W258" i="72"/>
  <c r="W259" i="72"/>
  <c r="W260" i="72"/>
  <c r="W261" i="72"/>
  <c r="W262" i="72"/>
  <c r="W263" i="72"/>
  <c r="W264" i="72"/>
  <c r="W265" i="72"/>
  <c r="W267" i="72"/>
  <c r="W268" i="72"/>
  <c r="W269" i="72"/>
  <c r="W271" i="72"/>
  <c r="W272" i="72"/>
  <c r="W273" i="72"/>
  <c r="W274" i="72"/>
  <c r="W275" i="72"/>
  <c r="W277" i="72"/>
  <c r="W278" i="72"/>
  <c r="W281" i="72"/>
  <c r="W282" i="72"/>
  <c r="W283" i="72"/>
  <c r="W284" i="72"/>
  <c r="W285" i="72"/>
  <c r="W286" i="72"/>
  <c r="W287" i="72"/>
  <c r="W289" i="72"/>
  <c r="W290" i="72"/>
  <c r="W291" i="72"/>
  <c r="W292" i="72"/>
  <c r="W293" i="72"/>
  <c r="W294" i="72"/>
  <c r="W295" i="72"/>
  <c r="W296" i="72"/>
  <c r="W297" i="72"/>
  <c r="W298" i="72"/>
  <c r="W299" i="72"/>
  <c r="W300" i="72"/>
  <c r="W301" i="72"/>
  <c r="W302" i="72"/>
  <c r="W303" i="72"/>
  <c r="W304" i="72"/>
  <c r="W305" i="72"/>
  <c r="W306" i="72"/>
  <c r="W307" i="72"/>
  <c r="W308" i="72"/>
  <c r="W309" i="72"/>
  <c r="W310" i="72"/>
  <c r="W312" i="72"/>
  <c r="W313" i="72"/>
  <c r="W316" i="72"/>
  <c r="W318" i="72"/>
  <c r="W319" i="72"/>
  <c r="W320" i="72"/>
  <c r="W321" i="72"/>
  <c r="W322" i="72"/>
  <c r="W323" i="72"/>
  <c r="W324" i="72"/>
  <c r="W325" i="72"/>
  <c r="W326" i="72"/>
  <c r="W327" i="72"/>
  <c r="W328" i="72"/>
  <c r="W329" i="72"/>
  <c r="W330" i="72"/>
  <c r="W332" i="72"/>
  <c r="W333" i="72"/>
  <c r="W334" i="72"/>
  <c r="W335" i="72"/>
  <c r="W338" i="72"/>
  <c r="W339" i="72"/>
  <c r="W340" i="72"/>
  <c r="W342" i="72"/>
  <c r="W343" i="72"/>
  <c r="W345" i="72"/>
  <c r="W347" i="72"/>
  <c r="W348" i="72"/>
  <c r="W349" i="72"/>
  <c r="W350" i="72"/>
  <c r="W351" i="72"/>
  <c r="W352" i="72"/>
  <c r="W353" i="72"/>
  <c r="W356" i="72"/>
  <c r="W357" i="72"/>
  <c r="W358" i="72"/>
  <c r="W360" i="72"/>
  <c r="W361" i="72"/>
  <c r="W362" i="72"/>
  <c r="W363" i="72"/>
  <c r="W365" i="72"/>
  <c r="W366" i="72"/>
  <c r="W367" i="72"/>
  <c r="W368" i="72"/>
  <c r="W369" i="72"/>
  <c r="W370" i="72"/>
  <c r="W371" i="72"/>
  <c r="W372" i="72"/>
  <c r="W373" i="72"/>
  <c r="W375" i="72"/>
  <c r="W376" i="72"/>
  <c r="W377" i="72"/>
  <c r="W378" i="72"/>
  <c r="W379" i="72"/>
  <c r="W380" i="72"/>
  <c r="W381" i="72"/>
  <c r="W382" i="72"/>
  <c r="W384" i="72"/>
  <c r="W385" i="72"/>
  <c r="W386" i="72"/>
  <c r="W387" i="72"/>
  <c r="W388" i="72"/>
  <c r="W389" i="72"/>
  <c r="W390" i="72"/>
  <c r="W391" i="72"/>
  <c r="W392" i="72"/>
  <c r="W393" i="72"/>
  <c r="W395" i="72"/>
  <c r="W396" i="72"/>
  <c r="W397" i="72"/>
  <c r="W399" i="72"/>
  <c r="W400" i="72"/>
  <c r="W401" i="72"/>
  <c r="W402" i="72"/>
  <c r="W403" i="72"/>
  <c r="W404" i="72"/>
  <c r="W405" i="72"/>
  <c r="W406" i="72"/>
  <c r="W407" i="72"/>
  <c r="W408" i="72"/>
  <c r="W410" i="72"/>
  <c r="W411" i="72"/>
  <c r="W412" i="72"/>
  <c r="W414" i="72"/>
  <c r="W415" i="72"/>
  <c r="W416" i="72"/>
  <c r="W418" i="72"/>
  <c r="W419" i="72"/>
  <c r="W420" i="72"/>
  <c r="W421" i="72"/>
  <c r="W422" i="72"/>
  <c r="W423" i="72"/>
  <c r="W425" i="72"/>
  <c r="W426" i="72"/>
  <c r="W427" i="72"/>
  <c r="W428" i="72"/>
  <c r="W429" i="72"/>
  <c r="W431" i="72"/>
  <c r="W432" i="72"/>
  <c r="W433" i="72"/>
  <c r="W434" i="72"/>
  <c r="W435" i="72"/>
  <c r="W436" i="72"/>
  <c r="W437" i="72"/>
  <c r="W438" i="72"/>
  <c r="W439" i="72"/>
  <c r="W440" i="72"/>
  <c r="W444" i="72"/>
  <c r="W445" i="72"/>
  <c r="W446" i="72"/>
  <c r="W447" i="72"/>
  <c r="W448" i="72"/>
  <c r="W449" i="72"/>
  <c r="W450" i="72"/>
  <c r="W452" i="72"/>
  <c r="W453" i="72"/>
  <c r="W454" i="72"/>
  <c r="W455" i="72"/>
  <c r="W456" i="72"/>
  <c r="W457" i="72"/>
  <c r="W458" i="72"/>
  <c r="W459" i="72"/>
  <c r="W460" i="72"/>
  <c r="W461" i="72"/>
  <c r="W462" i="72"/>
  <c r="W463" i="72"/>
  <c r="W464" i="72"/>
  <c r="W465" i="72"/>
  <c r="W466" i="72"/>
  <c r="W467" i="72"/>
  <c r="W468" i="72"/>
  <c r="W469" i="72"/>
  <c r="W470" i="72"/>
  <c r="W471" i="72"/>
  <c r="W474" i="72"/>
  <c r="W476" i="72"/>
  <c r="W479" i="72"/>
  <c r="W480" i="72"/>
  <c r="W482" i="72"/>
  <c r="W483" i="72"/>
  <c r="W485" i="72"/>
  <c r="W486" i="72"/>
  <c r="W487" i="72"/>
  <c r="W489" i="72"/>
  <c r="W492" i="72"/>
  <c r="W493" i="72"/>
  <c r="W494" i="72"/>
  <c r="W496" i="72"/>
  <c r="W497" i="72"/>
  <c r="W498" i="72"/>
  <c r="W499" i="72"/>
  <c r="W502" i="72"/>
  <c r="W503" i="72"/>
  <c r="W505" i="72"/>
  <c r="W508" i="72"/>
  <c r="W509" i="72"/>
  <c r="W510" i="72"/>
  <c r="W511" i="72"/>
  <c r="W514" i="72"/>
  <c r="W515" i="72"/>
  <c r="W516" i="72"/>
  <c r="W517" i="72"/>
  <c r="W519" i="72"/>
  <c r="W520" i="72"/>
  <c r="W522" i="72"/>
  <c r="W523" i="72"/>
  <c r="W524" i="72"/>
  <c r="W527" i="72"/>
  <c r="W528" i="72"/>
  <c r="W529" i="72"/>
  <c r="W530" i="72"/>
  <c r="W531" i="72"/>
  <c r="W532" i="72"/>
  <c r="W533" i="72"/>
  <c r="W534" i="72"/>
  <c r="W536" i="72"/>
  <c r="W538" i="72"/>
  <c r="W539" i="72"/>
  <c r="W540" i="72"/>
  <c r="W541" i="72"/>
  <c r="W542" i="72"/>
  <c r="W543" i="72"/>
  <c r="W545" i="72"/>
  <c r="W546" i="72"/>
  <c r="W547" i="72"/>
  <c r="W548" i="72"/>
  <c r="W549" i="72"/>
  <c r="W550" i="72"/>
  <c r="W552" i="72"/>
  <c r="W553" i="72"/>
  <c r="W554" i="72"/>
  <c r="W555" i="72"/>
  <c r="W556" i="72"/>
  <c r="W557" i="72"/>
  <c r="W558" i="72"/>
  <c r="W561" i="72"/>
  <c r="W562" i="72"/>
  <c r="W563" i="72"/>
  <c r="W564" i="72"/>
  <c r="W566" i="72"/>
  <c r="W567" i="72"/>
  <c r="W568" i="72"/>
  <c r="W569" i="72"/>
  <c r="W570" i="72"/>
  <c r="W571" i="72"/>
  <c r="W574" i="72"/>
  <c r="W575" i="72"/>
  <c r="W577" i="72"/>
  <c r="W578" i="72"/>
  <c r="W579" i="72"/>
  <c r="W580" i="72"/>
  <c r="W581" i="72"/>
  <c r="W582" i="72"/>
  <c r="W583" i="72"/>
  <c r="W584" i="72"/>
  <c r="W585" i="72"/>
  <c r="W586" i="72"/>
  <c r="W588" i="72"/>
  <c r="W589" i="72"/>
  <c r="W590" i="72"/>
  <c r="W591" i="72"/>
  <c r="W592" i="72"/>
  <c r="W593" i="72"/>
  <c r="W596" i="72"/>
  <c r="W597" i="72"/>
  <c r="W600" i="72"/>
  <c r="W602" i="72"/>
  <c r="W603" i="72"/>
  <c r="W606" i="72"/>
  <c r="W607" i="72"/>
  <c r="W608" i="72"/>
  <c r="W609" i="72"/>
  <c r="W610" i="72"/>
  <c r="W612" i="72"/>
  <c r="W613" i="72"/>
  <c r="W615" i="72"/>
  <c r="W616" i="72"/>
  <c r="W619" i="72"/>
  <c r="W620" i="72"/>
  <c r="W621" i="72"/>
  <c r="W622" i="72"/>
  <c r="W623" i="72"/>
  <c r="W624" i="72"/>
  <c r="W625" i="72"/>
  <c r="W626" i="72"/>
  <c r="W627" i="72"/>
  <c r="W628" i="72"/>
  <c r="W629" i="72"/>
  <c r="W630" i="72"/>
  <c r="W631" i="72"/>
  <c r="W632" i="72"/>
  <c r="W633" i="72"/>
  <c r="W634" i="72"/>
  <c r="W635" i="72"/>
  <c r="W636" i="72"/>
  <c r="W637" i="72"/>
  <c r="W638" i="72"/>
  <c r="W639" i="72"/>
  <c r="W640" i="72"/>
  <c r="W641" i="72"/>
  <c r="W642" i="72"/>
  <c r="W643" i="72"/>
  <c r="W644" i="72"/>
  <c r="W646" i="72"/>
  <c r="W647" i="72"/>
  <c r="W648" i="72"/>
  <c r="W649" i="72"/>
  <c r="W650" i="72"/>
  <c r="W651" i="72"/>
  <c r="W652" i="72"/>
  <c r="W653" i="72"/>
  <c r="W654" i="72"/>
  <c r="W655" i="72"/>
  <c r="W656" i="72"/>
  <c r="W657" i="72"/>
  <c r="W658" i="72"/>
  <c r="W659" i="72"/>
  <c r="W660" i="72"/>
  <c r="W661" i="72"/>
  <c r="W662" i="72"/>
  <c r="W663" i="72"/>
  <c r="W665" i="72"/>
  <c r="W666" i="72"/>
  <c r="W667" i="72"/>
  <c r="W669" i="72"/>
  <c r="W670" i="72"/>
  <c r="W671" i="72"/>
  <c r="W674" i="72"/>
  <c r="W675" i="72"/>
  <c r="W676" i="72"/>
  <c r="W677" i="72"/>
  <c r="W679" i="72"/>
  <c r="W680" i="72"/>
  <c r="W682" i="72"/>
  <c r="W683" i="72"/>
  <c r="W686" i="72"/>
  <c r="W687" i="72"/>
  <c r="W688" i="72"/>
  <c r="W689" i="72"/>
  <c r="W690" i="72"/>
  <c r="W691" i="72"/>
  <c r="W693" i="72"/>
  <c r="W694" i="72"/>
  <c r="W696" i="72"/>
  <c r="W698" i="72"/>
  <c r="W699" i="72"/>
  <c r="W701" i="72"/>
  <c r="W702" i="72"/>
  <c r="W703" i="72"/>
  <c r="W705" i="72"/>
  <c r="W706" i="72"/>
  <c r="W708" i="72"/>
  <c r="W709" i="72"/>
  <c r="W711" i="72"/>
  <c r="W712" i="72"/>
  <c r="W715" i="72"/>
  <c r="W716" i="72"/>
  <c r="W718" i="72"/>
  <c r="W719" i="72"/>
  <c r="W721" i="72"/>
  <c r="W724" i="72"/>
  <c r="W726" i="72"/>
  <c r="W728" i="72"/>
  <c r="W730" i="72"/>
  <c r="W736" i="72"/>
  <c r="W737" i="72"/>
  <c r="W738" i="72"/>
  <c r="W739" i="72"/>
  <c r="W740" i="72"/>
  <c r="W741" i="72"/>
  <c r="W742" i="72"/>
  <c r="W744" i="72"/>
  <c r="W746" i="72"/>
  <c r="W748" i="72"/>
  <c r="W749" i="72"/>
  <c r="W750" i="72"/>
  <c r="W752" i="72"/>
  <c r="W753" i="72"/>
  <c r="W754" i="72"/>
  <c r="W755" i="72"/>
  <c r="W756" i="72"/>
  <c r="W758" i="72"/>
  <c r="W760" i="72"/>
  <c r="W761" i="72"/>
  <c r="W763" i="72"/>
  <c r="W764" i="72"/>
  <c r="W766" i="72"/>
  <c r="W767" i="72"/>
  <c r="W768" i="72"/>
  <c r="W769" i="72"/>
  <c r="W770" i="72"/>
  <c r="W771" i="72"/>
  <c r="W772" i="72"/>
  <c r="W773" i="72"/>
  <c r="W776" i="72"/>
  <c r="W777" i="72"/>
  <c r="W778" i="72"/>
  <c r="W780" i="72"/>
  <c r="W782" i="72"/>
  <c r="W784" i="72"/>
  <c r="W786" i="72"/>
  <c r="W788" i="72"/>
  <c r="W789" i="72"/>
  <c r="W791" i="72"/>
  <c r="W792" i="72"/>
  <c r="W793" i="72"/>
  <c r="W794" i="72"/>
  <c r="W795" i="72"/>
  <c r="W796" i="72"/>
  <c r="W797" i="72"/>
  <c r="W798" i="72"/>
  <c r="W799" i="72"/>
  <c r="W802" i="72"/>
  <c r="W804" i="72"/>
  <c r="W805" i="72"/>
  <c r="W806" i="72"/>
  <c r="W808" i="72"/>
  <c r="W810" i="72"/>
  <c r="W812" i="72"/>
  <c r="W813" i="72"/>
  <c r="W814" i="72"/>
  <c r="W817" i="72"/>
  <c r="W819" i="72"/>
  <c r="W821" i="72"/>
  <c r="W822" i="72"/>
  <c r="W824" i="72"/>
  <c r="W827" i="72"/>
  <c r="W829" i="72"/>
  <c r="W831" i="72"/>
  <c r="W832" i="72"/>
  <c r="W833" i="72"/>
  <c r="W834" i="72"/>
  <c r="W836" i="72"/>
  <c r="W838" i="72"/>
  <c r="X836" i="72"/>
  <c r="X116" i="72"/>
  <c r="X113" i="72"/>
  <c r="X87" i="72"/>
  <c r="AP87" i="72" s="1"/>
  <c r="AC672" i="72" l="1"/>
  <c r="AP672" i="72"/>
  <c r="AC227" i="72"/>
  <c r="AP227" i="72"/>
  <c r="AC113" i="72"/>
  <c r="AP113" i="72"/>
  <c r="AC809" i="72"/>
  <c r="AP809" i="72"/>
  <c r="AC116" i="72"/>
  <c r="AP116" i="72"/>
  <c r="AC601" i="72"/>
  <c r="AP601" i="72"/>
  <c r="AC811" i="72"/>
  <c r="AP811" i="72"/>
  <c r="H20" i="127"/>
  <c r="I20" i="127" s="1"/>
  <c r="AP836" i="72"/>
  <c r="AC673" i="72"/>
  <c r="AP673" i="72"/>
  <c r="AC837" i="72"/>
  <c r="AP837" i="72"/>
  <c r="AC518" i="72"/>
  <c r="AP518" i="72"/>
  <c r="AC344" i="72"/>
  <c r="AP344" i="72"/>
  <c r="Z836" i="72"/>
  <c r="AD836" i="72" s="1"/>
  <c r="Z772" i="72"/>
  <c r="AD772" i="72" s="1"/>
  <c r="Z698" i="72"/>
  <c r="AD698" i="72" s="1"/>
  <c r="Z647" i="72"/>
  <c r="AD647" i="72" s="1"/>
  <c r="Z581" i="72"/>
  <c r="AD581" i="72" s="1"/>
  <c r="Z543" i="72"/>
  <c r="AD543" i="72" s="1"/>
  <c r="Z487" i="72"/>
  <c r="AD487" i="72" s="1"/>
  <c r="Z448" i="72"/>
  <c r="AD448" i="72" s="1"/>
  <c r="Z373" i="72"/>
  <c r="AD373" i="72" s="1"/>
  <c r="Z332" i="72"/>
  <c r="AD332" i="72" s="1"/>
  <c r="Z303" i="72"/>
  <c r="AD303" i="72" s="1"/>
  <c r="Z286" i="72"/>
  <c r="AD286" i="72" s="1"/>
  <c r="Z248" i="72"/>
  <c r="AD248" i="72" s="1"/>
  <c r="Z205" i="72"/>
  <c r="AD205" i="72" s="1"/>
  <c r="Z143" i="72"/>
  <c r="AD143" i="72" s="1"/>
  <c r="Z98" i="72"/>
  <c r="AD98" i="72" s="1"/>
  <c r="Z74" i="72"/>
  <c r="AD74" i="72" s="1"/>
  <c r="Z64" i="72"/>
  <c r="AA64" i="72" s="1"/>
  <c r="Z56" i="72"/>
  <c r="AA56" i="72" s="1"/>
  <c r="Z48" i="72"/>
  <c r="AD48" i="72" s="1"/>
  <c r="Z40" i="72"/>
  <c r="AD40" i="72" s="1"/>
  <c r="Z834" i="72"/>
  <c r="AD834" i="72" s="1"/>
  <c r="Z821" i="72"/>
  <c r="AD821" i="72" s="1"/>
  <c r="Z806" i="72"/>
  <c r="AD806" i="72" s="1"/>
  <c r="Z795" i="72"/>
  <c r="AD795" i="72" s="1"/>
  <c r="Z784" i="72"/>
  <c r="AD784" i="72" s="1"/>
  <c r="Z771" i="72"/>
  <c r="AD771" i="72" s="1"/>
  <c r="Z761" i="72"/>
  <c r="AD761" i="72" s="1"/>
  <c r="Z750" i="72"/>
  <c r="AD750" i="72" s="1"/>
  <c r="Z739" i="72"/>
  <c r="AD739" i="72" s="1"/>
  <c r="Z721" i="72"/>
  <c r="AD721" i="72" s="1"/>
  <c r="Z708" i="72"/>
  <c r="AD708" i="72" s="1"/>
  <c r="Z696" i="72"/>
  <c r="AD696" i="72" s="1"/>
  <c r="Z686" i="72"/>
  <c r="AD686" i="72" s="1"/>
  <c r="Z674" i="72"/>
  <c r="AD674" i="72" s="1"/>
  <c r="Z662" i="72"/>
  <c r="AD662" i="72" s="1"/>
  <c r="Z654" i="72"/>
  <c r="AD654" i="72" s="1"/>
  <c r="Z646" i="72"/>
  <c r="AD646" i="72" s="1"/>
  <c r="Z637" i="72"/>
  <c r="AD637" i="72" s="1"/>
  <c r="Z629" i="72"/>
  <c r="AD629" i="72" s="1"/>
  <c r="Z621" i="72"/>
  <c r="AD621" i="72" s="1"/>
  <c r="Z609" i="72"/>
  <c r="AD609" i="72" s="1"/>
  <c r="Z597" i="72"/>
  <c r="AD597" i="72" s="1"/>
  <c r="Z588" i="72"/>
  <c r="AD588" i="72" s="1"/>
  <c r="Z580" i="72"/>
  <c r="AD580" i="72" s="1"/>
  <c r="Z570" i="72"/>
  <c r="AD570" i="72" s="1"/>
  <c r="Z561" i="72"/>
  <c r="AD561" i="72" s="1"/>
  <c r="Z550" i="72"/>
  <c r="AD550" i="72" s="1"/>
  <c r="Z542" i="72"/>
  <c r="AD542" i="72" s="1"/>
  <c r="Z533" i="72"/>
  <c r="AD533" i="72" s="1"/>
  <c r="Z523" i="72"/>
  <c r="AD523" i="72" s="1"/>
  <c r="Z496" i="72"/>
  <c r="AD496" i="72" s="1"/>
  <c r="Z486" i="72"/>
  <c r="AD486" i="72" s="1"/>
  <c r="Z474" i="72"/>
  <c r="AD474" i="72" s="1"/>
  <c r="Z464" i="72"/>
  <c r="AD464" i="72" s="1"/>
  <c r="Z456" i="72"/>
  <c r="AD456" i="72" s="1"/>
  <c r="Z447" i="72"/>
  <c r="AD447" i="72" s="1"/>
  <c r="Z436" i="72"/>
  <c r="AD436" i="72" s="1"/>
  <c r="Z427" i="72"/>
  <c r="AD427" i="72" s="1"/>
  <c r="Z418" i="72"/>
  <c r="AD418" i="72" s="1"/>
  <c r="Z408" i="72"/>
  <c r="AD408" i="72" s="1"/>
  <c r="Z400" i="72"/>
  <c r="AD400" i="72" s="1"/>
  <c r="Z390" i="72"/>
  <c r="AD390" i="72" s="1"/>
  <c r="Z381" i="72"/>
  <c r="AD381" i="72" s="1"/>
  <c r="Z372" i="72"/>
  <c r="AD372" i="72" s="1"/>
  <c r="Z363" i="72"/>
  <c r="AD363" i="72" s="1"/>
  <c r="Z352" i="72"/>
  <c r="AD352" i="72" s="1"/>
  <c r="Z342" i="72"/>
  <c r="AD342" i="72" s="1"/>
  <c r="Z330" i="72"/>
  <c r="AD330" i="72" s="1"/>
  <c r="Z322" i="72"/>
  <c r="AD322" i="72" s="1"/>
  <c r="Z310" i="72"/>
  <c r="Z302" i="72"/>
  <c r="AD302" i="72" s="1"/>
  <c r="Z294" i="72"/>
  <c r="AD294" i="72" s="1"/>
  <c r="Z285" i="72"/>
  <c r="AD285" i="72" s="1"/>
  <c r="Z274" i="72"/>
  <c r="AD274" i="72" s="1"/>
  <c r="Z264" i="72"/>
  <c r="AD264" i="72" s="1"/>
  <c r="Z256" i="72"/>
  <c r="AD256" i="72" s="1"/>
  <c r="Z247" i="72"/>
  <c r="AD247" i="72" s="1"/>
  <c r="Z238" i="72"/>
  <c r="AD238" i="72" s="1"/>
  <c r="Z226" i="72"/>
  <c r="AD226" i="72" s="1"/>
  <c r="Z215" i="72"/>
  <c r="AD215" i="72" s="1"/>
  <c r="Z204" i="72"/>
  <c r="AD204" i="72" s="1"/>
  <c r="Z182" i="72"/>
  <c r="AD182" i="72" s="1"/>
  <c r="Z172" i="72"/>
  <c r="AD172" i="72" s="1"/>
  <c r="Z162" i="72"/>
  <c r="AD162" i="72" s="1"/>
  <c r="Z152" i="72"/>
  <c r="AD152" i="72" s="1"/>
  <c r="Z142" i="72"/>
  <c r="AD142" i="72" s="1"/>
  <c r="Z132" i="72"/>
  <c r="AD132" i="72" s="1"/>
  <c r="Z121" i="72"/>
  <c r="AD121" i="72" s="1"/>
  <c r="Z108" i="72"/>
  <c r="AD108" i="72" s="1"/>
  <c r="Z97" i="72"/>
  <c r="AD97" i="72" s="1"/>
  <c r="Z83" i="72"/>
  <c r="AD83" i="72" s="1"/>
  <c r="Z72" i="72"/>
  <c r="AD72" i="72" s="1"/>
  <c r="Z63" i="72"/>
  <c r="AA63" i="72" s="1"/>
  <c r="Z55" i="72"/>
  <c r="AA55" i="72" s="1"/>
  <c r="Z47" i="72"/>
  <c r="AD47" i="72" s="1"/>
  <c r="Z39" i="72"/>
  <c r="AD39" i="72" s="1"/>
  <c r="Z822" i="72"/>
  <c r="AD822" i="72" s="1"/>
  <c r="Z740" i="72"/>
  <c r="AD740" i="72" s="1"/>
  <c r="Z655" i="72"/>
  <c r="AD655" i="72" s="1"/>
  <c r="Z589" i="72"/>
  <c r="AD589" i="72" s="1"/>
  <c r="Z552" i="72"/>
  <c r="AD552" i="72" s="1"/>
  <c r="Z497" i="72"/>
  <c r="AD497" i="72" s="1"/>
  <c r="Z465" i="72"/>
  <c r="AD465" i="72" s="1"/>
  <c r="Z419" i="72"/>
  <c r="AD419" i="72" s="1"/>
  <c r="Z382" i="72"/>
  <c r="AD382" i="72" s="1"/>
  <c r="Z353" i="72"/>
  <c r="AD353" i="72" s="1"/>
  <c r="Z312" i="72"/>
  <c r="AD312" i="72" s="1"/>
  <c r="Z275" i="72"/>
  <c r="AD275" i="72" s="1"/>
  <c r="Z257" i="72"/>
  <c r="AD257" i="72" s="1"/>
  <c r="Z216" i="72"/>
  <c r="AD216" i="72" s="1"/>
  <c r="Z174" i="72"/>
  <c r="AD174" i="72" s="1"/>
  <c r="Z133" i="72"/>
  <c r="AD133" i="72" s="1"/>
  <c r="Z833" i="72"/>
  <c r="AD833" i="72" s="1"/>
  <c r="Z819" i="72"/>
  <c r="AD819" i="72" s="1"/>
  <c r="Z805" i="72"/>
  <c r="AD805" i="72" s="1"/>
  <c r="Z794" i="72"/>
  <c r="AD794" i="72" s="1"/>
  <c r="Z782" i="72"/>
  <c r="AD782" i="72" s="1"/>
  <c r="Z770" i="72"/>
  <c r="AD770" i="72" s="1"/>
  <c r="Z760" i="72"/>
  <c r="AD760" i="72" s="1"/>
  <c r="Z749" i="72"/>
  <c r="AD749" i="72" s="1"/>
  <c r="Z738" i="72"/>
  <c r="AD738" i="72" s="1"/>
  <c r="Z719" i="72"/>
  <c r="AD719" i="72" s="1"/>
  <c r="Z706" i="72"/>
  <c r="AD706" i="72" s="1"/>
  <c r="Z694" i="72"/>
  <c r="AD694" i="72" s="1"/>
  <c r="Z683" i="72"/>
  <c r="AD683" i="72" s="1"/>
  <c r="Z671" i="72"/>
  <c r="AD671" i="72" s="1"/>
  <c r="Z661" i="72"/>
  <c r="AD661" i="72" s="1"/>
  <c r="Z653" i="72"/>
  <c r="AD653" i="72" s="1"/>
  <c r="Z644" i="72"/>
  <c r="AD644" i="72" s="1"/>
  <c r="Z636" i="72"/>
  <c r="AD636" i="72" s="1"/>
  <c r="Z628" i="72"/>
  <c r="AD628" i="72" s="1"/>
  <c r="Z620" i="72"/>
  <c r="AD620" i="72" s="1"/>
  <c r="Z608" i="72"/>
  <c r="AD608" i="72" s="1"/>
  <c r="Z596" i="72"/>
  <c r="AD596" i="72" s="1"/>
  <c r="Z579" i="72"/>
  <c r="AD579" i="72" s="1"/>
  <c r="Z569" i="72"/>
  <c r="AD569" i="72" s="1"/>
  <c r="Z558" i="72"/>
  <c r="AD558" i="72" s="1"/>
  <c r="Z549" i="72"/>
  <c r="AD549" i="72" s="1"/>
  <c r="Z541" i="72"/>
  <c r="AD541" i="72" s="1"/>
  <c r="Z532" i="72"/>
  <c r="AD532" i="72" s="1"/>
  <c r="Z522" i="72"/>
  <c r="AD522" i="72" s="1"/>
  <c r="Z511" i="72"/>
  <c r="AD511" i="72" s="1"/>
  <c r="Z503" i="72"/>
  <c r="AD503" i="72" s="1"/>
  <c r="Z485" i="72"/>
  <c r="AD485" i="72" s="1"/>
  <c r="Z471" i="72"/>
  <c r="AD471" i="72" s="1"/>
  <c r="Z463" i="72"/>
  <c r="AD463" i="72" s="1"/>
  <c r="Z455" i="72"/>
  <c r="AD455" i="72" s="1"/>
  <c r="Z446" i="72"/>
  <c r="AD446" i="72" s="1"/>
  <c r="Z435" i="72"/>
  <c r="AD435" i="72" s="1"/>
  <c r="Z426" i="72"/>
  <c r="AD426" i="72" s="1"/>
  <c r="Z416" i="72"/>
  <c r="AD416" i="72" s="1"/>
  <c r="Z407" i="72"/>
  <c r="AD407" i="72" s="1"/>
  <c r="Z399" i="72"/>
  <c r="AD399" i="72" s="1"/>
  <c r="Z389" i="72"/>
  <c r="AD389" i="72" s="1"/>
  <c r="Z380" i="72"/>
  <c r="AD380" i="72" s="1"/>
  <c r="Z371" i="72"/>
  <c r="AD371" i="72" s="1"/>
  <c r="Z362" i="72"/>
  <c r="AD362" i="72" s="1"/>
  <c r="Z351" i="72"/>
  <c r="AD351" i="72" s="1"/>
  <c r="Z340" i="72"/>
  <c r="AD340" i="72" s="1"/>
  <c r="Z329" i="72"/>
  <c r="AD329" i="72" s="1"/>
  <c r="Z321" i="72"/>
  <c r="AD321" i="72" s="1"/>
  <c r="Z309" i="72"/>
  <c r="AD309" i="72" s="1"/>
  <c r="Z301" i="72"/>
  <c r="AD301" i="72" s="1"/>
  <c r="Z293" i="72"/>
  <c r="AD293" i="72" s="1"/>
  <c r="Z284" i="72"/>
  <c r="AD284" i="72" s="1"/>
  <c r="Z273" i="72"/>
  <c r="AA273" i="72" s="1"/>
  <c r="Z263" i="72"/>
  <c r="AD263" i="72" s="1"/>
  <c r="Z254" i="72"/>
  <c r="AD254" i="72" s="1"/>
  <c r="Z246" i="72"/>
  <c r="AD246" i="72" s="1"/>
  <c r="Z237" i="72"/>
  <c r="AD237" i="72" s="1"/>
  <c r="Z225" i="72"/>
  <c r="AD225" i="72" s="1"/>
  <c r="Z214" i="72"/>
  <c r="AD214" i="72" s="1"/>
  <c r="Z202" i="72"/>
  <c r="AD202" i="72" s="1"/>
  <c r="Z192" i="72"/>
  <c r="AD192" i="72" s="1"/>
  <c r="Z181" i="72"/>
  <c r="AD181" i="72" s="1"/>
  <c r="Z171" i="72"/>
  <c r="AD171" i="72" s="1"/>
  <c r="Z161" i="72"/>
  <c r="AD161" i="72" s="1"/>
  <c r="Z140" i="72"/>
  <c r="AD140" i="72" s="1"/>
  <c r="Z131" i="72"/>
  <c r="AD131" i="72" s="1"/>
  <c r="Z120" i="72"/>
  <c r="AD120" i="72" s="1"/>
  <c r="Z106" i="72"/>
  <c r="AD106" i="72" s="1"/>
  <c r="Z95" i="72"/>
  <c r="AD95" i="72" s="1"/>
  <c r="Z82" i="72"/>
  <c r="AD82" i="72" s="1"/>
  <c r="Z70" i="72"/>
  <c r="AA70" i="72" s="1"/>
  <c r="Z62" i="72"/>
  <c r="AA62" i="72" s="1"/>
  <c r="Z54" i="72"/>
  <c r="AA54" i="72" s="1"/>
  <c r="Z46" i="72"/>
  <c r="AD46" i="72" s="1"/>
  <c r="Z38" i="72"/>
  <c r="AD38" i="72" s="1"/>
  <c r="Z19" i="72"/>
  <c r="AD19" i="72" s="1"/>
  <c r="Z752" i="72"/>
  <c r="AD752" i="72" s="1"/>
  <c r="Z675" i="72"/>
  <c r="AD675" i="72" s="1"/>
  <c r="Z622" i="72"/>
  <c r="AD622" i="72" s="1"/>
  <c r="Z562" i="72"/>
  <c r="AD562" i="72" s="1"/>
  <c r="Z514" i="72"/>
  <c r="AD514" i="72" s="1"/>
  <c r="Z476" i="72"/>
  <c r="AD476" i="72" s="1"/>
  <c r="Z457" i="72"/>
  <c r="AD457" i="72" s="1"/>
  <c r="Z437" i="72"/>
  <c r="AD437" i="72" s="1"/>
  <c r="Z391" i="72"/>
  <c r="AD391" i="72" s="1"/>
  <c r="Z365" i="72"/>
  <c r="AD365" i="72" s="1"/>
  <c r="Z323" i="72"/>
  <c r="AD323" i="72" s="1"/>
  <c r="Z295" i="72"/>
  <c r="AD295" i="72" s="1"/>
  <c r="Z265" i="72"/>
  <c r="AD265" i="72" s="1"/>
  <c r="Z239" i="72"/>
  <c r="AD239" i="72" s="1"/>
  <c r="Z194" i="72"/>
  <c r="AD194" i="72" s="1"/>
  <c r="Z123" i="72"/>
  <c r="AD123" i="72" s="1"/>
  <c r="Z832" i="72"/>
  <c r="AD832" i="72" s="1"/>
  <c r="Z817" i="72"/>
  <c r="AD817" i="72" s="1"/>
  <c r="Z804" i="72"/>
  <c r="AD804" i="72" s="1"/>
  <c r="Z793" i="72"/>
  <c r="AD793" i="72" s="1"/>
  <c r="Z780" i="72"/>
  <c r="AD780" i="72" s="1"/>
  <c r="Z769" i="72"/>
  <c r="AD769" i="72" s="1"/>
  <c r="Z758" i="72"/>
  <c r="AD758" i="72" s="1"/>
  <c r="Z748" i="72"/>
  <c r="AD748" i="72" s="1"/>
  <c r="Z737" i="72"/>
  <c r="AD737" i="72" s="1"/>
  <c r="Z718" i="72"/>
  <c r="AD718" i="72" s="1"/>
  <c r="Z705" i="72"/>
  <c r="AD705" i="72" s="1"/>
  <c r="Z693" i="72"/>
  <c r="AD693" i="72" s="1"/>
  <c r="Z682" i="72"/>
  <c r="AD682" i="72" s="1"/>
  <c r="Z670" i="72"/>
  <c r="AD670" i="72" s="1"/>
  <c r="Z660" i="72"/>
  <c r="AD660" i="72" s="1"/>
  <c r="Z652" i="72"/>
  <c r="AD652" i="72" s="1"/>
  <c r="Z643" i="72"/>
  <c r="AD643" i="72" s="1"/>
  <c r="Z635" i="72"/>
  <c r="AD635" i="72" s="1"/>
  <c r="Z627" i="72"/>
  <c r="AD627" i="72" s="1"/>
  <c r="Z619" i="72"/>
  <c r="AD619" i="72" s="1"/>
  <c r="Z607" i="72"/>
  <c r="AD607" i="72" s="1"/>
  <c r="Z586" i="72"/>
  <c r="AD586" i="72" s="1"/>
  <c r="Z578" i="72"/>
  <c r="AD578" i="72" s="1"/>
  <c r="Z568" i="72"/>
  <c r="AD568" i="72" s="1"/>
  <c r="Z557" i="72"/>
  <c r="AD557" i="72" s="1"/>
  <c r="Z548" i="72"/>
  <c r="AD548" i="72" s="1"/>
  <c r="Z540" i="72"/>
  <c r="AD540" i="72" s="1"/>
  <c r="Z531" i="72"/>
  <c r="AD531" i="72" s="1"/>
  <c r="Z520" i="72"/>
  <c r="AD520" i="72" s="1"/>
  <c r="Z510" i="72"/>
  <c r="AD510" i="72" s="1"/>
  <c r="Z502" i="72"/>
  <c r="AD502" i="72" s="1"/>
  <c r="Z494" i="72"/>
  <c r="AD494" i="72" s="1"/>
  <c r="Z470" i="72"/>
  <c r="AD470" i="72" s="1"/>
  <c r="Z462" i="72"/>
  <c r="AD462" i="72" s="1"/>
  <c r="Z454" i="72"/>
  <c r="AD454" i="72" s="1"/>
  <c r="Z445" i="72"/>
  <c r="AD445" i="72" s="1"/>
  <c r="Z434" i="72"/>
  <c r="AD434" i="72" s="1"/>
  <c r="Z425" i="72"/>
  <c r="AD425" i="72" s="1"/>
  <c r="Z415" i="72"/>
  <c r="AD415" i="72" s="1"/>
  <c r="Z406" i="72"/>
  <c r="AD406" i="72" s="1"/>
  <c r="Z397" i="72"/>
  <c r="AD397" i="72" s="1"/>
  <c r="Z388" i="72"/>
  <c r="AD388" i="72" s="1"/>
  <c r="Z379" i="72"/>
  <c r="AD379" i="72" s="1"/>
  <c r="Z370" i="72"/>
  <c r="AD370" i="72" s="1"/>
  <c r="Z361" i="72"/>
  <c r="AD361" i="72" s="1"/>
  <c r="Z350" i="72"/>
  <c r="AD350" i="72" s="1"/>
  <c r="Z339" i="72"/>
  <c r="AD339" i="72" s="1"/>
  <c r="Z328" i="72"/>
  <c r="AD328" i="72" s="1"/>
  <c r="Z320" i="72"/>
  <c r="AD320" i="72" s="1"/>
  <c r="Z308" i="72"/>
  <c r="AD308" i="72" s="1"/>
  <c r="Z300" i="72"/>
  <c r="AD300" i="72" s="1"/>
  <c r="Z292" i="72"/>
  <c r="AD292" i="72" s="1"/>
  <c r="Z283" i="72"/>
  <c r="AD283" i="72" s="1"/>
  <c r="Z272" i="72"/>
  <c r="Z262" i="72"/>
  <c r="AD262" i="72" s="1"/>
  <c r="Z253" i="72"/>
  <c r="AD253" i="72" s="1"/>
  <c r="Z245" i="72"/>
  <c r="AD245" i="72" s="1"/>
  <c r="Z236" i="72"/>
  <c r="AD236" i="72" s="1"/>
  <c r="Z224" i="72"/>
  <c r="AD224" i="72" s="1"/>
  <c r="Z212" i="72"/>
  <c r="AD212" i="72" s="1"/>
  <c r="Z201" i="72"/>
  <c r="AD201" i="72" s="1"/>
  <c r="Z190" i="72"/>
  <c r="AD190" i="72" s="1"/>
  <c r="Z180" i="72"/>
  <c r="AD180" i="72" s="1"/>
  <c r="Z170" i="72"/>
  <c r="AD170" i="72" s="1"/>
  <c r="Z160" i="72"/>
  <c r="AD160" i="72" s="1"/>
  <c r="Z150" i="72"/>
  <c r="AD150" i="72" s="1"/>
  <c r="Z105" i="72"/>
  <c r="AD105" i="72" s="1"/>
  <c r="Z94" i="72"/>
  <c r="AD94" i="72" s="1"/>
  <c r="Z79" i="72"/>
  <c r="AD79" i="72" s="1"/>
  <c r="Z69" i="72"/>
  <c r="AA69" i="72" s="1"/>
  <c r="Z61" i="72"/>
  <c r="AA61" i="72" s="1"/>
  <c r="Z53" i="72"/>
  <c r="AD53" i="72" s="1"/>
  <c r="Z45" i="72"/>
  <c r="AD45" i="72" s="1"/>
  <c r="Z37" i="72"/>
  <c r="AD37" i="72" s="1"/>
  <c r="Z27" i="72"/>
  <c r="AD27" i="72" s="1"/>
  <c r="Y838" i="72"/>
  <c r="Z796" i="72"/>
  <c r="AD796" i="72" s="1"/>
  <c r="Z724" i="72"/>
  <c r="AD724" i="72" s="1"/>
  <c r="Z663" i="72"/>
  <c r="AD663" i="72" s="1"/>
  <c r="Z534" i="72"/>
  <c r="AD534" i="72" s="1"/>
  <c r="Z428" i="72"/>
  <c r="AD428" i="72" s="1"/>
  <c r="Z184" i="72"/>
  <c r="AD184" i="72" s="1"/>
  <c r="Z802" i="72"/>
  <c r="AD802" i="72" s="1"/>
  <c r="Z736" i="72"/>
  <c r="AD736" i="72" s="1"/>
  <c r="Z680" i="72"/>
  <c r="AD680" i="72" s="1"/>
  <c r="Z659" i="72"/>
  <c r="AD659" i="72" s="1"/>
  <c r="Z642" i="72"/>
  <c r="AD642" i="72" s="1"/>
  <c r="Z626" i="72"/>
  <c r="AD626" i="72" s="1"/>
  <c r="Z606" i="72"/>
  <c r="AD606" i="72" s="1"/>
  <c r="Z593" i="72"/>
  <c r="AD593" i="72" s="1"/>
  <c r="Z585" i="72"/>
  <c r="AD585" i="72" s="1"/>
  <c r="Z577" i="72"/>
  <c r="AD577" i="72" s="1"/>
  <c r="Z567" i="72"/>
  <c r="AD567" i="72" s="1"/>
  <c r="Z556" i="72"/>
  <c r="AD556" i="72" s="1"/>
  <c r="Z547" i="72"/>
  <c r="AD547" i="72" s="1"/>
  <c r="Z539" i="72"/>
  <c r="AD539" i="72" s="1"/>
  <c r="Z530" i="72"/>
  <c r="AD530" i="72" s="1"/>
  <c r="Z519" i="72"/>
  <c r="AD519" i="72" s="1"/>
  <c r="Z509" i="72"/>
  <c r="AD509" i="72" s="1"/>
  <c r="Z493" i="72"/>
  <c r="AD493" i="72" s="1"/>
  <c r="Z483" i="72"/>
  <c r="AD483" i="72" s="1"/>
  <c r="Z469" i="72"/>
  <c r="AD469" i="72" s="1"/>
  <c r="Z461" i="72"/>
  <c r="AD461" i="72" s="1"/>
  <c r="Z453" i="72"/>
  <c r="AD453" i="72" s="1"/>
  <c r="Z444" i="72"/>
  <c r="AD444" i="72" s="1"/>
  <c r="Z433" i="72"/>
  <c r="AD433" i="72" s="1"/>
  <c r="Z423" i="72"/>
  <c r="AD423" i="72" s="1"/>
  <c r="Z414" i="72"/>
  <c r="AD414" i="72" s="1"/>
  <c r="Z405" i="72"/>
  <c r="AD405" i="72" s="1"/>
  <c r="Z396" i="72"/>
  <c r="AD396" i="72" s="1"/>
  <c r="Z387" i="72"/>
  <c r="AD387" i="72" s="1"/>
  <c r="Z378" i="72"/>
  <c r="AD378" i="72" s="1"/>
  <c r="Z369" i="72"/>
  <c r="AD369" i="72" s="1"/>
  <c r="Z360" i="72"/>
  <c r="AD360" i="72" s="1"/>
  <c r="Z349" i="72"/>
  <c r="AD349" i="72" s="1"/>
  <c r="Z338" i="72"/>
  <c r="AD338" i="72" s="1"/>
  <c r="Z327" i="72"/>
  <c r="AD327" i="72" s="1"/>
  <c r="Z319" i="72"/>
  <c r="AD319" i="72" s="1"/>
  <c r="Z307" i="72"/>
  <c r="AD307" i="72" s="1"/>
  <c r="Z299" i="72"/>
  <c r="AD299" i="72" s="1"/>
  <c r="Z291" i="72"/>
  <c r="AD291" i="72" s="1"/>
  <c r="Z282" i="72"/>
  <c r="AA282" i="72" s="1"/>
  <c r="AB282" i="72" s="1"/>
  <c r="Z271" i="72"/>
  <c r="Z261" i="72"/>
  <c r="AD261" i="72" s="1"/>
  <c r="Z252" i="72"/>
  <c r="AD252" i="72" s="1"/>
  <c r="Z243" i="72"/>
  <c r="AD243" i="72" s="1"/>
  <c r="Z234" i="72"/>
  <c r="AD234" i="72" s="1"/>
  <c r="Z222" i="72"/>
  <c r="AD222" i="72" s="1"/>
  <c r="Z211" i="72"/>
  <c r="AD211" i="72" s="1"/>
  <c r="Z200" i="72"/>
  <c r="AD200" i="72" s="1"/>
  <c r="Z189" i="72"/>
  <c r="AD189" i="72" s="1"/>
  <c r="Z179" i="72"/>
  <c r="AD179" i="72" s="1"/>
  <c r="Z169" i="72"/>
  <c r="AD169" i="72" s="1"/>
  <c r="Z159" i="72"/>
  <c r="AD159" i="72" s="1"/>
  <c r="Z148" i="72"/>
  <c r="AD148" i="72" s="1"/>
  <c r="Z138" i="72"/>
  <c r="AD138" i="72" s="1"/>
  <c r="Z115" i="72"/>
  <c r="AD115" i="72" s="1"/>
  <c r="Z103" i="72"/>
  <c r="AD103" i="72" s="1"/>
  <c r="Z92" i="72"/>
  <c r="AD92" i="72" s="1"/>
  <c r="Z78" i="72"/>
  <c r="AD78" i="72" s="1"/>
  <c r="Z68" i="72"/>
  <c r="AA68" i="72" s="1"/>
  <c r="Z60" i="72"/>
  <c r="Z52" i="72"/>
  <c r="AD52" i="72" s="1"/>
  <c r="Z44" i="72"/>
  <c r="AD44" i="72" s="1"/>
  <c r="Z36" i="72"/>
  <c r="AD36" i="72" s="1"/>
  <c r="Z26" i="72"/>
  <c r="AD26" i="72" s="1"/>
  <c r="Z610" i="72"/>
  <c r="AD610" i="72" s="1"/>
  <c r="Z228" i="72"/>
  <c r="AD228" i="72" s="1"/>
  <c r="Z814" i="72"/>
  <c r="AD814" i="72" s="1"/>
  <c r="Z778" i="72"/>
  <c r="AD778" i="72" s="1"/>
  <c r="Z746" i="72"/>
  <c r="AD746" i="72" s="1"/>
  <c r="Z703" i="72"/>
  <c r="AD703" i="72" s="1"/>
  <c r="Z651" i="72"/>
  <c r="AD651" i="72" s="1"/>
  <c r="Z616" i="72"/>
  <c r="AD616" i="72" s="1"/>
  <c r="Z813" i="72"/>
  <c r="AD813" i="72" s="1"/>
  <c r="Z777" i="72"/>
  <c r="AD777" i="72" s="1"/>
  <c r="Z744" i="72"/>
  <c r="AD744" i="72" s="1"/>
  <c r="Z702" i="72"/>
  <c r="AD702" i="72" s="1"/>
  <c r="Z667" i="72"/>
  <c r="AD667" i="72" s="1"/>
  <c r="Z641" i="72"/>
  <c r="AD641" i="72" s="1"/>
  <c r="Z625" i="72"/>
  <c r="AD625" i="72" s="1"/>
  <c r="Z615" i="72"/>
  <c r="AD615" i="72" s="1"/>
  <c r="Z592" i="72"/>
  <c r="AD592" i="72" s="1"/>
  <c r="Z584" i="72"/>
  <c r="AD584" i="72" s="1"/>
  <c r="Z575" i="72"/>
  <c r="AD575" i="72" s="1"/>
  <c r="Z566" i="72"/>
  <c r="AD566" i="72" s="1"/>
  <c r="Z555" i="72"/>
  <c r="AD555" i="72" s="1"/>
  <c r="Z546" i="72"/>
  <c r="AD546" i="72" s="1"/>
  <c r="Z538" i="72"/>
  <c r="AD538" i="72" s="1"/>
  <c r="Z529" i="72"/>
  <c r="AD529" i="72" s="1"/>
  <c r="Z517" i="72"/>
  <c r="AD517" i="72" s="1"/>
  <c r="Z508" i="72"/>
  <c r="AD508" i="72" s="1"/>
  <c r="Z492" i="72"/>
  <c r="AD492" i="72" s="1"/>
  <c r="Z482" i="72"/>
  <c r="AD482" i="72" s="1"/>
  <c r="Z468" i="72"/>
  <c r="AD468" i="72" s="1"/>
  <c r="Z460" i="72"/>
  <c r="AD460" i="72" s="1"/>
  <c r="Z452" i="72"/>
  <c r="AD452" i="72" s="1"/>
  <c r="Z440" i="72"/>
  <c r="AD440" i="72" s="1"/>
  <c r="Z432" i="72"/>
  <c r="AD432" i="72" s="1"/>
  <c r="Z422" i="72"/>
  <c r="AD422" i="72" s="1"/>
  <c r="Z412" i="72"/>
  <c r="AD412" i="72" s="1"/>
  <c r="Z404" i="72"/>
  <c r="AD404" i="72" s="1"/>
  <c r="Z395" i="72"/>
  <c r="AD395" i="72" s="1"/>
  <c r="Z386" i="72"/>
  <c r="AD386" i="72" s="1"/>
  <c r="Z377" i="72"/>
  <c r="AD377" i="72" s="1"/>
  <c r="Z368" i="72"/>
  <c r="AD368" i="72" s="1"/>
  <c r="Z358" i="72"/>
  <c r="AD358" i="72" s="1"/>
  <c r="Z348" i="72"/>
  <c r="AD348" i="72" s="1"/>
  <c r="Z335" i="72"/>
  <c r="AD335" i="72" s="1"/>
  <c r="Z326" i="72"/>
  <c r="AD326" i="72" s="1"/>
  <c r="Z318" i="72"/>
  <c r="AD318" i="72" s="1"/>
  <c r="Z306" i="72"/>
  <c r="AD306" i="72" s="1"/>
  <c r="Z298" i="72"/>
  <c r="AD298" i="72" s="1"/>
  <c r="Z290" i="72"/>
  <c r="AD290" i="72" s="1"/>
  <c r="Z281" i="72"/>
  <c r="AD281" i="72" s="1"/>
  <c r="Z269" i="72"/>
  <c r="AD269" i="72" s="1"/>
  <c r="Z260" i="72"/>
  <c r="AD260" i="72" s="1"/>
  <c r="Z251" i="72"/>
  <c r="AD251" i="72" s="1"/>
  <c r="Z242" i="72"/>
  <c r="AD242" i="72" s="1"/>
  <c r="Z233" i="72"/>
  <c r="AD233" i="72" s="1"/>
  <c r="Z221" i="72"/>
  <c r="AD221" i="72" s="1"/>
  <c r="Z210" i="72"/>
  <c r="AD210" i="72" s="1"/>
  <c r="Z198" i="72"/>
  <c r="AD198" i="72" s="1"/>
  <c r="Z188" i="72"/>
  <c r="AD188" i="72" s="1"/>
  <c r="Z177" i="72"/>
  <c r="AD177" i="72" s="1"/>
  <c r="Z167" i="72"/>
  <c r="AD167" i="72" s="1"/>
  <c r="Z147" i="72"/>
  <c r="AD147" i="72" s="1"/>
  <c r="Z136" i="72"/>
  <c r="AD136" i="72" s="1"/>
  <c r="Z114" i="72"/>
  <c r="AD114" i="72" s="1"/>
  <c r="Z102" i="72"/>
  <c r="AD102" i="72" s="1"/>
  <c r="Z90" i="72"/>
  <c r="AD90" i="72" s="1"/>
  <c r="Z77" i="72"/>
  <c r="AD77" i="72" s="1"/>
  <c r="Z67" i="72"/>
  <c r="AA67" i="72" s="1"/>
  <c r="Z59" i="72"/>
  <c r="AA59" i="72" s="1"/>
  <c r="Z51" i="72"/>
  <c r="AD51" i="72" s="1"/>
  <c r="Z43" i="72"/>
  <c r="AD43" i="72" s="1"/>
  <c r="Z35" i="72"/>
  <c r="AD35" i="72" s="1"/>
  <c r="Z25" i="72"/>
  <c r="AD25" i="72" s="1"/>
  <c r="Z786" i="72"/>
  <c r="AD786" i="72" s="1"/>
  <c r="Z709" i="72"/>
  <c r="AD709" i="72" s="1"/>
  <c r="Z638" i="72"/>
  <c r="AD638" i="72" s="1"/>
  <c r="Z571" i="72"/>
  <c r="AD571" i="72" s="1"/>
  <c r="Z505" i="72"/>
  <c r="AD505" i="72" s="1"/>
  <c r="Z401" i="72"/>
  <c r="AD401" i="72" s="1"/>
  <c r="Z109" i="72"/>
  <c r="AD109" i="72" s="1"/>
  <c r="Z831" i="72"/>
  <c r="AD831" i="72" s="1"/>
  <c r="Z792" i="72"/>
  <c r="AD792" i="72" s="1"/>
  <c r="Z768" i="72"/>
  <c r="AD768" i="72" s="1"/>
  <c r="Z756" i="72"/>
  <c r="AD756" i="72" s="1"/>
  <c r="Z716" i="72"/>
  <c r="AD716" i="72" s="1"/>
  <c r="Z691" i="72"/>
  <c r="AD691" i="72" s="1"/>
  <c r="Z669" i="72"/>
  <c r="AD669" i="72" s="1"/>
  <c r="Z634" i="72"/>
  <c r="AD634" i="72" s="1"/>
  <c r="Z829" i="72"/>
  <c r="AD829" i="72" s="1"/>
  <c r="Z799" i="72"/>
  <c r="AD799" i="72" s="1"/>
  <c r="Z791" i="72"/>
  <c r="AD791" i="72" s="1"/>
  <c r="Z767" i="72"/>
  <c r="AA767" i="72" s="1"/>
  <c r="AB767" i="72" s="1"/>
  <c r="Z755" i="72"/>
  <c r="AD755" i="72" s="1"/>
  <c r="Z730" i="72"/>
  <c r="AD730" i="72" s="1"/>
  <c r="Z715" i="72"/>
  <c r="AD715" i="72" s="1"/>
  <c r="Z690" i="72"/>
  <c r="AD690" i="72" s="1"/>
  <c r="Z679" i="72"/>
  <c r="AD679" i="72" s="1"/>
  <c r="Z658" i="72"/>
  <c r="AD658" i="72" s="1"/>
  <c r="Z650" i="72"/>
  <c r="AD650" i="72" s="1"/>
  <c r="Z633" i="72"/>
  <c r="AD633" i="72" s="1"/>
  <c r="Z603" i="72"/>
  <c r="AD603" i="72" s="1"/>
  <c r="Y836" i="72"/>
  <c r="Z827" i="72"/>
  <c r="AD827" i="72" s="1"/>
  <c r="Z812" i="72"/>
  <c r="AD812" i="72" s="1"/>
  <c r="Z798" i="72"/>
  <c r="AD798" i="72" s="1"/>
  <c r="Z789" i="72"/>
  <c r="AD789" i="72" s="1"/>
  <c r="Z776" i="72"/>
  <c r="AD776" i="72" s="1"/>
  <c r="Z766" i="72"/>
  <c r="AD766" i="72" s="1"/>
  <c r="Z754" i="72"/>
  <c r="AD754" i="72" s="1"/>
  <c r="Z742" i="72"/>
  <c r="AD742" i="72" s="1"/>
  <c r="Z728" i="72"/>
  <c r="AD728" i="72" s="1"/>
  <c r="Z712" i="72"/>
  <c r="AD712" i="72" s="1"/>
  <c r="Z701" i="72"/>
  <c r="AD701" i="72" s="1"/>
  <c r="Z689" i="72"/>
  <c r="AD689" i="72" s="1"/>
  <c r="Z677" i="72"/>
  <c r="AD677" i="72" s="1"/>
  <c r="Z666" i="72"/>
  <c r="AD666" i="72" s="1"/>
  <c r="Z657" i="72"/>
  <c r="AD657" i="72" s="1"/>
  <c r="Z649" i="72"/>
  <c r="AD649" i="72" s="1"/>
  <c r="Z640" i="72"/>
  <c r="AD640" i="72" s="1"/>
  <c r="Z632" i="72"/>
  <c r="AD632" i="72" s="1"/>
  <c r="Z624" i="72"/>
  <c r="AD624" i="72" s="1"/>
  <c r="Z613" i="72"/>
  <c r="AD613" i="72" s="1"/>
  <c r="Z602" i="72"/>
  <c r="AD602" i="72" s="1"/>
  <c r="Z591" i="72"/>
  <c r="AD591" i="72" s="1"/>
  <c r="Z583" i="72"/>
  <c r="AD583" i="72" s="1"/>
  <c r="Z574" i="72"/>
  <c r="AD574" i="72" s="1"/>
  <c r="Z564" i="72"/>
  <c r="AD564" i="72" s="1"/>
  <c r="Z554" i="72"/>
  <c r="AD554" i="72" s="1"/>
  <c r="Z545" i="72"/>
  <c r="AD545" i="72" s="1"/>
  <c r="Z528" i="72"/>
  <c r="AD528" i="72" s="1"/>
  <c r="Z516" i="72"/>
  <c r="AD516" i="72" s="1"/>
  <c r="Z499" i="72"/>
  <c r="AD499" i="72" s="1"/>
  <c r="Z480" i="72"/>
  <c r="AD480" i="72" s="1"/>
  <c r="Z467" i="72"/>
  <c r="AD467" i="72" s="1"/>
  <c r="Z459" i="72"/>
  <c r="AD459" i="72" s="1"/>
  <c r="Z450" i="72"/>
  <c r="AD450" i="72" s="1"/>
  <c r="Z439" i="72"/>
  <c r="AD439" i="72" s="1"/>
  <c r="Z431" i="72"/>
  <c r="AD431" i="72" s="1"/>
  <c r="Z421" i="72"/>
  <c r="AD421" i="72" s="1"/>
  <c r="Z411" i="72"/>
  <c r="AD411" i="72" s="1"/>
  <c r="Z403" i="72"/>
  <c r="AD403" i="72" s="1"/>
  <c r="Z393" i="72"/>
  <c r="AD393" i="72" s="1"/>
  <c r="Z385" i="72"/>
  <c r="AD385" i="72" s="1"/>
  <c r="Z376" i="72"/>
  <c r="AD376" i="72" s="1"/>
  <c r="Z367" i="72"/>
  <c r="AD367" i="72" s="1"/>
  <c r="Z357" i="72"/>
  <c r="AD357" i="72" s="1"/>
  <c r="Z347" i="72"/>
  <c r="AD347" i="72" s="1"/>
  <c r="Z334" i="72"/>
  <c r="AD334" i="72" s="1"/>
  <c r="Z325" i="72"/>
  <c r="AD325" i="72" s="1"/>
  <c r="Z316" i="72"/>
  <c r="AD316" i="72" s="1"/>
  <c r="Z305" i="72"/>
  <c r="AD305" i="72" s="1"/>
  <c r="Z297" i="72"/>
  <c r="AD297" i="72" s="1"/>
  <c r="Z289" i="72"/>
  <c r="AD289" i="72" s="1"/>
  <c r="Z278" i="72"/>
  <c r="AD278" i="72" s="1"/>
  <c r="Z268" i="72"/>
  <c r="AD268" i="72" s="1"/>
  <c r="Z259" i="72"/>
  <c r="AD259" i="72" s="1"/>
  <c r="Z250" i="72"/>
  <c r="AD250" i="72" s="1"/>
  <c r="Z241" i="72"/>
  <c r="AD241" i="72" s="1"/>
  <c r="Z232" i="72"/>
  <c r="AD232" i="72" s="1"/>
  <c r="Z220" i="72"/>
  <c r="AD220" i="72" s="1"/>
  <c r="Z209" i="72"/>
  <c r="AD209" i="72" s="1"/>
  <c r="Z197" i="72"/>
  <c r="AD197" i="72" s="1"/>
  <c r="Z186" i="72"/>
  <c r="AD186" i="72" s="1"/>
  <c r="Z176" i="72"/>
  <c r="AD176" i="72" s="1"/>
  <c r="Z146" i="72"/>
  <c r="AD146" i="72" s="1"/>
  <c r="Z135" i="72"/>
  <c r="AD135" i="72" s="1"/>
  <c r="Z125" i="72"/>
  <c r="AD125" i="72" s="1"/>
  <c r="Z112" i="72"/>
  <c r="AD112" i="72" s="1"/>
  <c r="Z87" i="72"/>
  <c r="AD87" i="72" s="1"/>
  <c r="Z76" i="72"/>
  <c r="AD76" i="72" s="1"/>
  <c r="Z66" i="72"/>
  <c r="AA66" i="72" s="1"/>
  <c r="Z58" i="72"/>
  <c r="AA58" i="72" s="1"/>
  <c r="Z50" i="72"/>
  <c r="AD50" i="72" s="1"/>
  <c r="Z42" i="72"/>
  <c r="AD42" i="72" s="1"/>
  <c r="Z34" i="72"/>
  <c r="AD34" i="72" s="1"/>
  <c r="Z24" i="72"/>
  <c r="AD24" i="72" s="1"/>
  <c r="Z808" i="72"/>
  <c r="AD808" i="72" s="1"/>
  <c r="Z763" i="72"/>
  <c r="AD763" i="72" s="1"/>
  <c r="Z687" i="72"/>
  <c r="AD687" i="72" s="1"/>
  <c r="Z630" i="72"/>
  <c r="AD630" i="72" s="1"/>
  <c r="Z524" i="72"/>
  <c r="AD524" i="72" s="1"/>
  <c r="Z343" i="72"/>
  <c r="AD343" i="72" s="1"/>
  <c r="Z838" i="72"/>
  <c r="AD838" i="72" s="1"/>
  <c r="Z824" i="72"/>
  <c r="AD824" i="72" s="1"/>
  <c r="Z810" i="72"/>
  <c r="AD810" i="72" s="1"/>
  <c r="Z797" i="72"/>
  <c r="AD797" i="72" s="1"/>
  <c r="Z788" i="72"/>
  <c r="AD788" i="72" s="1"/>
  <c r="Z773" i="72"/>
  <c r="AD773" i="72" s="1"/>
  <c r="Z764" i="72"/>
  <c r="AD764" i="72" s="1"/>
  <c r="Z753" i="72"/>
  <c r="AD753" i="72" s="1"/>
  <c r="Z741" i="72"/>
  <c r="AD741" i="72" s="1"/>
  <c r="Z726" i="72"/>
  <c r="AD726" i="72" s="1"/>
  <c r="Z711" i="72"/>
  <c r="AD711" i="72" s="1"/>
  <c r="Z699" i="72"/>
  <c r="AD699" i="72" s="1"/>
  <c r="Z688" i="72"/>
  <c r="AD688" i="72" s="1"/>
  <c r="Z676" i="72"/>
  <c r="AD676" i="72" s="1"/>
  <c r="Z665" i="72"/>
  <c r="AD665" i="72" s="1"/>
  <c r="Z656" i="72"/>
  <c r="AD656" i="72" s="1"/>
  <c r="Z648" i="72"/>
  <c r="AD648" i="72" s="1"/>
  <c r="Z639" i="72"/>
  <c r="AD639" i="72" s="1"/>
  <c r="Z631" i="72"/>
  <c r="AD631" i="72" s="1"/>
  <c r="Z623" i="72"/>
  <c r="AD623" i="72" s="1"/>
  <c r="Z612" i="72"/>
  <c r="AD612" i="72" s="1"/>
  <c r="Z600" i="72"/>
  <c r="AD600" i="72" s="1"/>
  <c r="Z590" i="72"/>
  <c r="AD590" i="72" s="1"/>
  <c r="Z582" i="72"/>
  <c r="AD582" i="72" s="1"/>
  <c r="Z563" i="72"/>
  <c r="AD563" i="72" s="1"/>
  <c r="Z553" i="72"/>
  <c r="AD553" i="72" s="1"/>
  <c r="Z536" i="72"/>
  <c r="AD536" i="72" s="1"/>
  <c r="Z527" i="72"/>
  <c r="AD527" i="72" s="1"/>
  <c r="Z515" i="72"/>
  <c r="AD515" i="72" s="1"/>
  <c r="Z498" i="72"/>
  <c r="AD498" i="72" s="1"/>
  <c r="Z489" i="72"/>
  <c r="AD489" i="72" s="1"/>
  <c r="Z479" i="72"/>
  <c r="AD479" i="72" s="1"/>
  <c r="Z466" i="72"/>
  <c r="AD466" i="72" s="1"/>
  <c r="Z458" i="72"/>
  <c r="AD458" i="72" s="1"/>
  <c r="Z449" i="72"/>
  <c r="AD449" i="72" s="1"/>
  <c r="Z438" i="72"/>
  <c r="AD438" i="72" s="1"/>
  <c r="Z429" i="72"/>
  <c r="AD429" i="72" s="1"/>
  <c r="Z420" i="72"/>
  <c r="AD420" i="72" s="1"/>
  <c r="Z410" i="72"/>
  <c r="AD410" i="72" s="1"/>
  <c r="Z402" i="72"/>
  <c r="AD402" i="72" s="1"/>
  <c r="Z392" i="72"/>
  <c r="AD392" i="72" s="1"/>
  <c r="Z384" i="72"/>
  <c r="AD384" i="72" s="1"/>
  <c r="Z375" i="72"/>
  <c r="AD375" i="72" s="1"/>
  <c r="Z366" i="72"/>
  <c r="AD366" i="72" s="1"/>
  <c r="Z356" i="72"/>
  <c r="AD356" i="72" s="1"/>
  <c r="Z345" i="72"/>
  <c r="AD345" i="72" s="1"/>
  <c r="Z333" i="72"/>
  <c r="AD333" i="72" s="1"/>
  <c r="Z324" i="72"/>
  <c r="AD324" i="72" s="1"/>
  <c r="Z313" i="72"/>
  <c r="AD313" i="72" s="1"/>
  <c r="Z304" i="72"/>
  <c r="AD304" i="72" s="1"/>
  <c r="Z296" i="72"/>
  <c r="AD296" i="72" s="1"/>
  <c r="Z287" i="72"/>
  <c r="AD287" i="72" s="1"/>
  <c r="Z277" i="72"/>
  <c r="AD277" i="72" s="1"/>
  <c r="Z267" i="72"/>
  <c r="AD267" i="72" s="1"/>
  <c r="Z258" i="72"/>
  <c r="AD258" i="72" s="1"/>
  <c r="Z249" i="72"/>
  <c r="AD249" i="72" s="1"/>
  <c r="Z240" i="72"/>
  <c r="AD240" i="72" s="1"/>
  <c r="Z231" i="72"/>
  <c r="AD231" i="72" s="1"/>
  <c r="Z219" i="72"/>
  <c r="AD219" i="72" s="1"/>
  <c r="Z206" i="72"/>
  <c r="AD206" i="72" s="1"/>
  <c r="Z196" i="72"/>
  <c r="AD196" i="72" s="1"/>
  <c r="Z185" i="72"/>
  <c r="AD185" i="72" s="1"/>
  <c r="Z175" i="72"/>
  <c r="AD175" i="72" s="1"/>
  <c r="Z144" i="72"/>
  <c r="AD144" i="72" s="1"/>
  <c r="Z134" i="72"/>
  <c r="AD134" i="72" s="1"/>
  <c r="Z124" i="72"/>
  <c r="AD124" i="72" s="1"/>
  <c r="Z111" i="72"/>
  <c r="AD111" i="72" s="1"/>
  <c r="Z86" i="72"/>
  <c r="AD86" i="72" s="1"/>
  <c r="Z75" i="72"/>
  <c r="AD75" i="72" s="1"/>
  <c r="Z65" i="72"/>
  <c r="AA65" i="72" s="1"/>
  <c r="Z57" i="72"/>
  <c r="AA57" i="72" s="1"/>
  <c r="Z49" i="72"/>
  <c r="AD49" i="72" s="1"/>
  <c r="Z41" i="72"/>
  <c r="AD41" i="72" s="1"/>
  <c r="Z33" i="72"/>
  <c r="AD33" i="72" s="1"/>
  <c r="Z22" i="72"/>
  <c r="AD22" i="72" s="1"/>
  <c r="Z85" i="72"/>
  <c r="AD85" i="72" s="1"/>
  <c r="Y87" i="72"/>
  <c r="AA771" i="72"/>
  <c r="AB771" i="72" s="1"/>
  <c r="AA542" i="72"/>
  <c r="AB542" i="72" s="1"/>
  <c r="AA182" i="72"/>
  <c r="AA833" i="72"/>
  <c r="AB833" i="72" s="1"/>
  <c r="AA653" i="72"/>
  <c r="AB653" i="72" s="1"/>
  <c r="AA644" i="72"/>
  <c r="AB644" i="72" s="1"/>
  <c r="AA636" i="72"/>
  <c r="AB636" i="72" s="1"/>
  <c r="AA120" i="72"/>
  <c r="AA696" i="72"/>
  <c r="AB696" i="72" s="1"/>
  <c r="AA97" i="72"/>
  <c r="AA74" i="72"/>
  <c r="AA510" i="72"/>
  <c r="AB510" i="72" s="1"/>
  <c r="AA445" i="72"/>
  <c r="AB445" i="72" s="1"/>
  <c r="AA434" i="72"/>
  <c r="AB434" i="72" s="1"/>
  <c r="AA425" i="72"/>
  <c r="AB425" i="72" s="1"/>
  <c r="AA350" i="72"/>
  <c r="AB350" i="72" s="1"/>
  <c r="AA283" i="72"/>
  <c r="AB283" i="72" s="1"/>
  <c r="AA212" i="72"/>
  <c r="AA29" i="72"/>
  <c r="AA784" i="72"/>
  <c r="AB784" i="72" s="1"/>
  <c r="AA778" i="72"/>
  <c r="AB778" i="72" s="1"/>
  <c r="AA716" i="72"/>
  <c r="AB716" i="72" s="1"/>
  <c r="AA469" i="72"/>
  <c r="AB469" i="72" s="1"/>
  <c r="AA243" i="72"/>
  <c r="Z18" i="72"/>
  <c r="AA621" i="72"/>
  <c r="AB621" i="72" s="1"/>
  <c r="AA702" i="72"/>
  <c r="AB702" i="72" s="1"/>
  <c r="AA603" i="72"/>
  <c r="AB603" i="72" s="1"/>
  <c r="AA575" i="72"/>
  <c r="AB575" i="72" s="1"/>
  <c r="AA566" i="72"/>
  <c r="AB566" i="72" s="1"/>
  <c r="AA492" i="72"/>
  <c r="AB492" i="72" s="1"/>
  <c r="AA482" i="72"/>
  <c r="AB482" i="72" s="1"/>
  <c r="AA412" i="72"/>
  <c r="AB412" i="72" s="1"/>
  <c r="AA404" i="72"/>
  <c r="AB404" i="72" s="1"/>
  <c r="AA188" i="72"/>
  <c r="AA167" i="72"/>
  <c r="AA677" i="72"/>
  <c r="AB677" i="72" s="1"/>
  <c r="AA480" i="72"/>
  <c r="AB480" i="72" s="1"/>
  <c r="AA403" i="72"/>
  <c r="AB403" i="72" s="1"/>
  <c r="AA325" i="72"/>
  <c r="AB325" i="72" s="1"/>
  <c r="AA250" i="72"/>
  <c r="AA77" i="72"/>
  <c r="AA674" i="72"/>
  <c r="AB674" i="72" s="1"/>
  <c r="AA590" i="72"/>
  <c r="AB590" i="72" s="1"/>
  <c r="AA836" i="72"/>
  <c r="AA822" i="72"/>
  <c r="AB822" i="72" s="1"/>
  <c r="AA772" i="72"/>
  <c r="AB772" i="72" s="1"/>
  <c r="AA709" i="72"/>
  <c r="AB709" i="72" s="1"/>
  <c r="AA698" i="72"/>
  <c r="AB698" i="72" s="1"/>
  <c r="AA647" i="72"/>
  <c r="AB647" i="72" s="1"/>
  <c r="AA622" i="72"/>
  <c r="AB622" i="72" s="1"/>
  <c r="AA382" i="72"/>
  <c r="AB382" i="72" s="1"/>
  <c r="AA332" i="72"/>
  <c r="AB332" i="72" s="1"/>
  <c r="AA323" i="72"/>
  <c r="AB323" i="72" s="1"/>
  <c r="AA303" i="72"/>
  <c r="AB303" i="72" s="1"/>
  <c r="AA286" i="72"/>
  <c r="AB286" i="72" s="1"/>
  <c r="AA133" i="72"/>
  <c r="AA760" i="72" l="1"/>
  <c r="AB760" i="72" s="1"/>
  <c r="AA209" i="72"/>
  <c r="AA234" i="72"/>
  <c r="AA111" i="72"/>
  <c r="AA340" i="72"/>
  <c r="AB340" i="72" s="1"/>
  <c r="AA831" i="72"/>
  <c r="AB831" i="72" s="1"/>
  <c r="AA190" i="72"/>
  <c r="M20" i="127"/>
  <c r="AA192" i="72"/>
  <c r="AB192" i="72" s="1"/>
  <c r="AA799" i="72"/>
  <c r="AB799" i="72" s="1"/>
  <c r="AA42" i="72"/>
  <c r="AA148" i="72"/>
  <c r="AA248" i="72"/>
  <c r="AA52" i="72"/>
  <c r="AA502" i="72"/>
  <c r="AB502" i="72" s="1"/>
  <c r="AA642" i="72"/>
  <c r="AB642" i="72" s="1"/>
  <c r="AA578" i="72"/>
  <c r="AB578" i="72" s="1"/>
  <c r="AA660" i="72"/>
  <c r="AB660" i="72" s="1"/>
  <c r="AA415" i="72"/>
  <c r="AB415" i="72" s="1"/>
  <c r="AA582" i="72"/>
  <c r="AB582" i="72" s="1"/>
  <c r="AA438" i="72"/>
  <c r="AB438" i="72" s="1"/>
  <c r="AA498" i="72"/>
  <c r="AB498" i="72" s="1"/>
  <c r="AA543" i="72"/>
  <c r="AB543" i="72" s="1"/>
  <c r="AA284" i="72"/>
  <c r="AB284" i="72" s="1"/>
  <c r="AA257" i="72"/>
  <c r="AB257" i="72" s="1"/>
  <c r="AA206" i="72"/>
  <c r="AA366" i="72"/>
  <c r="AB366" i="72" s="1"/>
  <c r="AA656" i="72"/>
  <c r="AB656" i="72" s="1"/>
  <c r="AA53" i="72"/>
  <c r="AA362" i="72"/>
  <c r="AB362" i="72" s="1"/>
  <c r="AA356" i="72"/>
  <c r="AB356" i="72" s="1"/>
  <c r="AA753" i="72"/>
  <c r="AB753" i="72" s="1"/>
  <c r="AA435" i="72"/>
  <c r="AB435" i="72" s="1"/>
  <c r="AA123" i="72"/>
  <c r="AA343" i="72"/>
  <c r="AB343" i="72" s="1"/>
  <c r="AA437" i="72"/>
  <c r="AB437" i="72" s="1"/>
  <c r="AC836" i="72"/>
  <c r="AA515" i="72"/>
  <c r="AB515" i="72" s="1"/>
  <c r="AA626" i="72"/>
  <c r="AB626" i="72" s="1"/>
  <c r="AA202" i="72"/>
  <c r="AB202" i="72" s="1"/>
  <c r="AA679" i="72"/>
  <c r="AB679" i="72" s="1"/>
  <c r="AA82" i="72"/>
  <c r="AQ82" i="72" s="1"/>
  <c r="AA47" i="72"/>
  <c r="AB47" i="72" s="1"/>
  <c r="AA503" i="72"/>
  <c r="AB503" i="72" s="1"/>
  <c r="AA675" i="72"/>
  <c r="AB675" i="72" s="1"/>
  <c r="AA632" i="72"/>
  <c r="AB632" i="72" s="1"/>
  <c r="AA365" i="72"/>
  <c r="AB365" i="72" s="1"/>
  <c r="AA712" i="72"/>
  <c r="AB712" i="72" s="1"/>
  <c r="AA661" i="72"/>
  <c r="AB661" i="72" s="1"/>
  <c r="AA45" i="72"/>
  <c r="AB45" i="72" s="1"/>
  <c r="AA426" i="72"/>
  <c r="AB426" i="72" s="1"/>
  <c r="AA464" i="72"/>
  <c r="AB464" i="72" s="1"/>
  <c r="AA211" i="72"/>
  <c r="AA511" i="72"/>
  <c r="AB511" i="72" s="1"/>
  <c r="AA390" i="72"/>
  <c r="AB390" i="72" s="1"/>
  <c r="AA391" i="72"/>
  <c r="AB391" i="72" s="1"/>
  <c r="AA752" i="72"/>
  <c r="AB752" i="72" s="1"/>
  <c r="AA351" i="72"/>
  <c r="AB351" i="72" s="1"/>
  <c r="AA387" i="72"/>
  <c r="AB387" i="72" s="1"/>
  <c r="AA547" i="72"/>
  <c r="AB547" i="72" s="1"/>
  <c r="AA550" i="72"/>
  <c r="AB550" i="72" s="1"/>
  <c r="AA486" i="72"/>
  <c r="AB486" i="72" s="1"/>
  <c r="AA143" i="72"/>
  <c r="AQ143" i="72" s="1"/>
  <c r="AA749" i="72"/>
  <c r="AB749" i="72" s="1"/>
  <c r="AA579" i="72"/>
  <c r="AB579" i="72" s="1"/>
  <c r="AA534" i="72"/>
  <c r="AB534" i="72" s="1"/>
  <c r="AA326" i="72"/>
  <c r="AB326" i="72" s="1"/>
  <c r="AA360" i="72"/>
  <c r="AB360" i="72" s="1"/>
  <c r="AA292" i="72"/>
  <c r="AB292" i="72" s="1"/>
  <c r="AA400" i="72"/>
  <c r="AB400" i="72" s="1"/>
  <c r="AA98" i="72"/>
  <c r="AQ98" i="72" s="1"/>
  <c r="AA322" i="72"/>
  <c r="AB322" i="72" s="1"/>
  <c r="AA708" i="72"/>
  <c r="AB708" i="72" s="1"/>
  <c r="AA520" i="72"/>
  <c r="AB520" i="72" s="1"/>
  <c r="AA474" i="72"/>
  <c r="AB474" i="72" s="1"/>
  <c r="AA629" i="72"/>
  <c r="AB629" i="72" s="1"/>
  <c r="AA370" i="72"/>
  <c r="AB370" i="72" s="1"/>
  <c r="AA247" i="72"/>
  <c r="AB247" i="72" s="1"/>
  <c r="AA670" i="72"/>
  <c r="AB670" i="72" s="1"/>
  <c r="AA196" i="72"/>
  <c r="AB196" i="72" s="1"/>
  <c r="AA806" i="72"/>
  <c r="AB806" i="72" s="1"/>
  <c r="AA740" i="72"/>
  <c r="AB740" i="72" s="1"/>
  <c r="AA766" i="72"/>
  <c r="AB766" i="72" s="1"/>
  <c r="AA755" i="72"/>
  <c r="AB755" i="72" s="1"/>
  <c r="AA746" i="72"/>
  <c r="AB746" i="72" s="1"/>
  <c r="AA307" i="72"/>
  <c r="AB307" i="72" s="1"/>
  <c r="AA519" i="72"/>
  <c r="AB519" i="72" s="1"/>
  <c r="AA224" i="72"/>
  <c r="AQ224" i="72" s="1"/>
  <c r="AA124" i="72"/>
  <c r="AQ124" i="72" s="1"/>
  <c r="AA821" i="72"/>
  <c r="AB821" i="72" s="1"/>
  <c r="AA184" i="72"/>
  <c r="AB184" i="72" s="1"/>
  <c r="AA408" i="72"/>
  <c r="AB408" i="72" s="1"/>
  <c r="AA291" i="72"/>
  <c r="AB291" i="72" s="1"/>
  <c r="AA593" i="72"/>
  <c r="AB593" i="72" s="1"/>
  <c r="AA237" i="72"/>
  <c r="AB237" i="72" s="1"/>
  <c r="AA27" i="72"/>
  <c r="AB27" i="72" s="1"/>
  <c r="AA300" i="72"/>
  <c r="AB300" i="72" s="1"/>
  <c r="AA694" i="72"/>
  <c r="AB694" i="72" s="1"/>
  <c r="AA33" i="72"/>
  <c r="AQ33" i="72" s="1"/>
  <c r="AA637" i="72"/>
  <c r="AB637" i="72" s="1"/>
  <c r="AA541" i="72"/>
  <c r="AB541" i="72" s="1"/>
  <c r="AA721" i="72"/>
  <c r="AB721" i="72" s="1"/>
  <c r="AA162" i="72"/>
  <c r="AQ162" i="72" s="1"/>
  <c r="AA330" i="72"/>
  <c r="AB330" i="72" s="1"/>
  <c r="AA256" i="72"/>
  <c r="AB256" i="72" s="1"/>
  <c r="AA444" i="72"/>
  <c r="AB444" i="72" s="1"/>
  <c r="AA379" i="72"/>
  <c r="AB379" i="72" s="1"/>
  <c r="AA72" i="72"/>
  <c r="AA197" i="72"/>
  <c r="AB197" i="72" s="1"/>
  <c r="AA657" i="72"/>
  <c r="AB657" i="72" s="1"/>
  <c r="AA496" i="72"/>
  <c r="AB496" i="72" s="1"/>
  <c r="AA299" i="72"/>
  <c r="AB299" i="72" s="1"/>
  <c r="AA342" i="72"/>
  <c r="AB342" i="72" s="1"/>
  <c r="AA76" i="72"/>
  <c r="AB76" i="72" s="1"/>
  <c r="AA466" i="72"/>
  <c r="AB466" i="72" s="1"/>
  <c r="AA655" i="72"/>
  <c r="AB655" i="72" s="1"/>
  <c r="AA378" i="72"/>
  <c r="AB378" i="72" s="1"/>
  <c r="AA570" i="72"/>
  <c r="AB570" i="72" s="1"/>
  <c r="AA161" i="72"/>
  <c r="AQ161" i="72" s="1"/>
  <c r="AA222" i="72"/>
  <c r="AB222" i="72" s="1"/>
  <c r="AA646" i="72"/>
  <c r="AB646" i="72" s="1"/>
  <c r="AA172" i="72"/>
  <c r="AB172" i="72" s="1"/>
  <c r="AA431" i="72"/>
  <c r="AB431" i="72" s="1"/>
  <c r="AA703" i="72"/>
  <c r="AB703" i="72" s="1"/>
  <c r="AA399" i="72"/>
  <c r="AB399" i="72" s="1"/>
  <c r="AA628" i="72"/>
  <c r="AB628" i="72" s="1"/>
  <c r="AA453" i="72"/>
  <c r="AB453" i="72" s="1"/>
  <c r="AA834" i="72"/>
  <c r="AB834" i="72" s="1"/>
  <c r="AA623" i="72"/>
  <c r="AB623" i="72" s="1"/>
  <c r="AA418" i="72"/>
  <c r="AB418" i="72" s="1"/>
  <c r="AA246" i="72"/>
  <c r="AB246" i="72" s="1"/>
  <c r="AA264" i="72"/>
  <c r="AA561" i="72"/>
  <c r="AB561" i="72" s="1"/>
  <c r="AA739" i="72"/>
  <c r="AB739" i="72" s="1"/>
  <c r="AA763" i="72"/>
  <c r="AB763" i="72" s="1"/>
  <c r="AA549" i="72"/>
  <c r="AB549" i="72" s="1"/>
  <c r="AA748" i="72"/>
  <c r="AB748" i="72" s="1"/>
  <c r="AA397" i="72"/>
  <c r="AB397" i="72" s="1"/>
  <c r="AA548" i="72"/>
  <c r="AB548" i="72" s="1"/>
  <c r="AA553" i="72"/>
  <c r="AB553" i="72" s="1"/>
  <c r="AA728" i="72"/>
  <c r="AB728" i="72" s="1"/>
  <c r="AA287" i="72"/>
  <c r="AB287" i="72" s="1"/>
  <c r="AA228" i="72"/>
  <c r="AB228" i="72" s="1"/>
  <c r="AA584" i="72"/>
  <c r="AB584" i="72" s="1"/>
  <c r="AA516" i="72"/>
  <c r="AB516" i="72" s="1"/>
  <c r="AA509" i="72"/>
  <c r="AB509" i="72" s="1"/>
  <c r="AA78" i="72"/>
  <c r="AB78" i="72" s="1"/>
  <c r="AA808" i="72"/>
  <c r="AB808" i="72" s="1"/>
  <c r="AA827" i="72"/>
  <c r="AB827" i="72" s="1"/>
  <c r="AA114" i="72"/>
  <c r="AB114" i="72" s="1"/>
  <c r="AA432" i="72"/>
  <c r="AB432" i="72" s="1"/>
  <c r="AA402" i="72"/>
  <c r="AB402" i="72" s="1"/>
  <c r="AA259" i="72"/>
  <c r="AQ259" i="72" s="1"/>
  <c r="AA564" i="72"/>
  <c r="AB564" i="72" s="1"/>
  <c r="AA690" i="72"/>
  <c r="AB690" i="72" s="1"/>
  <c r="AA169" i="72"/>
  <c r="AB169" i="72" s="1"/>
  <c r="AA711" i="72"/>
  <c r="AB711" i="72" s="1"/>
  <c r="AA334" i="72"/>
  <c r="AB334" i="72" s="1"/>
  <c r="AA281" i="72"/>
  <c r="AB281" i="72" s="1"/>
  <c r="AA777" i="72"/>
  <c r="AB777" i="72" s="1"/>
  <c r="AA810" i="72"/>
  <c r="AB810" i="72" s="1"/>
  <c r="AA176" i="72"/>
  <c r="AB176" i="72" s="1"/>
  <c r="AA358" i="72"/>
  <c r="AB358" i="72" s="1"/>
  <c r="AA505" i="72"/>
  <c r="AB505" i="72" s="1"/>
  <c r="AA345" i="72"/>
  <c r="AB345" i="72" s="1"/>
  <c r="AA741" i="72"/>
  <c r="AB741" i="72" s="1"/>
  <c r="AA440" i="72"/>
  <c r="AB440" i="72" s="1"/>
  <c r="AA592" i="72"/>
  <c r="AB592" i="72" s="1"/>
  <c r="AA189" i="72"/>
  <c r="AB189" i="72" s="1"/>
  <c r="AA140" i="72"/>
  <c r="AB140" i="72" s="1"/>
  <c r="AD282" i="72"/>
  <c r="AA131" i="72"/>
  <c r="AB131" i="72" s="1"/>
  <c r="AA239" i="72"/>
  <c r="AB239" i="72" s="1"/>
  <c r="AA43" i="72"/>
  <c r="AQ43" i="72" s="1"/>
  <c r="AA499" i="72"/>
  <c r="AB499" i="72" s="1"/>
  <c r="AA290" i="72"/>
  <c r="AB290" i="72" s="1"/>
  <c r="AA813" i="72"/>
  <c r="AB813" i="72" s="1"/>
  <c r="AA46" i="72"/>
  <c r="AB46" i="72" s="1"/>
  <c r="AA476" i="72"/>
  <c r="AB476" i="72" s="1"/>
  <c r="AA793" i="72"/>
  <c r="AB793" i="72" s="1"/>
  <c r="AA51" i="72"/>
  <c r="AB51" i="72" s="1"/>
  <c r="AA627" i="72"/>
  <c r="AB627" i="72" s="1"/>
  <c r="AA363" i="72"/>
  <c r="AB363" i="72" s="1"/>
  <c r="AA204" i="72"/>
  <c r="AB204" i="72" s="1"/>
  <c r="AA278" i="72"/>
  <c r="AB278" i="72" s="1"/>
  <c r="AA285" i="72"/>
  <c r="AB285" i="72" s="1"/>
  <c r="AA405" i="72"/>
  <c r="AB405" i="72" s="1"/>
  <c r="AA663" i="72"/>
  <c r="AB663" i="72" s="1"/>
  <c r="AA112" i="72"/>
  <c r="AB112" i="72" s="1"/>
  <c r="AA574" i="72"/>
  <c r="AB574" i="72" s="1"/>
  <c r="AA368" i="72"/>
  <c r="AB368" i="72" s="1"/>
  <c r="AA483" i="72"/>
  <c r="AB483" i="72" s="1"/>
  <c r="AA401" i="72"/>
  <c r="AB401" i="72" s="1"/>
  <c r="AA420" i="72"/>
  <c r="AB420" i="72" s="1"/>
  <c r="AA517" i="72"/>
  <c r="AB517" i="72" s="1"/>
  <c r="AA648" i="72"/>
  <c r="AB648" i="72" s="1"/>
  <c r="AA583" i="72"/>
  <c r="AB583" i="72" s="1"/>
  <c r="AA715" i="72"/>
  <c r="AB715" i="72" s="1"/>
  <c r="AA92" i="72"/>
  <c r="AB92" i="72" s="1"/>
  <c r="AA705" i="72"/>
  <c r="AB705" i="72" s="1"/>
  <c r="AA393" i="72"/>
  <c r="AB393" i="72" s="1"/>
  <c r="AA689" i="72"/>
  <c r="AB689" i="72" s="1"/>
  <c r="AA736" i="72"/>
  <c r="AA683" i="72"/>
  <c r="AB683" i="72" s="1"/>
  <c r="AA108" i="72"/>
  <c r="AB108" i="72" s="1"/>
  <c r="AA465" i="72"/>
  <c r="AB465" i="72" s="1"/>
  <c r="AA497" i="72"/>
  <c r="AB497" i="72" s="1"/>
  <c r="AA241" i="72"/>
  <c r="AB241" i="72" s="1"/>
  <c r="AA701" i="72"/>
  <c r="AB701" i="72" s="1"/>
  <c r="AA170" i="72"/>
  <c r="AB170" i="72" s="1"/>
  <c r="AA328" i="72"/>
  <c r="AB328" i="72" s="1"/>
  <c r="AA557" i="72"/>
  <c r="AB557" i="72" s="1"/>
  <c r="AA737" i="72"/>
  <c r="AB737" i="72" s="1"/>
  <c r="AA446" i="72"/>
  <c r="AB446" i="72" s="1"/>
  <c r="AA596" i="72"/>
  <c r="AB596" i="72" s="1"/>
  <c r="AA352" i="72"/>
  <c r="AB352" i="72" s="1"/>
  <c r="AA265" i="72"/>
  <c r="AB265" i="72" s="1"/>
  <c r="AA144" i="72"/>
  <c r="AB144" i="72" s="1"/>
  <c r="AA641" i="72"/>
  <c r="AB641" i="72" s="1"/>
  <c r="AA791" i="72"/>
  <c r="AB791" i="72" s="1"/>
  <c r="AA433" i="72"/>
  <c r="AB433" i="72" s="1"/>
  <c r="AA585" i="72"/>
  <c r="AB585" i="72" s="1"/>
  <c r="AA339" i="72"/>
  <c r="AB339" i="72" s="1"/>
  <c r="AA39" i="72"/>
  <c r="AQ39" i="72" s="1"/>
  <c r="AA608" i="72"/>
  <c r="AB608" i="72" s="1"/>
  <c r="AA174" i="72"/>
  <c r="AQ174" i="72" s="1"/>
  <c r="AA514" i="72"/>
  <c r="AB514" i="72" s="1"/>
  <c r="AA459" i="72"/>
  <c r="AB459" i="72" s="1"/>
  <c r="AA395" i="72"/>
  <c r="AB395" i="72" s="1"/>
  <c r="AA658" i="72"/>
  <c r="AB658" i="72" s="1"/>
  <c r="AA802" i="72"/>
  <c r="AB802" i="72" s="1"/>
  <c r="AA214" i="72"/>
  <c r="AB214" i="72" s="1"/>
  <c r="AA295" i="72"/>
  <c r="AB295" i="72" s="1"/>
  <c r="AA687" i="72"/>
  <c r="AB687" i="72" s="1"/>
  <c r="AA458" i="72"/>
  <c r="AB458" i="72" s="1"/>
  <c r="AA467" i="72"/>
  <c r="AB467" i="72" s="1"/>
  <c r="AA624" i="72"/>
  <c r="AB624" i="72" s="1"/>
  <c r="AA654" i="72"/>
  <c r="AB654" i="72" s="1"/>
  <c r="AA546" i="72"/>
  <c r="AB546" i="72" s="1"/>
  <c r="AA494" i="72"/>
  <c r="AB494" i="72" s="1"/>
  <c r="AA832" i="72"/>
  <c r="AB832" i="72" s="1"/>
  <c r="AA225" i="72"/>
  <c r="AB225" i="72" s="1"/>
  <c r="AA371" i="72"/>
  <c r="AB371" i="72" s="1"/>
  <c r="AA522" i="72"/>
  <c r="AB522" i="72" s="1"/>
  <c r="AA770" i="72"/>
  <c r="AB770" i="72" s="1"/>
  <c r="AA216" i="72"/>
  <c r="AQ216" i="72" s="1"/>
  <c r="AA316" i="72"/>
  <c r="AB316" i="72" s="1"/>
  <c r="AA798" i="72"/>
  <c r="AB798" i="72" s="1"/>
  <c r="AA44" i="72"/>
  <c r="AB44" i="72" s="1"/>
  <c r="AA242" i="72"/>
  <c r="AB242" i="72" s="1"/>
  <c r="AA200" i="72"/>
  <c r="AQ200" i="72" s="1"/>
  <c r="AA94" i="72"/>
  <c r="AB94" i="72" s="1"/>
  <c r="AA262" i="72"/>
  <c r="AA643" i="72"/>
  <c r="AB643" i="72" s="1"/>
  <c r="AA380" i="72"/>
  <c r="AB380" i="72" s="1"/>
  <c r="AA782" i="72"/>
  <c r="AB782" i="72" s="1"/>
  <c r="AD767" i="72"/>
  <c r="AD59" i="72"/>
  <c r="AA293" i="72"/>
  <c r="AB293" i="72" s="1"/>
  <c r="AA577" i="72"/>
  <c r="AB577" i="72" s="1"/>
  <c r="AA568" i="72"/>
  <c r="AB568" i="72" s="1"/>
  <c r="AD310" i="72"/>
  <c r="AQ310" i="72"/>
  <c r="AA301" i="72"/>
  <c r="AB301" i="72" s="1"/>
  <c r="AD272" i="72"/>
  <c r="AR272" i="72"/>
  <c r="AA272" i="72"/>
  <c r="AB272" i="72" s="1"/>
  <c r="AD273" i="72"/>
  <c r="AR273" i="72"/>
  <c r="AD271" i="72"/>
  <c r="AR271" i="72"/>
  <c r="AA448" i="72"/>
  <c r="AB448" i="72" s="1"/>
  <c r="AA171" i="72"/>
  <c r="AB171" i="72" s="1"/>
  <c r="AA571" i="72"/>
  <c r="AB571" i="72" s="1"/>
  <c r="AA384" i="72"/>
  <c r="AB384" i="72" s="1"/>
  <c r="AA147" i="72"/>
  <c r="AQ147" i="72" s="1"/>
  <c r="AA103" i="72"/>
  <c r="AB103" i="72" s="1"/>
  <c r="AA414" i="72"/>
  <c r="AB414" i="72" s="1"/>
  <c r="AA308" i="72"/>
  <c r="AB308" i="72" s="1"/>
  <c r="AA693" i="72"/>
  <c r="AB693" i="72" s="1"/>
  <c r="AA181" i="72"/>
  <c r="AQ181" i="72" s="1"/>
  <c r="AA471" i="72"/>
  <c r="AB471" i="72" s="1"/>
  <c r="AA558" i="72"/>
  <c r="AB558" i="72" s="1"/>
  <c r="AA50" i="72"/>
  <c r="AB50" i="72" s="1"/>
  <c r="AA436" i="72"/>
  <c r="AB436" i="72" s="1"/>
  <c r="AA136" i="72"/>
  <c r="AQ136" i="72" s="1"/>
  <c r="AA132" i="72"/>
  <c r="AB132" i="72" s="1"/>
  <c r="AA231" i="72"/>
  <c r="AB231" i="72" s="1"/>
  <c r="AA612" i="72"/>
  <c r="AB612" i="72" s="1"/>
  <c r="AA36" i="72"/>
  <c r="AB36" i="72" s="1"/>
  <c r="AA41" i="72"/>
  <c r="AB41" i="72" s="1"/>
  <c r="AA589" i="72"/>
  <c r="AB589" i="72" s="1"/>
  <c r="AA796" i="72"/>
  <c r="AB796" i="72" s="1"/>
  <c r="AA249" i="72"/>
  <c r="AQ249" i="72" s="1"/>
  <c r="AA392" i="72"/>
  <c r="AB392" i="72" s="1"/>
  <c r="AA764" i="72"/>
  <c r="AB764" i="72" s="1"/>
  <c r="AA125" i="72"/>
  <c r="AQ125" i="72" s="1"/>
  <c r="AA376" i="72"/>
  <c r="AB376" i="72" s="1"/>
  <c r="AA613" i="72"/>
  <c r="AB613" i="72" s="1"/>
  <c r="AA298" i="72"/>
  <c r="AB298" i="72" s="1"/>
  <c r="AA529" i="72"/>
  <c r="AB529" i="72" s="1"/>
  <c r="AA625" i="72"/>
  <c r="AB625" i="72" s="1"/>
  <c r="AA744" i="72"/>
  <c r="AB744" i="72" s="1"/>
  <c r="AA142" i="72"/>
  <c r="AB142" i="72" s="1"/>
  <c r="AA115" i="72"/>
  <c r="AB115" i="72" s="1"/>
  <c r="AA327" i="72"/>
  <c r="AB327" i="72" s="1"/>
  <c r="AA756" i="72"/>
  <c r="AB756" i="72" s="1"/>
  <c r="AA320" i="72"/>
  <c r="AB320" i="72" s="1"/>
  <c r="AA607" i="72"/>
  <c r="AB607" i="72" s="1"/>
  <c r="AA485" i="72"/>
  <c r="AB485" i="72" s="1"/>
  <c r="AA75" i="72"/>
  <c r="AB75" i="72" s="1"/>
  <c r="AA275" i="72"/>
  <c r="AB275" i="72" s="1"/>
  <c r="AA523" i="72"/>
  <c r="AB523" i="72" s="1"/>
  <c r="AA788" i="72"/>
  <c r="AB788" i="72" s="1"/>
  <c r="AA135" i="72"/>
  <c r="AB135" i="72" s="1"/>
  <c r="AA306" i="72"/>
  <c r="AA538" i="72"/>
  <c r="AB538" i="72" s="1"/>
  <c r="AA633" i="72"/>
  <c r="AB633" i="72" s="1"/>
  <c r="AA338" i="72"/>
  <c r="AB338" i="72" s="1"/>
  <c r="AA245" i="72"/>
  <c r="AB245" i="72" s="1"/>
  <c r="AA619" i="72"/>
  <c r="AB619" i="72" s="1"/>
  <c r="AA106" i="72"/>
  <c r="AB106" i="72" s="1"/>
  <c r="AA805" i="72"/>
  <c r="AB805" i="72" s="1"/>
  <c r="AD62" i="72"/>
  <c r="AA220" i="72"/>
  <c r="AB220" i="72" s="1"/>
  <c r="AA819" i="72"/>
  <c r="AB819" i="72" s="1"/>
  <c r="AA493" i="72"/>
  <c r="AB493" i="72" s="1"/>
  <c r="AA682" i="72"/>
  <c r="AB682" i="72" s="1"/>
  <c r="AA254" i="72"/>
  <c r="AB254" i="72" s="1"/>
  <c r="AA194" i="72"/>
  <c r="AQ194" i="72" s="1"/>
  <c r="AA304" i="72"/>
  <c r="AB304" i="72" s="1"/>
  <c r="AA536" i="72"/>
  <c r="AB536" i="72" s="1"/>
  <c r="AA349" i="72"/>
  <c r="AB349" i="72" s="1"/>
  <c r="AA680" i="72"/>
  <c r="AB680" i="72" s="1"/>
  <c r="AA531" i="72"/>
  <c r="AB531" i="72" s="1"/>
  <c r="AA447" i="72"/>
  <c r="AB447" i="72" s="1"/>
  <c r="AA638" i="72"/>
  <c r="AB638" i="72" s="1"/>
  <c r="AA724" i="72"/>
  <c r="AB724" i="72" s="1"/>
  <c r="AA313" i="72"/>
  <c r="AB313" i="72" s="1"/>
  <c r="AA429" i="72"/>
  <c r="AB429" i="72" s="1"/>
  <c r="AA665" i="72"/>
  <c r="AB665" i="72" s="1"/>
  <c r="AA838" i="72"/>
  <c r="J20" i="127" s="1"/>
  <c r="AA289" i="72"/>
  <c r="AB289" i="72" s="1"/>
  <c r="AA528" i="72"/>
  <c r="AB528" i="72" s="1"/>
  <c r="AA649" i="72"/>
  <c r="AB649" i="72" s="1"/>
  <c r="AA776" i="72"/>
  <c r="AB776" i="72" s="1"/>
  <c r="AA102" i="72"/>
  <c r="AB102" i="72" s="1"/>
  <c r="AA221" i="72"/>
  <c r="AA348" i="72"/>
  <c r="AB348" i="72" s="1"/>
  <c r="AA452" i="72"/>
  <c r="AB452" i="72" s="1"/>
  <c r="AA302" i="72"/>
  <c r="AB302" i="72" s="1"/>
  <c r="AA159" i="72"/>
  <c r="AB159" i="72" s="1"/>
  <c r="AA271" i="72"/>
  <c r="AB271" i="72" s="1"/>
  <c r="AA461" i="72"/>
  <c r="AB461" i="72" s="1"/>
  <c r="AA556" i="72"/>
  <c r="AB556" i="72" s="1"/>
  <c r="AA691" i="72"/>
  <c r="AB691" i="72" s="1"/>
  <c r="AA814" i="72"/>
  <c r="AB814" i="72" s="1"/>
  <c r="AA150" i="72"/>
  <c r="AQ150" i="72" s="1"/>
  <c r="AA462" i="72"/>
  <c r="AB462" i="72" s="1"/>
  <c r="AA769" i="72"/>
  <c r="AB769" i="72" s="1"/>
  <c r="AA597" i="72"/>
  <c r="AB597" i="72" s="1"/>
  <c r="AA321" i="72"/>
  <c r="AB321" i="72" s="1"/>
  <c r="AA407" i="72"/>
  <c r="AB407" i="72" s="1"/>
  <c r="AA706" i="72"/>
  <c r="AB706" i="72" s="1"/>
  <c r="AA26" i="72"/>
  <c r="AB26" i="72" s="1"/>
  <c r="AA524" i="72"/>
  <c r="AB524" i="72" s="1"/>
  <c r="AA688" i="72"/>
  <c r="AB688" i="72" s="1"/>
  <c r="AA297" i="72"/>
  <c r="AB297" i="72" s="1"/>
  <c r="AA450" i="72"/>
  <c r="AB450" i="72" s="1"/>
  <c r="AA789" i="72"/>
  <c r="AB789" i="72" s="1"/>
  <c r="AA588" i="72"/>
  <c r="AB588" i="72" s="1"/>
  <c r="AA233" i="72"/>
  <c r="AB233" i="72" s="1"/>
  <c r="AA372" i="72"/>
  <c r="AB372" i="72" s="1"/>
  <c r="AA567" i="72"/>
  <c r="AB567" i="72" s="1"/>
  <c r="AA38" i="72"/>
  <c r="AB38" i="72" s="1"/>
  <c r="AA160" i="72"/>
  <c r="AB160" i="72" s="1"/>
  <c r="AA470" i="72"/>
  <c r="AB470" i="72" s="1"/>
  <c r="AA780" i="72"/>
  <c r="AB780" i="72" s="1"/>
  <c r="AA329" i="72"/>
  <c r="AB329" i="72" s="1"/>
  <c r="AA719" i="72"/>
  <c r="AB719" i="72" s="1"/>
  <c r="AA277" i="72"/>
  <c r="AQ277" i="72" s="1"/>
  <c r="AA215" i="72"/>
  <c r="AB215" i="72" s="1"/>
  <c r="AA240" i="72"/>
  <c r="AB240" i="72" s="1"/>
  <c r="AA236" i="72"/>
  <c r="AB236" i="72" s="1"/>
  <c r="AA40" i="72"/>
  <c r="AB40" i="72" s="1"/>
  <c r="AA804" i="72"/>
  <c r="AB804" i="72" s="1"/>
  <c r="AA750" i="72"/>
  <c r="AB750" i="72" s="1"/>
  <c r="AA662" i="72"/>
  <c r="AB662" i="72" s="1"/>
  <c r="AA312" i="72"/>
  <c r="AB312" i="72" s="1"/>
  <c r="AA294" i="72"/>
  <c r="AB294" i="72" s="1"/>
  <c r="AA22" i="72"/>
  <c r="AA185" i="72"/>
  <c r="AQ185" i="72" s="1"/>
  <c r="AA439" i="72"/>
  <c r="AB439" i="72" s="1"/>
  <c r="AA260" i="72"/>
  <c r="AQ260" i="72" s="1"/>
  <c r="AA456" i="72"/>
  <c r="AB456" i="72" s="1"/>
  <c r="AB66" i="72"/>
  <c r="AQ66" i="72"/>
  <c r="AB56" i="72"/>
  <c r="AQ56" i="72"/>
  <c r="AB42" i="72"/>
  <c r="AQ42" i="72"/>
  <c r="AB29" i="72"/>
  <c r="AQ29" i="72"/>
  <c r="AA487" i="72"/>
  <c r="AB487" i="72" s="1"/>
  <c r="AB77" i="72"/>
  <c r="AQ77" i="72"/>
  <c r="AA754" i="72"/>
  <c r="AB754" i="72" s="1"/>
  <c r="AA460" i="72"/>
  <c r="AB460" i="72" s="1"/>
  <c r="AA396" i="72"/>
  <c r="AB396" i="72" s="1"/>
  <c r="AA669" i="72"/>
  <c r="AB669" i="72" s="1"/>
  <c r="AB72" i="72"/>
  <c r="AQ72" i="72"/>
  <c r="AA532" i="72"/>
  <c r="AB532" i="72" s="1"/>
  <c r="AB64" i="72"/>
  <c r="AQ64" i="72"/>
  <c r="AB33" i="72"/>
  <c r="AA419" i="72"/>
  <c r="AB419" i="72" s="1"/>
  <c r="AA797" i="72"/>
  <c r="AB797" i="72" s="1"/>
  <c r="AB52" i="72"/>
  <c r="AQ52" i="72"/>
  <c r="AA386" i="72"/>
  <c r="AB386" i="72" s="1"/>
  <c r="AA319" i="72"/>
  <c r="AB319" i="72" s="1"/>
  <c r="AA718" i="72"/>
  <c r="AB718" i="72" s="1"/>
  <c r="AA48" i="72"/>
  <c r="AA533" i="72"/>
  <c r="AB533" i="72" s="1"/>
  <c r="AA83" i="72"/>
  <c r="AA455" i="72"/>
  <c r="AB455" i="72" s="1"/>
  <c r="AB54" i="72"/>
  <c r="AQ54" i="72"/>
  <c r="AA180" i="72"/>
  <c r="AB180" i="72" s="1"/>
  <c r="AB74" i="72"/>
  <c r="AQ74" i="72"/>
  <c r="AQ108" i="72"/>
  <c r="AA609" i="72"/>
  <c r="AB609" i="72" s="1"/>
  <c r="AB57" i="72"/>
  <c r="AQ57" i="72"/>
  <c r="AB61" i="72"/>
  <c r="AQ61" i="72"/>
  <c r="AB55" i="72"/>
  <c r="AQ55" i="72"/>
  <c r="AB133" i="72"/>
  <c r="AQ133" i="72"/>
  <c r="AB43" i="72"/>
  <c r="AB58" i="72"/>
  <c r="AQ58" i="72"/>
  <c r="AB111" i="72"/>
  <c r="AQ111" i="72"/>
  <c r="AB124" i="72"/>
  <c r="AA699" i="72"/>
  <c r="AB699" i="72" s="1"/>
  <c r="AQ45" i="72"/>
  <c r="AA261" i="72"/>
  <c r="AB261" i="72" s="1"/>
  <c r="AA105" i="72"/>
  <c r="AA652" i="72"/>
  <c r="AB652" i="72" s="1"/>
  <c r="AB97" i="72"/>
  <c r="AQ97" i="72"/>
  <c r="AB120" i="72"/>
  <c r="AQ120" i="72"/>
  <c r="AA389" i="72"/>
  <c r="AB389" i="72" s="1"/>
  <c r="AB65" i="72"/>
  <c r="AQ65" i="72"/>
  <c r="AB59" i="72"/>
  <c r="AQ59" i="72"/>
  <c r="AB68" i="72"/>
  <c r="AQ68" i="72"/>
  <c r="AB69" i="72"/>
  <c r="AQ69" i="72"/>
  <c r="AB62" i="72"/>
  <c r="AQ62" i="72"/>
  <c r="AB63" i="72"/>
  <c r="AQ63" i="72"/>
  <c r="AA428" i="72"/>
  <c r="AB428" i="72" s="1"/>
  <c r="AA367" i="72"/>
  <c r="AB367" i="72" s="1"/>
  <c r="AA177" i="72"/>
  <c r="AB177" i="72" s="1"/>
  <c r="AA479" i="72"/>
  <c r="AB479" i="72" s="1"/>
  <c r="AA591" i="72"/>
  <c r="AB591" i="72" s="1"/>
  <c r="AA318" i="72"/>
  <c r="AB318" i="72" s="1"/>
  <c r="AB53" i="72"/>
  <c r="AQ53" i="72"/>
  <c r="AA179" i="72"/>
  <c r="AB179" i="72" s="1"/>
  <c r="AA606" i="72"/>
  <c r="AA238" i="72"/>
  <c r="AB238" i="72" s="1"/>
  <c r="AA388" i="72"/>
  <c r="AB388" i="72" s="1"/>
  <c r="AA152" i="72"/>
  <c r="AB152" i="72" s="1"/>
  <c r="AQ131" i="72"/>
  <c r="AB67" i="72"/>
  <c r="AQ67" i="72"/>
  <c r="AB70" i="72"/>
  <c r="AQ70" i="72"/>
  <c r="AA666" i="72"/>
  <c r="AB666" i="72" s="1"/>
  <c r="AA109" i="72"/>
  <c r="AB123" i="72"/>
  <c r="AQ123" i="72"/>
  <c r="AA205" i="72"/>
  <c r="AQ205" i="72" s="1"/>
  <c r="AA457" i="72"/>
  <c r="AB457" i="72" s="1"/>
  <c r="AA25" i="72"/>
  <c r="AA761" i="72"/>
  <c r="AB761" i="72" s="1"/>
  <c r="AA615" i="72"/>
  <c r="AB615" i="72" s="1"/>
  <c r="AA539" i="72"/>
  <c r="AB539" i="72" s="1"/>
  <c r="AA616" i="72"/>
  <c r="AB616" i="72" s="1"/>
  <c r="AA310" i="72"/>
  <c r="AB310" i="72" s="1"/>
  <c r="AA19" i="72"/>
  <c r="AA671" i="72"/>
  <c r="AB671" i="72" s="1"/>
  <c r="AB250" i="72"/>
  <c r="AQ250" i="72"/>
  <c r="AB243" i="72"/>
  <c r="AQ243" i="72"/>
  <c r="AB190" i="72"/>
  <c r="AQ190" i="72"/>
  <c r="AB212" i="72"/>
  <c r="AQ212" i="72"/>
  <c r="AB273" i="72"/>
  <c r="AQ273" i="72"/>
  <c r="AB188" i="72"/>
  <c r="AQ188" i="72"/>
  <c r="AB148" i="72"/>
  <c r="AQ148" i="72"/>
  <c r="AB216" i="72"/>
  <c r="AB221" i="72"/>
  <c r="AQ221" i="72"/>
  <c r="AB262" i="72"/>
  <c r="AQ262" i="72"/>
  <c r="AB182" i="72"/>
  <c r="AQ182" i="72"/>
  <c r="AB264" i="72"/>
  <c r="AQ264" i="72"/>
  <c r="AQ169" i="72"/>
  <c r="AQ257" i="72"/>
  <c r="AB248" i="72"/>
  <c r="AQ248" i="72"/>
  <c r="AB209" i="72"/>
  <c r="AQ209" i="72"/>
  <c r="AB211" i="72"/>
  <c r="AQ211" i="72"/>
  <c r="AQ256" i="72"/>
  <c r="AB234" i="72"/>
  <c r="AQ234" i="72"/>
  <c r="AB206" i="72"/>
  <c r="AQ206" i="72"/>
  <c r="AQ197" i="72"/>
  <c r="AB167" i="72"/>
  <c r="AQ167" i="72"/>
  <c r="AA552" i="72"/>
  <c r="AB552" i="72" s="1"/>
  <c r="AA422" i="72"/>
  <c r="AB422" i="72" s="1"/>
  <c r="AA667" i="72"/>
  <c r="AB667" i="72" s="1"/>
  <c r="AA79" i="72"/>
  <c r="AA252" i="72"/>
  <c r="AA201" i="72"/>
  <c r="AA361" i="72"/>
  <c r="AB361" i="72" s="1"/>
  <c r="AA586" i="72"/>
  <c r="AB586" i="72" s="1"/>
  <c r="AA758" i="72"/>
  <c r="AB758" i="72" s="1"/>
  <c r="AA562" i="72"/>
  <c r="AB562" i="72" s="1"/>
  <c r="AA580" i="72"/>
  <c r="AB580" i="72" s="1"/>
  <c r="AA226" i="72"/>
  <c r="AA87" i="72"/>
  <c r="AA411" i="72"/>
  <c r="AB411" i="72" s="1"/>
  <c r="AA269" i="72"/>
  <c r="AA651" i="72"/>
  <c r="AB651" i="72" s="1"/>
  <c r="AA95" i="72"/>
  <c r="AA263" i="72"/>
  <c r="AA416" i="72"/>
  <c r="AB416" i="72" s="1"/>
  <c r="AA569" i="72"/>
  <c r="AB569" i="72" s="1"/>
  <c r="AA738" i="72"/>
  <c r="AB738" i="72" s="1"/>
  <c r="AD56" i="72"/>
  <c r="AA121" i="72"/>
  <c r="AA324" i="72"/>
  <c r="AB324" i="72" s="1"/>
  <c r="AA631" i="72"/>
  <c r="AB631" i="72" s="1"/>
  <c r="AA274" i="72"/>
  <c r="AA602" i="72"/>
  <c r="AB602" i="72" s="1"/>
  <c r="AA90" i="72"/>
  <c r="AA423" i="72"/>
  <c r="AB423" i="72" s="1"/>
  <c r="AA659" i="72"/>
  <c r="AB659" i="72" s="1"/>
  <c r="AA454" i="72"/>
  <c r="AB454" i="72" s="1"/>
  <c r="AA795" i="72"/>
  <c r="AB795" i="72" s="1"/>
  <c r="AA353" i="72"/>
  <c r="AB353" i="72" s="1"/>
  <c r="AA581" i="72"/>
  <c r="AB581" i="72" s="1"/>
  <c r="AA812" i="72"/>
  <c r="AB812" i="72" s="1"/>
  <c r="AA377" i="72"/>
  <c r="AB377" i="72" s="1"/>
  <c r="AA540" i="72"/>
  <c r="AB540" i="72" s="1"/>
  <c r="AD61" i="72"/>
  <c r="AA381" i="72"/>
  <c r="AB381" i="72" s="1"/>
  <c r="AA357" i="72"/>
  <c r="AB357" i="72" s="1"/>
  <c r="AA210" i="72"/>
  <c r="AA427" i="72"/>
  <c r="AB427" i="72" s="1"/>
  <c r="AA369" i="72"/>
  <c r="AB369" i="72" s="1"/>
  <c r="AA792" i="72"/>
  <c r="AB792" i="72" s="1"/>
  <c r="AA373" i="72"/>
  <c r="AB373" i="72" s="1"/>
  <c r="AA34" i="72"/>
  <c r="AA267" i="72"/>
  <c r="AA35" i="72"/>
  <c r="AA545" i="72"/>
  <c r="AB545" i="72" s="1"/>
  <c r="AA468" i="72"/>
  <c r="AB468" i="72" s="1"/>
  <c r="AA730" i="72"/>
  <c r="AB730" i="72" s="1"/>
  <c r="AA829" i="72"/>
  <c r="AB829" i="72" s="1"/>
  <c r="AA37" i="72"/>
  <c r="AA138" i="72"/>
  <c r="AA530" i="72"/>
  <c r="AB530" i="72" s="1"/>
  <c r="AA253" i="72"/>
  <c r="AA406" i="72"/>
  <c r="AB406" i="72" s="1"/>
  <c r="AA635" i="72"/>
  <c r="AB635" i="72" s="1"/>
  <c r="AA817" i="72"/>
  <c r="AB817" i="72" s="1"/>
  <c r="AA686" i="72"/>
  <c r="AB686" i="72" s="1"/>
  <c r="AD63" i="72"/>
  <c r="AA610" i="72"/>
  <c r="AB610" i="72" s="1"/>
  <c r="AA650" i="72"/>
  <c r="AB650" i="72" s="1"/>
  <c r="AA309" i="72"/>
  <c r="AB309" i="72" s="1"/>
  <c r="AA463" i="72"/>
  <c r="AB463" i="72" s="1"/>
  <c r="AA620" i="72"/>
  <c r="AB620" i="72" s="1"/>
  <c r="AA794" i="72"/>
  <c r="AB794" i="72" s="1"/>
  <c r="AD68" i="72"/>
  <c r="AA86" i="72"/>
  <c r="AA175" i="72"/>
  <c r="AA258" i="72"/>
  <c r="AA333" i="72"/>
  <c r="AB333" i="72" s="1"/>
  <c r="AA410" i="72"/>
  <c r="AB410" i="72" s="1"/>
  <c r="AA489" i="72"/>
  <c r="AB489" i="72" s="1"/>
  <c r="AA563" i="72"/>
  <c r="AB563" i="72" s="1"/>
  <c r="AA639" i="72"/>
  <c r="AB639" i="72" s="1"/>
  <c r="AA726" i="72"/>
  <c r="AB726" i="72" s="1"/>
  <c r="AA824" i="72"/>
  <c r="AB824" i="72" s="1"/>
  <c r="AA146" i="72"/>
  <c r="AA232" i="72"/>
  <c r="AA305" i="72"/>
  <c r="AB305" i="72" s="1"/>
  <c r="AA385" i="72"/>
  <c r="AB385" i="72" s="1"/>
  <c r="AA251" i="72"/>
  <c r="AA555" i="72"/>
  <c r="AB555" i="72" s="1"/>
  <c r="AA768" i="72"/>
  <c r="AB768" i="72" s="1"/>
  <c r="AD57" i="72"/>
  <c r="AD66" i="72"/>
  <c r="AA60" i="72"/>
  <c r="AD60" i="72"/>
  <c r="AA18" i="72"/>
  <c r="AD18" i="72"/>
  <c r="AA335" i="72"/>
  <c r="AB335" i="72" s="1"/>
  <c r="AD67" i="72"/>
  <c r="AA786" i="72"/>
  <c r="AB786" i="72" s="1"/>
  <c r="AA554" i="72"/>
  <c r="AB554" i="72" s="1"/>
  <c r="AD65" i="72"/>
  <c r="AA49" i="72"/>
  <c r="AA24" i="72"/>
  <c r="AA640" i="72"/>
  <c r="AB640" i="72" s="1"/>
  <c r="AA198" i="72"/>
  <c r="AA508" i="72"/>
  <c r="AB508" i="72" s="1"/>
  <c r="AA219" i="72"/>
  <c r="AA527" i="72"/>
  <c r="AB527" i="72" s="1"/>
  <c r="AA186" i="72"/>
  <c r="AA421" i="72"/>
  <c r="AB421" i="72" s="1"/>
  <c r="AA742" i="72"/>
  <c r="AB742" i="72" s="1"/>
  <c r="AA634" i="72"/>
  <c r="AB634" i="72" s="1"/>
  <c r="AA630" i="72"/>
  <c r="AB630" i="72" s="1"/>
  <c r="AA134" i="72"/>
  <c r="AA296" i="72"/>
  <c r="AB296" i="72" s="1"/>
  <c r="AA449" i="72"/>
  <c r="AB449" i="72" s="1"/>
  <c r="AA600" i="72"/>
  <c r="AB600" i="72" s="1"/>
  <c r="AA676" i="72"/>
  <c r="AB676" i="72" s="1"/>
  <c r="AA773" i="72"/>
  <c r="AB773" i="72" s="1"/>
  <c r="AA268" i="72"/>
  <c r="AA347" i="72"/>
  <c r="AB347" i="72" s="1"/>
  <c r="AA85" i="72"/>
  <c r="AA375" i="72"/>
  <c r="AB375" i="72" s="1"/>
  <c r="AB836" i="72"/>
  <c r="AD58" i="72"/>
  <c r="AD69" i="72"/>
  <c r="AD54" i="72"/>
  <c r="AD70" i="72"/>
  <c r="AD55" i="72"/>
  <c r="AD64" i="72"/>
  <c r="G33" i="43"/>
  <c r="AQ192" i="72" l="1"/>
  <c r="AB125" i="72"/>
  <c r="AB181" i="72"/>
  <c r="AQ202" i="72"/>
  <c r="AB39" i="72"/>
  <c r="AQ184" i="72"/>
  <c r="AQ78" i="72"/>
  <c r="AQ47" i="72"/>
  <c r="AQ247" i="72"/>
  <c r="K20" i="127"/>
  <c r="N20" i="127"/>
  <c r="AB82" i="72"/>
  <c r="AQ172" i="72"/>
  <c r="AB736" i="72"/>
  <c r="J19" i="127"/>
  <c r="AB306" i="72"/>
  <c r="J16" i="127"/>
  <c r="AB606" i="72"/>
  <c r="J18" i="127"/>
  <c r="AB161" i="72"/>
  <c r="AB98" i="72"/>
  <c r="AB143" i="72"/>
  <c r="AB162" i="72"/>
  <c r="AQ228" i="72"/>
  <c r="AB224" i="72"/>
  <c r="AQ222" i="72"/>
  <c r="AQ27" i="72"/>
  <c r="AQ204" i="72"/>
  <c r="AQ196" i="72"/>
  <c r="AQ275" i="72"/>
  <c r="AB174" i="72"/>
  <c r="AB185" i="72"/>
  <c r="AQ114" i="72"/>
  <c r="AQ265" i="72"/>
  <c r="AQ76" i="72"/>
  <c r="AQ237" i="72"/>
  <c r="AQ278" i="72"/>
  <c r="AQ189" i="72"/>
  <c r="AB259" i="72"/>
  <c r="AQ142" i="72"/>
  <c r="AQ245" i="72"/>
  <c r="AQ51" i="72"/>
  <c r="AQ239" i="72"/>
  <c r="AQ112" i="72"/>
  <c r="AQ115" i="72"/>
  <c r="AQ36" i="72"/>
  <c r="AQ246" i="72"/>
  <c r="AQ132" i="72"/>
  <c r="AQ170" i="72"/>
  <c r="AQ214" i="72"/>
  <c r="AB150" i="72"/>
  <c r="AB147" i="72"/>
  <c r="AQ94" i="72"/>
  <c r="AQ152" i="72"/>
  <c r="AQ140" i="72"/>
  <c r="AQ26" i="72"/>
  <c r="AB200" i="72"/>
  <c r="AQ176" i="72"/>
  <c r="AQ261" i="72"/>
  <c r="AQ102" i="72"/>
  <c r="AB249" i="72"/>
  <c r="AQ92" i="72"/>
  <c r="AB260" i="72"/>
  <c r="AB205" i="72"/>
  <c r="AQ75" i="72"/>
  <c r="AQ231" i="72"/>
  <c r="AQ272" i="72"/>
  <c r="AQ40" i="72"/>
  <c r="AQ46" i="72"/>
  <c r="AQ225" i="72"/>
  <c r="AQ38" i="72"/>
  <c r="AB136" i="72"/>
  <c r="AQ220" i="72"/>
  <c r="AQ236" i="72"/>
  <c r="AC838" i="72"/>
  <c r="AQ271" i="72"/>
  <c r="AQ106" i="72"/>
  <c r="AB838" i="72"/>
  <c r="AQ160" i="72"/>
  <c r="AQ242" i="72"/>
  <c r="AQ171" i="72"/>
  <c r="AQ233" i="72"/>
  <c r="AQ144" i="72"/>
  <c r="AQ41" i="72"/>
  <c r="AQ44" i="72"/>
  <c r="AQ240" i="72"/>
  <c r="AQ241" i="72"/>
  <c r="AQ179" i="72"/>
  <c r="AB194" i="72"/>
  <c r="AQ103" i="72"/>
  <c r="AQ50" i="72"/>
  <c r="AQ159" i="72"/>
  <c r="AQ254" i="72"/>
  <c r="AQ215" i="72"/>
  <c r="AB277" i="72"/>
  <c r="AQ177" i="72"/>
  <c r="AQ135" i="72"/>
  <c r="AQ238" i="72"/>
  <c r="AB90" i="72"/>
  <c r="AQ90" i="72"/>
  <c r="AB79" i="72"/>
  <c r="AQ79" i="72"/>
  <c r="AB25" i="72"/>
  <c r="AQ25" i="72"/>
  <c r="AB146" i="72"/>
  <c r="AQ146" i="72"/>
  <c r="AB83" i="72"/>
  <c r="AQ83" i="72"/>
  <c r="AB87" i="72"/>
  <c r="AQ87" i="72"/>
  <c r="AC87" i="72"/>
  <c r="AB24" i="72"/>
  <c r="AQ24" i="72"/>
  <c r="AB35" i="72"/>
  <c r="AQ35" i="72"/>
  <c r="AB86" i="72"/>
  <c r="AQ86" i="72"/>
  <c r="AB95" i="72"/>
  <c r="AQ95" i="72"/>
  <c r="AB48" i="72"/>
  <c r="AQ48" i="72"/>
  <c r="AB49" i="72"/>
  <c r="AQ49" i="72"/>
  <c r="AB138" i="72"/>
  <c r="AQ138" i="72"/>
  <c r="AB19" i="72"/>
  <c r="AQ19" i="72"/>
  <c r="AB60" i="72"/>
  <c r="AQ60" i="72"/>
  <c r="AB85" i="72"/>
  <c r="AQ85" i="72"/>
  <c r="AB18" i="72"/>
  <c r="AQ18" i="72"/>
  <c r="AB37" i="72"/>
  <c r="AQ37" i="72"/>
  <c r="AB34" i="72"/>
  <c r="AQ34" i="72"/>
  <c r="AB121" i="72"/>
  <c r="AQ121" i="72"/>
  <c r="AQ180" i="72"/>
  <c r="AB109" i="72"/>
  <c r="AQ109" i="72"/>
  <c r="AB105" i="72"/>
  <c r="AQ105" i="72"/>
  <c r="AB134" i="72"/>
  <c r="AQ134" i="72"/>
  <c r="AB22" i="72"/>
  <c r="AQ22" i="72"/>
  <c r="AB210" i="72"/>
  <c r="AQ210" i="72"/>
  <c r="AB263" i="72"/>
  <c r="AQ263" i="72"/>
  <c r="AB268" i="72"/>
  <c r="AQ268" i="72"/>
  <c r="AB252" i="72"/>
  <c r="AQ252" i="72"/>
  <c r="AB219" i="72"/>
  <c r="AQ219" i="72"/>
  <c r="AB251" i="72"/>
  <c r="AQ251" i="72"/>
  <c r="AB258" i="72"/>
  <c r="AQ258" i="72"/>
  <c r="AB269" i="72"/>
  <c r="AQ269" i="72"/>
  <c r="AB175" i="72"/>
  <c r="AQ175" i="72"/>
  <c r="AB274" i="72"/>
  <c r="AQ274" i="72"/>
  <c r="AB267" i="72"/>
  <c r="AQ267" i="72"/>
  <c r="AB226" i="72"/>
  <c r="AQ226" i="72"/>
  <c r="R20" i="127"/>
  <c r="AB186" i="72"/>
  <c r="AQ186" i="72"/>
  <c r="AB253" i="72"/>
  <c r="AQ253" i="72"/>
  <c r="AB232" i="72"/>
  <c r="AQ232" i="72"/>
  <c r="AB201" i="72"/>
  <c r="AQ201" i="72"/>
  <c r="AB198" i="72"/>
  <c r="AQ198" i="72"/>
  <c r="AC85" i="72"/>
  <c r="X846" i="72"/>
  <c r="AA846" i="72" s="1"/>
  <c r="K19" i="127" l="1"/>
  <c r="K18" i="127"/>
  <c r="K16" i="127"/>
  <c r="G21" i="43"/>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X841" i="72" l="1"/>
  <c r="AA841" i="72" s="1"/>
  <c r="X843" i="72"/>
  <c r="AA843" i="72" s="1"/>
  <c r="X851" i="72" l="1"/>
  <c r="AA851" i="72" s="1"/>
  <c r="H33" i="43" l="1"/>
  <c r="X840" i="72"/>
  <c r="AA840" i="72" s="1"/>
  <c r="B33" i="43"/>
  <c r="B32" i="43"/>
  <c r="B31" i="43"/>
  <c r="B29" i="43"/>
  <c r="B28" i="43"/>
  <c r="B27" i="43"/>
  <c r="B26" i="43"/>
  <c r="B25" i="43"/>
  <c r="B24" i="43"/>
  <c r="B23" i="43"/>
  <c r="H23" i="43" l="1"/>
  <c r="I23" i="43" s="1"/>
  <c r="H24" i="43"/>
  <c r="J24" i="43" l="1"/>
  <c r="I24" i="43"/>
  <c r="G31" i="43" l="1"/>
  <c r="AK19" i="72" l="1"/>
  <c r="G20" i="43" s="1"/>
  <c r="AK18" i="72"/>
  <c r="G19" i="43" s="1"/>
  <c r="Y15" i="72" l="1"/>
  <c r="W16" i="72"/>
  <c r="Z16" i="72" l="1"/>
  <c r="AD16" i="72" s="1"/>
  <c r="X845" i="72"/>
  <c r="AA845" i="72" s="1"/>
  <c r="AA16" i="72" l="1"/>
  <c r="AQ16" i="72" s="1"/>
  <c r="J43" i="43"/>
  <c r="AB16" i="72" l="1"/>
  <c r="J33" i="43"/>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134" i="50" l="1"/>
  <c r="L56" i="50"/>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l="1"/>
  <c r="K42" i="85"/>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AK16" i="72" l="1"/>
  <c r="G17" i="43" l="1"/>
  <c r="AN843" i="72"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X34" i="72" l="1"/>
  <c r="AP34" i="72" s="1"/>
  <c r="X35" i="72"/>
  <c r="AP35" i="72" s="1"/>
  <c r="X271" i="72"/>
  <c r="AP271" i="72" s="1"/>
  <c r="X282" i="72"/>
  <c r="AP282" i="72" s="1"/>
  <c r="X94" i="72"/>
  <c r="AP94" i="72" s="1"/>
  <c r="X83" i="72"/>
  <c r="AP83" i="72" s="1"/>
  <c r="X736" i="72"/>
  <c r="AP736" i="72" s="1"/>
  <c r="X444" i="72"/>
  <c r="AP444" i="72" s="1"/>
  <c r="Y444" i="72" l="1"/>
  <c r="AC444" i="72"/>
  <c r="Y94" i="72"/>
  <c r="AC94" i="72"/>
  <c r="Y736" i="72"/>
  <c r="AC736" i="72"/>
  <c r="Y271" i="72"/>
  <c r="AC271" i="72"/>
  <c r="Y34" i="72"/>
  <c r="AC34" i="72"/>
  <c r="Y83" i="72"/>
  <c r="AC83" i="72"/>
  <c r="Y282" i="72"/>
  <c r="AC282" i="72"/>
  <c r="Y35" i="72"/>
  <c r="AC35" i="72"/>
  <c r="X142" i="72"/>
  <c r="AP142" i="72" s="1"/>
  <c r="X61" i="72"/>
  <c r="AP61" i="72" s="1"/>
  <c r="X625" i="72"/>
  <c r="AP625" i="72" s="1"/>
  <c r="X797" i="72"/>
  <c r="AP797" i="72" s="1"/>
  <c r="X776" i="72"/>
  <c r="AP776" i="72" s="1"/>
  <c r="X698" i="72"/>
  <c r="AP698" i="72" s="1"/>
  <c r="X438" i="72"/>
  <c r="AP438" i="72" s="1"/>
  <c r="X64" i="72"/>
  <c r="X738" i="72"/>
  <c r="AP738" i="72" s="1"/>
  <c r="X418" i="72"/>
  <c r="AP418" i="72" s="1"/>
  <c r="X558" i="72"/>
  <c r="AP558" i="72" s="1"/>
  <c r="X749" i="72"/>
  <c r="AP749" i="72" s="1"/>
  <c r="X511" i="72"/>
  <c r="AP511" i="72" s="1"/>
  <c r="X132" i="72"/>
  <c r="X780" i="72"/>
  <c r="AP780" i="72" s="1"/>
  <c r="X380" i="72"/>
  <c r="AP380" i="72" s="1"/>
  <c r="X294" i="72"/>
  <c r="AP294" i="72" s="1"/>
  <c r="X635" i="72"/>
  <c r="AP635" i="72" s="1"/>
  <c r="X329" i="72"/>
  <c r="AP329" i="72" s="1"/>
  <c r="X585" i="72"/>
  <c r="AP585" i="72" s="1"/>
  <c r="X162" i="72"/>
  <c r="AP162" i="72" s="1"/>
  <c r="X627" i="72"/>
  <c r="AP627" i="72" s="1"/>
  <c r="X321" i="72"/>
  <c r="AP321" i="72" s="1"/>
  <c r="X626" i="72"/>
  <c r="AP626" i="72" s="1"/>
  <c r="X502" i="72"/>
  <c r="AP502" i="72" s="1"/>
  <c r="X309" i="72"/>
  <c r="AP309" i="72" s="1"/>
  <c r="X54" i="72"/>
  <c r="X814" i="72"/>
  <c r="AP814" i="72" s="1"/>
  <c r="X462" i="72"/>
  <c r="AP462" i="72" s="1"/>
  <c r="X575" i="72"/>
  <c r="AP575" i="72" s="1"/>
  <c r="X593" i="72"/>
  <c r="AP593" i="72" s="1"/>
  <c r="X379" i="72"/>
  <c r="AP379" i="72" s="1"/>
  <c r="X831" i="72"/>
  <c r="AP831" i="72" s="1"/>
  <c r="X492" i="72"/>
  <c r="X212" i="72"/>
  <c r="AP212" i="72" s="1"/>
  <c r="X667" i="72"/>
  <c r="AP667" i="72" s="1"/>
  <c r="X283" i="72"/>
  <c r="AP283" i="72" s="1"/>
  <c r="X120" i="72"/>
  <c r="AP120" i="72" s="1"/>
  <c r="X615" i="72"/>
  <c r="AP615" i="72" s="1"/>
  <c r="X423" i="72"/>
  <c r="AP423" i="72" s="1"/>
  <c r="X222" i="72"/>
  <c r="AP222" i="72" s="1"/>
  <c r="X326" i="72"/>
  <c r="AP326" i="72" s="1"/>
  <c r="X624" i="72"/>
  <c r="AP624" i="72" s="1"/>
  <c r="X318" i="72"/>
  <c r="AP318" i="72" s="1"/>
  <c r="X753" i="72"/>
  <c r="AP753" i="72" s="1"/>
  <c r="X102" i="72"/>
  <c r="AP102" i="72" s="1"/>
  <c r="X574" i="72"/>
  <c r="AP574" i="72" s="1"/>
  <c r="X269" i="72"/>
  <c r="AP269" i="72" s="1"/>
  <c r="X349" i="72"/>
  <c r="AP349" i="72" s="1"/>
  <c r="X148" i="72"/>
  <c r="AP148" i="72" s="1"/>
  <c r="X728" i="72"/>
  <c r="AP728" i="72" s="1"/>
  <c r="X516" i="72"/>
  <c r="AP516" i="72" s="1"/>
  <c r="X298" i="72"/>
  <c r="AP298" i="72" s="1"/>
  <c r="X67" i="72"/>
  <c r="AP67" i="72" s="1"/>
  <c r="X403" i="72"/>
  <c r="AP403" i="72" s="1"/>
  <c r="X552" i="72"/>
  <c r="AP552" i="72" s="1"/>
  <c r="X197" i="72"/>
  <c r="AP197" i="72" s="1"/>
  <c r="X655" i="72"/>
  <c r="AP655" i="72" s="1"/>
  <c r="X356" i="72"/>
  <c r="AP356" i="72" s="1"/>
  <c r="X421" i="72"/>
  <c r="AP421" i="72" s="1"/>
  <c r="X86" i="72"/>
  <c r="AP86" i="72" s="1"/>
  <c r="X571" i="72"/>
  <c r="X676" i="72"/>
  <c r="AP676" i="72" s="1"/>
  <c r="X489" i="72"/>
  <c r="AP489" i="72" s="1"/>
  <c r="X289" i="72"/>
  <c r="AP289" i="72" s="1"/>
  <c r="X827" i="72"/>
  <c r="AP827" i="72" s="1"/>
  <c r="X410" i="72"/>
  <c r="AP410" i="72" s="1"/>
  <c r="X175" i="72"/>
  <c r="AP175" i="72" s="1"/>
  <c r="X353" i="72"/>
  <c r="AP353" i="72" s="1"/>
  <c r="X249" i="72"/>
  <c r="AP249" i="72" s="1"/>
  <c r="X739" i="72"/>
  <c r="AP739" i="72" s="1"/>
  <c r="X419" i="72"/>
  <c r="AP419" i="72" s="1"/>
  <c r="X97" i="72"/>
  <c r="AP97" i="72" s="1"/>
  <c r="X196" i="72"/>
  <c r="AP196" i="72" s="1"/>
  <c r="X637" i="72"/>
  <c r="AP637" i="72" s="1"/>
  <c r="X332" i="72"/>
  <c r="AP332" i="72" s="1"/>
  <c r="X36" i="72"/>
  <c r="AP36" i="72" s="1"/>
  <c r="X296" i="72"/>
  <c r="AP296" i="72" s="1"/>
  <c r="X57" i="72"/>
  <c r="AP57" i="72" s="1"/>
  <c r="X662" i="72"/>
  <c r="AP662" i="72" s="1"/>
  <c r="X465" i="72"/>
  <c r="AP465" i="72" s="1"/>
  <c r="X248" i="72"/>
  <c r="AP248" i="72" s="1"/>
  <c r="X43" i="72"/>
  <c r="X226" i="72"/>
  <c r="X616" i="72"/>
  <c r="AP616" i="72" s="1"/>
  <c r="X340" i="72"/>
  <c r="AP340" i="72" s="1"/>
  <c r="X415" i="72"/>
  <c r="AP415" i="72" s="1"/>
  <c r="X69" i="72"/>
  <c r="AP69" i="72" s="1"/>
  <c r="X657" i="72"/>
  <c r="AP657" i="72" s="1"/>
  <c r="X179" i="72"/>
  <c r="AP179" i="72" s="1"/>
  <c r="X726" i="72"/>
  <c r="AP726" i="72" s="1"/>
  <c r="X784" i="72"/>
  <c r="AP784" i="72" s="1"/>
  <c r="X696" i="72"/>
  <c r="AP696" i="72" s="1"/>
  <c r="X794" i="72"/>
  <c r="AP794" i="72" s="1"/>
  <c r="X683" i="72"/>
  <c r="X381" i="72"/>
  <c r="AP381" i="72" s="1"/>
  <c r="X522" i="72"/>
  <c r="AP522" i="72" s="1"/>
  <c r="X706" i="72"/>
  <c r="AP706" i="72" s="1"/>
  <c r="X503" i="72"/>
  <c r="X737" i="72"/>
  <c r="AP737" i="72" s="1"/>
  <c r="X748" i="72"/>
  <c r="AP748" i="72" s="1"/>
  <c r="X301" i="72"/>
  <c r="AP301" i="72" s="1"/>
  <c r="X256" i="72"/>
  <c r="AP256" i="72" s="1"/>
  <c r="X293" i="72"/>
  <c r="AP293" i="72" s="1"/>
  <c r="X352" i="72"/>
  <c r="AP352" i="72" s="1"/>
  <c r="X586" i="72"/>
  <c r="AP586" i="72" s="1"/>
  <c r="X284" i="72"/>
  <c r="AP284" i="72" s="1"/>
  <c r="X577" i="72"/>
  <c r="AP577" i="72" s="1"/>
  <c r="X494" i="72"/>
  <c r="X273" i="72"/>
  <c r="AP273" i="72" s="1"/>
  <c r="X55" i="72"/>
  <c r="AP55" i="72" s="1"/>
  <c r="X388" i="72"/>
  <c r="AP388" i="72" s="1"/>
  <c r="X339" i="72"/>
  <c r="AP339" i="72" s="1"/>
  <c r="X777" i="72"/>
  <c r="AP777" i="72" s="1"/>
  <c r="X453" i="72"/>
  <c r="AP453" i="72" s="1"/>
  <c r="X633" i="72"/>
  <c r="AP633" i="72" s="1"/>
  <c r="X470" i="72"/>
  <c r="AP470" i="72" s="1"/>
  <c r="X272" i="72"/>
  <c r="AP272" i="72" s="1"/>
  <c r="X799" i="72"/>
  <c r="AP799" i="72" s="1"/>
  <c r="X584" i="72"/>
  <c r="AP584" i="72" s="1"/>
  <c r="X396" i="72"/>
  <c r="AP396" i="72" s="1"/>
  <c r="X138" i="72"/>
  <c r="AP138" i="72" s="1"/>
  <c r="X210" i="72"/>
  <c r="AP210" i="72" s="1"/>
  <c r="X114" i="72"/>
  <c r="AP114" i="72" s="1"/>
  <c r="X242" i="72"/>
  <c r="AP242" i="72" s="1"/>
  <c r="X387" i="72"/>
  <c r="AP387" i="72" s="1"/>
  <c r="X60" i="72"/>
  <c r="X233" i="72"/>
  <c r="AP233" i="72" s="1"/>
  <c r="X338" i="72"/>
  <c r="AP338" i="72" s="1"/>
  <c r="X90" i="72"/>
  <c r="AP90" i="72" s="1"/>
  <c r="X677" i="72"/>
  <c r="AP677" i="72" s="1"/>
  <c r="X290" i="72"/>
  <c r="AP290" i="72" s="1"/>
  <c r="X59" i="72"/>
  <c r="AP59" i="72" s="1"/>
  <c r="X325" i="72"/>
  <c r="AP325" i="72" s="1"/>
  <c r="X476" i="72"/>
  <c r="AP476" i="72" s="1"/>
  <c r="X467" i="72"/>
  <c r="AP467" i="72" s="1"/>
  <c r="X622" i="72"/>
  <c r="AP622" i="72" s="1"/>
  <c r="X688" i="72"/>
  <c r="AP688" i="72" s="1"/>
  <c r="X385" i="72"/>
  <c r="AP385" i="72" s="1"/>
  <c r="X45" i="72"/>
  <c r="X534" i="72"/>
  <c r="AP534" i="72" s="1"/>
  <c r="X665" i="72"/>
  <c r="AP665" i="72" s="1"/>
  <c r="X450" i="72"/>
  <c r="AP450" i="72" s="1"/>
  <c r="X259" i="72"/>
  <c r="AP259" i="72" s="1"/>
  <c r="X824" i="72"/>
  <c r="AP824" i="72" s="1"/>
  <c r="X589" i="72"/>
  <c r="AP589" i="72" s="1"/>
  <c r="X375" i="72"/>
  <c r="AP375" i="72" s="1"/>
  <c r="X275" i="72"/>
  <c r="AP275" i="72" s="1"/>
  <c r="X206" i="72"/>
  <c r="AP206" i="72" s="1"/>
  <c r="X686" i="72"/>
  <c r="AP686" i="72" s="1"/>
  <c r="X382" i="72"/>
  <c r="AP382" i="72" s="1"/>
  <c r="X56" i="72"/>
  <c r="AP56" i="72" s="1"/>
  <c r="X597" i="72"/>
  <c r="AP597" i="72" s="1"/>
  <c r="X295" i="72"/>
  <c r="AP295" i="72" s="1"/>
  <c r="X48" i="72"/>
  <c r="X267" i="72"/>
  <c r="AP267" i="72" s="1"/>
  <c r="X37" i="72"/>
  <c r="X629" i="72"/>
  <c r="AP629" i="72" s="1"/>
  <c r="X437" i="72"/>
  <c r="AP437" i="72" s="1"/>
  <c r="X239" i="72"/>
  <c r="AP239" i="72" s="1"/>
  <c r="X131" i="72"/>
  <c r="X782" i="72"/>
  <c r="AP782" i="72" s="1"/>
  <c r="X455" i="72"/>
  <c r="AP455" i="72" s="1"/>
  <c r="X540" i="72"/>
  <c r="AP540" i="72" s="1"/>
  <c r="X253" i="72"/>
  <c r="AP253" i="72" s="1"/>
  <c r="X211" i="72"/>
  <c r="AP211" i="72" s="1"/>
  <c r="X335" i="72"/>
  <c r="AP335" i="72" s="1"/>
  <c r="X459" i="72"/>
  <c r="AP459" i="72" s="1"/>
  <c r="X638" i="72"/>
  <c r="AP638" i="72" s="1"/>
  <c r="X304" i="72"/>
  <c r="AP304" i="72" s="1"/>
  <c r="X694" i="72"/>
  <c r="AP694" i="72" s="1"/>
  <c r="X644" i="72"/>
  <c r="AP644" i="72" s="1"/>
  <c r="X821" i="72"/>
  <c r="AP821" i="72" s="1"/>
  <c r="X485" i="72"/>
  <c r="AP485" i="72" s="1"/>
  <c r="X661" i="72"/>
  <c r="AP661" i="72" s="1"/>
  <c r="X436" i="72"/>
  <c r="AP436" i="72" s="1"/>
  <c r="X342" i="72"/>
  <c r="AP342" i="72" s="1"/>
  <c r="X746" i="72"/>
  <c r="AP746" i="72" s="1"/>
  <c r="X225" i="72"/>
  <c r="X215" i="72"/>
  <c r="AP215" i="72" s="1"/>
  <c r="X557" i="72"/>
  <c r="AP557" i="72" s="1"/>
  <c r="X254" i="72"/>
  <c r="AP254" i="72" s="1"/>
  <c r="X322" i="72"/>
  <c r="AP322" i="72" s="1"/>
  <c r="X18" i="72"/>
  <c r="AP18" i="72" s="1"/>
  <c r="X548" i="72"/>
  <c r="AP548" i="72" s="1"/>
  <c r="X246" i="72"/>
  <c r="AP246" i="72" s="1"/>
  <c r="X652" i="72"/>
  <c r="AP652" i="72" s="1"/>
  <c r="X463" i="72"/>
  <c r="AP463" i="72" s="1"/>
  <c r="X263" i="72"/>
  <c r="AP263" i="72" s="1"/>
  <c r="X669" i="72"/>
  <c r="AP669" i="72" s="1"/>
  <c r="X308" i="72"/>
  <c r="AP308" i="72" s="1"/>
  <c r="X778" i="72"/>
  <c r="AP778" i="72" s="1"/>
  <c r="X530" i="72"/>
  <c r="AP530" i="72" s="1"/>
  <c r="X300" i="72"/>
  <c r="AP300" i="72" s="1"/>
  <c r="X730" i="72"/>
  <c r="AP730" i="72" s="1"/>
  <c r="X414" i="72"/>
  <c r="AP414" i="72" s="1"/>
  <c r="X92" i="72"/>
  <c r="AP92" i="72" s="1"/>
  <c r="X592" i="72"/>
  <c r="AP592" i="72" s="1"/>
  <c r="X434" i="72"/>
  <c r="AP434" i="72" s="1"/>
  <c r="X245" i="72"/>
  <c r="AP245" i="72" s="1"/>
  <c r="X791" i="72"/>
  <c r="AP791" i="72" s="1"/>
  <c r="X546" i="72"/>
  <c r="AP546" i="72" s="1"/>
  <c r="X369" i="72"/>
  <c r="AP369" i="72" s="1"/>
  <c r="X63" i="72"/>
  <c r="X112" i="72"/>
  <c r="AP112" i="72" s="1"/>
  <c r="X68" i="72"/>
  <c r="AP68" i="72" s="1"/>
  <c r="X545" i="72"/>
  <c r="AP545" i="72" s="1"/>
  <c r="X198" i="72"/>
  <c r="AP198" i="72" s="1"/>
  <c r="X360" i="72"/>
  <c r="AP360" i="72" s="1"/>
  <c r="X817" i="72"/>
  <c r="AP817" i="72" s="1"/>
  <c r="X499" i="72"/>
  <c r="AP499" i="72" s="1"/>
  <c r="X188" i="72"/>
  <c r="AP188" i="72" s="1"/>
  <c r="X307" i="72"/>
  <c r="AP307" i="72" s="1"/>
  <c r="X78" i="72"/>
  <c r="AP78" i="72" s="1"/>
  <c r="X666" i="72"/>
  <c r="AP666" i="72" s="1"/>
  <c r="X452" i="72"/>
  <c r="AP452" i="72" s="1"/>
  <c r="X260" i="72"/>
  <c r="AP260" i="72" s="1"/>
  <c r="X810" i="72"/>
  <c r="AP810" i="72" s="1"/>
  <c r="X250" i="72"/>
  <c r="AP250" i="72" s="1"/>
  <c r="X402" i="72"/>
  <c r="AP402" i="72" s="1"/>
  <c r="X431" i="72"/>
  <c r="AP431" i="72" s="1"/>
  <c r="X648" i="72"/>
  <c r="AP648" i="72" s="1"/>
  <c r="X347" i="72"/>
  <c r="AP347" i="72" s="1"/>
  <c r="X135" i="72"/>
  <c r="AP135" i="72" s="1"/>
  <c r="X497" i="72"/>
  <c r="AP497" i="72" s="1"/>
  <c r="X639" i="72"/>
  <c r="AP639" i="72" s="1"/>
  <c r="X439" i="72"/>
  <c r="AP439" i="72" s="1"/>
  <c r="X220" i="72"/>
  <c r="X772" i="72"/>
  <c r="AP772" i="72" s="1"/>
  <c r="X562" i="72"/>
  <c r="AP562" i="72" s="1"/>
  <c r="X366" i="72"/>
  <c r="AP366" i="72" s="1"/>
  <c r="X72" i="72"/>
  <c r="AP72" i="72" s="1"/>
  <c r="X646" i="72"/>
  <c r="AP646" i="72" s="1"/>
  <c r="X343" i="72"/>
  <c r="AP343" i="72" s="1"/>
  <c r="X44" i="72"/>
  <c r="AP44" i="72" s="1"/>
  <c r="X109" i="72"/>
  <c r="AP109" i="72" s="1"/>
  <c r="X561" i="72"/>
  <c r="AP561" i="72" s="1"/>
  <c r="X257" i="72"/>
  <c r="AP257" i="72" s="1"/>
  <c r="X22" i="72"/>
  <c r="AP22" i="72" s="1"/>
  <c r="X231" i="72"/>
  <c r="AP231" i="72" s="1"/>
  <c r="X812" i="72"/>
  <c r="AP812" i="72" s="1"/>
  <c r="X621" i="72"/>
  <c r="AP621" i="72" s="1"/>
  <c r="X401" i="72"/>
  <c r="AP401" i="72" s="1"/>
  <c r="X205" i="72"/>
  <c r="AP205" i="72" s="1"/>
  <c r="X52" i="72"/>
  <c r="X38" i="72"/>
  <c r="X549" i="72"/>
  <c r="AP549" i="72" s="1"/>
  <c r="X371" i="72"/>
  <c r="AP371" i="72" s="1"/>
  <c r="X651" i="72"/>
  <c r="AP651" i="72" s="1"/>
  <c r="X634" i="72"/>
  <c r="AP634" i="72" s="1"/>
  <c r="X320" i="72"/>
  <c r="AP320" i="72" s="1"/>
  <c r="X404" i="72"/>
  <c r="AP404" i="72" s="1"/>
  <c r="X306" i="72"/>
  <c r="AP306" i="72" s="1"/>
  <c r="X479" i="72"/>
  <c r="AP479" i="72" s="1"/>
  <c r="X392" i="72"/>
  <c r="AP392" i="72" s="1"/>
  <c r="X515" i="72"/>
  <c r="AP515" i="72" s="1"/>
  <c r="X428" i="72"/>
  <c r="AP428" i="72" s="1"/>
  <c r="X457" i="72"/>
  <c r="AP457" i="72" s="1"/>
  <c r="X240" i="72"/>
  <c r="AP240" i="72" s="1"/>
  <c r="X373" i="72"/>
  <c r="AP373" i="72" s="1"/>
  <c r="X474" i="72"/>
  <c r="AP474" i="72" s="1"/>
  <c r="X541" i="72"/>
  <c r="AP541" i="72" s="1"/>
  <c r="X608" i="72"/>
  <c r="AP608" i="72" s="1"/>
  <c r="X770" i="72"/>
  <c r="AP770" i="72" s="1"/>
  <c r="X447" i="72"/>
  <c r="AP447" i="72" s="1"/>
  <c r="X653" i="72"/>
  <c r="AP653" i="72" s="1"/>
  <c r="X427" i="72"/>
  <c r="AP427" i="72" s="1"/>
  <c r="X310" i="72"/>
  <c r="AP310" i="72" s="1"/>
  <c r="X703" i="72"/>
  <c r="AP703" i="72" s="1"/>
  <c r="X520" i="72"/>
  <c r="AP520" i="72" s="1"/>
  <c r="X214" i="72"/>
  <c r="AP214" i="72" s="1"/>
  <c r="X285" i="72"/>
  <c r="AP285" i="72" s="1"/>
  <c r="X793" i="72"/>
  <c r="AP793" i="72" s="1"/>
  <c r="X510" i="72"/>
  <c r="AP510" i="72" s="1"/>
  <c r="X202" i="72"/>
  <c r="AP202" i="72" s="1"/>
  <c r="X643" i="72"/>
  <c r="AP643" i="72" s="1"/>
  <c r="X426" i="72"/>
  <c r="AP426" i="72" s="1"/>
  <c r="X237" i="72"/>
  <c r="AP237" i="72" s="1"/>
  <c r="X802" i="72"/>
  <c r="AP802" i="72" s="1"/>
  <c r="X606" i="72"/>
  <c r="AP606" i="72" s="1"/>
  <c r="X236" i="72"/>
  <c r="AP236" i="72" s="1"/>
  <c r="X768" i="72"/>
  <c r="AP768" i="72" s="1"/>
  <c r="X519" i="72"/>
  <c r="AP519" i="72" s="1"/>
  <c r="X262" i="72"/>
  <c r="AP262" i="72" s="1"/>
  <c r="X679" i="72"/>
  <c r="AP679" i="72" s="1"/>
  <c r="X406" i="72"/>
  <c r="AP406" i="72" s="1"/>
  <c r="X53" i="72"/>
  <c r="X555" i="72"/>
  <c r="AP555" i="72" s="1"/>
  <c r="X425" i="72"/>
  <c r="AP425" i="72" s="1"/>
  <c r="X201" i="72"/>
  <c r="AP201" i="72" s="1"/>
  <c r="X755" i="72"/>
  <c r="AP755" i="72" s="1"/>
  <c r="X538" i="72"/>
  <c r="AP538" i="72" s="1"/>
  <c r="X766" i="72"/>
  <c r="AP766" i="72" s="1"/>
  <c r="X712" i="72"/>
  <c r="AP712" i="72" s="1"/>
  <c r="X764" i="72"/>
  <c r="AP764" i="72" s="1"/>
  <c r="X319" i="72"/>
  <c r="AP319" i="72" s="1"/>
  <c r="X460" i="72"/>
  <c r="AP460" i="72" s="1"/>
  <c r="X147" i="72"/>
  <c r="AP147" i="72" s="1"/>
  <c r="X50" i="72"/>
  <c r="X640" i="72"/>
  <c r="AP640" i="72" s="1"/>
  <c r="X440" i="72"/>
  <c r="AP440" i="72" s="1"/>
  <c r="X251" i="72"/>
  <c r="AP251" i="72" s="1"/>
  <c r="X773" i="72"/>
  <c r="AP773" i="72" s="1"/>
  <c r="X699" i="72"/>
  <c r="AP699" i="72" s="1"/>
  <c r="X393" i="72"/>
  <c r="AP393" i="72" s="1"/>
  <c r="X58" i="72"/>
  <c r="X543" i="72"/>
  <c r="AP543" i="72" s="1"/>
  <c r="X612" i="72"/>
  <c r="AP612" i="72" s="1"/>
  <c r="X305" i="72"/>
  <c r="AP305" i="72" s="1"/>
  <c r="X786" i="72"/>
  <c r="AP786" i="72" s="1"/>
  <c r="X458" i="72"/>
  <c r="AP458" i="72" s="1"/>
  <c r="X600" i="72"/>
  <c r="AP600" i="72" s="1"/>
  <c r="X411" i="72"/>
  <c r="AP411" i="72" s="1"/>
  <c r="X209" i="72"/>
  <c r="AP209" i="72" s="1"/>
  <c r="X763" i="72"/>
  <c r="AP763" i="72" s="1"/>
  <c r="X524" i="72"/>
  <c r="AP524" i="72" s="1"/>
  <c r="X333" i="72"/>
  <c r="AP333" i="72" s="1"/>
  <c r="X750" i="72"/>
  <c r="AP750" i="72" s="1"/>
  <c r="X108" i="72"/>
  <c r="AP108" i="72" s="1"/>
  <c r="X123" i="72"/>
  <c r="AP123" i="72" s="1"/>
  <c r="X609" i="72"/>
  <c r="AP609" i="72" s="1"/>
  <c r="X303" i="72"/>
  <c r="AP303" i="72" s="1"/>
  <c r="X819" i="72"/>
  <c r="AP819" i="72" s="1"/>
  <c r="X65" i="72"/>
  <c r="AP65" i="72" s="1"/>
  <c r="X523" i="72"/>
  <c r="AP523" i="72" s="1"/>
  <c r="X216" i="72"/>
  <c r="AP216" i="72" s="1"/>
  <c r="X219" i="72"/>
  <c r="X806" i="72"/>
  <c r="AP806" i="72" s="1"/>
  <c r="X588" i="72"/>
  <c r="AP588" i="72" s="1"/>
  <c r="X391" i="72"/>
  <c r="AP391" i="72" s="1"/>
  <c r="X26" i="72"/>
  <c r="AP26" i="72" s="1"/>
  <c r="X47" i="72"/>
  <c r="AP47" i="72" s="1"/>
  <c r="X596" i="72"/>
  <c r="AP596" i="72" s="1"/>
  <c r="X539" i="72"/>
  <c r="AP539" i="72" s="1"/>
  <c r="X529" i="72"/>
  <c r="AP529" i="72" s="1"/>
  <c r="X433" i="72"/>
  <c r="AP433" i="72" s="1"/>
  <c r="X358" i="72"/>
  <c r="AP358" i="72" s="1"/>
  <c r="X741" i="72"/>
  <c r="AP741" i="72" s="1"/>
  <c r="X630" i="72"/>
  <c r="AP630" i="72" s="1"/>
  <c r="X297" i="72"/>
  <c r="AP297" i="72" s="1"/>
  <c r="X42" i="72"/>
  <c r="X464" i="72"/>
  <c r="AP464" i="72" s="1"/>
  <c r="X569" i="72"/>
  <c r="AP569" i="72" s="1"/>
  <c r="X719" i="72"/>
  <c r="AP719" i="72" s="1"/>
  <c r="X408" i="72"/>
  <c r="AP408" i="72" s="1"/>
  <c r="X628" i="72"/>
  <c r="AP628" i="72" s="1"/>
  <c r="X400" i="72"/>
  <c r="AP400" i="72" s="1"/>
  <c r="X264" i="72"/>
  <c r="AP264" i="72" s="1"/>
  <c r="X682" i="72"/>
  <c r="AP682" i="72" s="1"/>
  <c r="X82" i="72"/>
  <c r="AP82" i="72" s="1"/>
  <c r="X106" i="72"/>
  <c r="AP106" i="72" s="1"/>
  <c r="X274" i="72"/>
  <c r="AP274" i="72" s="1"/>
  <c r="X758" i="72"/>
  <c r="AP758" i="72" s="1"/>
  <c r="X471" i="72"/>
  <c r="AP471" i="72" s="1"/>
  <c r="X161" i="72"/>
  <c r="AP161" i="72" s="1"/>
  <c r="X619" i="72"/>
  <c r="AP619" i="72" s="1"/>
  <c r="X416" i="72"/>
  <c r="AP416" i="72" s="1"/>
  <c r="X192" i="72"/>
  <c r="AP192" i="72" s="1"/>
  <c r="X756" i="72"/>
  <c r="AP756" i="72" s="1"/>
  <c r="X556" i="72"/>
  <c r="AP556" i="72" s="1"/>
  <c r="X716" i="72"/>
  <c r="AP716" i="72" s="1"/>
  <c r="X493" i="72"/>
  <c r="AP493" i="72" s="1"/>
  <c r="X224" i="72"/>
  <c r="AP224" i="72" s="1"/>
  <c r="X641" i="72"/>
  <c r="AP641" i="72" s="1"/>
  <c r="X370" i="72"/>
  <c r="AP370" i="72" s="1"/>
  <c r="X832" i="72"/>
  <c r="AP832" i="72" s="1"/>
  <c r="X517" i="72"/>
  <c r="AP517" i="72" s="1"/>
  <c r="X397" i="72"/>
  <c r="AP397" i="72" s="1"/>
  <c r="X190" i="72"/>
  <c r="AP190" i="72" s="1"/>
  <c r="X702" i="72"/>
  <c r="AP702" i="72" s="1"/>
  <c r="X508" i="72"/>
  <c r="AP508" i="72" s="1"/>
  <c r="X754" i="72"/>
  <c r="AP754" i="72" s="1"/>
  <c r="X632" i="72"/>
  <c r="AP632" i="72" s="1"/>
  <c r="X327" i="72"/>
  <c r="AP327" i="72" s="1"/>
  <c r="X798" i="72"/>
  <c r="AP798" i="72" s="1"/>
  <c r="X468" i="72"/>
  <c r="AP468" i="72" s="1"/>
  <c r="X789" i="72"/>
  <c r="AP789" i="72" s="1"/>
  <c r="X422" i="72"/>
  <c r="AP422" i="72" s="1"/>
  <c r="X77" i="72"/>
  <c r="AP77" i="72" s="1"/>
  <c r="X261" i="72"/>
  <c r="AP261" i="72" s="1"/>
  <c r="X833" i="72"/>
  <c r="AP833" i="72" s="1"/>
  <c r="X602" i="72"/>
  <c r="AP602" i="72" s="1"/>
  <c r="X412" i="72"/>
  <c r="AP412" i="72" s="1"/>
  <c r="X221" i="72"/>
  <c r="AP221" i="72" s="1"/>
  <c r="X711" i="72"/>
  <c r="AP711" i="72" s="1"/>
  <c r="X66" i="72"/>
  <c r="AP66" i="72" s="1"/>
  <c r="X656" i="72"/>
  <c r="AP656" i="72" s="1"/>
  <c r="X357" i="72"/>
  <c r="AP357" i="72" s="1"/>
  <c r="X103" i="72"/>
  <c r="AP103" i="72" s="1"/>
  <c r="X505" i="72"/>
  <c r="AP505" i="72" s="1"/>
  <c r="X268" i="72"/>
  <c r="AP268" i="72" s="1"/>
  <c r="X740" i="72"/>
  <c r="AP740" i="72" s="1"/>
  <c r="X420" i="72"/>
  <c r="AP420" i="72" s="1"/>
  <c r="X590" i="72"/>
  <c r="AP590" i="72" s="1"/>
  <c r="X376" i="72"/>
  <c r="AP376" i="72" s="1"/>
  <c r="X176" i="72"/>
  <c r="AP176" i="72" s="1"/>
  <c r="X724" i="72"/>
  <c r="AP724" i="72" s="1"/>
  <c r="X514" i="72"/>
  <c r="AP514" i="72" s="1"/>
  <c r="X324" i="72"/>
  <c r="AP324" i="72" s="1"/>
  <c r="X654" i="72"/>
  <c r="AP654" i="72" s="1"/>
  <c r="X75" i="72"/>
  <c r="AP75" i="72" s="1"/>
  <c r="X570" i="72"/>
  <c r="AP570" i="72" s="1"/>
  <c r="X265" i="72"/>
  <c r="AP265" i="72" s="1"/>
  <c r="X25" i="72"/>
  <c r="AP25" i="72" s="1"/>
  <c r="X822" i="72"/>
  <c r="AP822" i="72" s="1"/>
  <c r="X486" i="72"/>
  <c r="AP486" i="72" s="1"/>
  <c r="X174" i="72"/>
  <c r="AP174" i="72" s="1"/>
  <c r="X40" i="72"/>
  <c r="AP40" i="72" s="1"/>
  <c r="X795" i="72"/>
  <c r="AP795" i="72" s="1"/>
  <c r="X550" i="72"/>
  <c r="AP550" i="72" s="1"/>
  <c r="X365" i="72"/>
  <c r="AP365" i="72" s="1"/>
  <c r="X24" i="72"/>
  <c r="AP24" i="72" s="1"/>
  <c r="X46" i="72"/>
  <c r="AP46" i="72" s="1"/>
  <c r="X760" i="72"/>
  <c r="AP760" i="72" s="1"/>
  <c r="X670" i="72"/>
  <c r="AP670" i="72" s="1"/>
  <c r="X362" i="72"/>
  <c r="AP362" i="72" s="1"/>
  <c r="X650" i="72"/>
  <c r="AP650" i="72" s="1"/>
  <c r="X405" i="72"/>
  <c r="AP405" i="72" s="1"/>
  <c r="X528" i="72"/>
  <c r="AP528" i="72" s="1"/>
  <c r="X241" i="72"/>
  <c r="AP241" i="72" s="1"/>
  <c r="X610" i="72"/>
  <c r="AP610" i="72" s="1"/>
  <c r="X76" i="72"/>
  <c r="AP76" i="72" s="1"/>
  <c r="X287" i="72"/>
  <c r="AP287" i="72" s="1"/>
  <c r="X143" i="72"/>
  <c r="AP143" i="72" s="1"/>
  <c r="X674" i="72"/>
  <c r="AP674" i="72" s="1"/>
  <c r="X27" i="72"/>
  <c r="AP27" i="72" s="1"/>
  <c r="X98" i="72"/>
  <c r="AP98" i="72" s="1"/>
  <c r="X390" i="72"/>
  <c r="AP390" i="72" s="1"/>
  <c r="X532" i="72"/>
  <c r="AP532" i="72" s="1"/>
  <c r="X671" i="72"/>
  <c r="AP671" i="72" s="1"/>
  <c r="X372" i="72"/>
  <c r="AP372" i="72" s="1"/>
  <c r="X363" i="72"/>
  <c r="AP363" i="72" s="1"/>
  <c r="X238" i="72"/>
  <c r="AP238" i="72" s="1"/>
  <c r="X607" i="72"/>
  <c r="AP607" i="72" s="1"/>
  <c r="X792" i="72"/>
  <c r="AP792" i="72" s="1"/>
  <c r="X769" i="72"/>
  <c r="AP769" i="72" s="1"/>
  <c r="X446" i="72"/>
  <c r="AP446" i="72" s="1"/>
  <c r="X247" i="72"/>
  <c r="AP247" i="72" s="1"/>
  <c r="X705" i="72"/>
  <c r="AP705" i="72" s="1"/>
  <c r="X435" i="72"/>
  <c r="AP435" i="72" s="1"/>
  <c r="X105" i="72"/>
  <c r="AP105" i="72" s="1"/>
  <c r="X389" i="72"/>
  <c r="AP389" i="72" s="1"/>
  <c r="X181" i="72"/>
  <c r="AP181" i="72" s="1"/>
  <c r="X691" i="72"/>
  <c r="AP691" i="72" s="1"/>
  <c r="X509" i="72"/>
  <c r="AP509" i="72" s="1"/>
  <c r="X152" i="72"/>
  <c r="AP152" i="72" s="1"/>
  <c r="X680" i="72"/>
  <c r="AP680" i="72" s="1"/>
  <c r="X454" i="72"/>
  <c r="AP454" i="72" s="1"/>
  <c r="X180" i="72"/>
  <c r="AP180" i="72" s="1"/>
  <c r="X603" i="72"/>
  <c r="AP603" i="72" s="1"/>
  <c r="X328" i="72"/>
  <c r="AP328" i="72" s="1"/>
  <c r="X813" i="72"/>
  <c r="AP813" i="72" s="1"/>
  <c r="X482" i="72"/>
  <c r="AP482" i="72" s="1"/>
  <c r="X361" i="72"/>
  <c r="AP361" i="72" s="1"/>
  <c r="X690" i="72"/>
  <c r="AP690" i="72" s="1"/>
  <c r="X469" i="72"/>
  <c r="AP469" i="72" s="1"/>
  <c r="X554" i="72"/>
  <c r="AP554" i="72" s="1"/>
  <c r="X291" i="72"/>
  <c r="AP291" i="72" s="1"/>
  <c r="X742" i="72"/>
  <c r="AP742" i="72" s="1"/>
  <c r="X432" i="72"/>
  <c r="AP432" i="72" s="1"/>
  <c r="X49" i="72"/>
  <c r="AP49" i="72" s="1"/>
  <c r="X243" i="72"/>
  <c r="AP243" i="72" s="1"/>
  <c r="X689" i="72"/>
  <c r="AP689" i="72" s="1"/>
  <c r="X386" i="72"/>
  <c r="AP386" i="72" s="1"/>
  <c r="X234" i="72"/>
  <c r="AP234" i="72" s="1"/>
  <c r="X160" i="72"/>
  <c r="AP160" i="72" s="1"/>
  <c r="X591" i="72"/>
  <c r="AP591" i="72" s="1"/>
  <c r="X377" i="72"/>
  <c r="AP377" i="72" s="1"/>
  <c r="X177" i="72"/>
  <c r="AP177" i="72" s="1"/>
  <c r="X631" i="72"/>
  <c r="AP631" i="72" s="1"/>
  <c r="X808" i="72"/>
  <c r="AP808" i="72" s="1"/>
  <c r="X623" i="72"/>
  <c r="AP623" i="72" s="1"/>
  <c r="X316" i="72"/>
  <c r="AP316" i="72" s="1"/>
  <c r="X796" i="72"/>
  <c r="AP796" i="72" s="1"/>
  <c r="X466" i="72"/>
  <c r="AP466" i="72" s="1"/>
  <c r="X536" i="72"/>
  <c r="AP536" i="72" s="1"/>
  <c r="X232" i="72"/>
  <c r="AP232" i="72" s="1"/>
  <c r="X687" i="72"/>
  <c r="AP687" i="72" s="1"/>
  <c r="X384" i="72"/>
  <c r="AP384" i="72" s="1"/>
  <c r="X563" i="72"/>
  <c r="AP563" i="72" s="1"/>
  <c r="X367" i="72"/>
  <c r="AP367" i="72" s="1"/>
  <c r="X124" i="72"/>
  <c r="AP124" i="72" s="1"/>
  <c r="X675" i="72"/>
  <c r="AP675" i="72" s="1"/>
  <c r="X487" i="72"/>
  <c r="AP487" i="72" s="1"/>
  <c r="X580" i="72"/>
  <c r="AP580" i="72" s="1"/>
  <c r="X33" i="72"/>
  <c r="AP33" i="72" s="1"/>
  <c r="X804" i="72"/>
  <c r="AP804" i="72" s="1"/>
  <c r="X533" i="72"/>
  <c r="AP533" i="72" s="1"/>
  <c r="X228" i="72"/>
  <c r="AP228" i="72" s="1"/>
  <c r="X313" i="72"/>
  <c r="AP313" i="72" s="1"/>
  <c r="X771" i="72"/>
  <c r="AP771" i="72" s="1"/>
  <c r="X448" i="72"/>
  <c r="AP448" i="72" s="1"/>
  <c r="X133" i="72"/>
  <c r="X144" i="72"/>
  <c r="AP144" i="72" s="1"/>
  <c r="X761" i="72"/>
  <c r="AP761" i="72" s="1"/>
  <c r="X542" i="72"/>
  <c r="AP542" i="72" s="1"/>
  <c r="X323" i="72"/>
  <c r="AP323" i="72" s="1"/>
  <c r="X121" i="72"/>
  <c r="AP121" i="72" s="1"/>
  <c r="X51" i="72"/>
  <c r="AP51" i="72" s="1"/>
  <c r="X456" i="72"/>
  <c r="AP456" i="72" s="1"/>
  <c r="X330" i="72"/>
  <c r="AP330" i="72" s="1"/>
  <c r="X660" i="72"/>
  <c r="AP660" i="72" s="1"/>
  <c r="X281" i="72"/>
  <c r="AP281" i="72" s="1"/>
  <c r="X715" i="72"/>
  <c r="AP715" i="72" s="1"/>
  <c r="X299" i="72"/>
  <c r="AP299" i="72" s="1"/>
  <c r="X613" i="72"/>
  <c r="AP613" i="72" s="1"/>
  <c r="X125" i="72"/>
  <c r="AP125" i="72" s="1"/>
  <c r="X146" i="72"/>
  <c r="AP146" i="72" s="1"/>
  <c r="X258" i="72"/>
  <c r="AP258" i="72" s="1"/>
  <c r="X286" i="72"/>
  <c r="AP286" i="72" s="1"/>
  <c r="X620" i="72"/>
  <c r="AP620" i="72" s="1"/>
  <c r="X636" i="72"/>
  <c r="AP636" i="72" s="1"/>
  <c r="X805" i="72"/>
  <c r="AP805" i="72" s="1"/>
  <c r="X579" i="72"/>
  <c r="AP579" i="72" s="1"/>
  <c r="X302" i="72"/>
  <c r="AP302" i="72" s="1"/>
  <c r="X182" i="72"/>
  <c r="AP182" i="72" s="1"/>
  <c r="X531" i="72"/>
  <c r="AP531" i="72" s="1"/>
  <c r="X547" i="72"/>
  <c r="AP547" i="72" s="1"/>
  <c r="X718" i="72"/>
  <c r="AP718" i="72" s="1"/>
  <c r="X407" i="72"/>
  <c r="AP407" i="72" s="1"/>
  <c r="X70" i="72"/>
  <c r="X204" i="72"/>
  <c r="AP204" i="72" s="1"/>
  <c r="X693" i="72"/>
  <c r="AP693" i="72" s="1"/>
  <c r="X399" i="72"/>
  <c r="AP399" i="72" s="1"/>
  <c r="X62" i="72"/>
  <c r="X568" i="72"/>
  <c r="AP568" i="72" s="1"/>
  <c r="X351" i="72"/>
  <c r="AP351" i="72" s="1"/>
  <c r="X659" i="72"/>
  <c r="AP659" i="72" s="1"/>
  <c r="X483" i="72"/>
  <c r="AP483" i="72" s="1"/>
  <c r="X744" i="72"/>
  <c r="AP744" i="72" s="1"/>
  <c r="X642" i="72"/>
  <c r="AP642" i="72" s="1"/>
  <c r="X445" i="72"/>
  <c r="AP445" i="72" s="1"/>
  <c r="X115" i="72"/>
  <c r="AP115" i="72" s="1"/>
  <c r="X566" i="72"/>
  <c r="AP566" i="72" s="1"/>
  <c r="X767" i="72"/>
  <c r="AP767" i="72" s="1"/>
  <c r="X350" i="72"/>
  <c r="AP350" i="72" s="1"/>
  <c r="X79" i="72"/>
  <c r="AP79" i="72" s="1"/>
  <c r="X658" i="72"/>
  <c r="AP658" i="72" s="1"/>
  <c r="X461" i="72"/>
  <c r="AP461" i="72" s="1"/>
  <c r="X378" i="72"/>
  <c r="AP378" i="72" s="1"/>
  <c r="X480" i="72"/>
  <c r="AP480" i="72" s="1"/>
  <c r="X252" i="72"/>
  <c r="AP252" i="72" s="1"/>
  <c r="X701" i="72"/>
  <c r="AP701" i="72" s="1"/>
  <c r="X395" i="72"/>
  <c r="AP395" i="72" s="1"/>
  <c r="X834" i="72"/>
  <c r="AP834" i="72" s="1"/>
  <c r="X200" i="72"/>
  <c r="AP200" i="72" s="1"/>
  <c r="X649" i="72"/>
  <c r="AP649" i="72" s="1"/>
  <c r="X348" i="72"/>
  <c r="AP348" i="72" s="1"/>
  <c r="X788" i="72"/>
  <c r="AP788" i="72" s="1"/>
  <c r="X189" i="72"/>
  <c r="AP189" i="72" s="1"/>
  <c r="X829" i="72"/>
  <c r="AP829" i="72" s="1"/>
  <c r="X564" i="72"/>
  <c r="AP564" i="72" s="1"/>
  <c r="X368" i="72"/>
  <c r="AP368" i="72" s="1"/>
  <c r="X167" i="72"/>
  <c r="AP167" i="72" s="1"/>
  <c r="X553" i="72"/>
  <c r="AP553" i="72" s="1"/>
  <c r="X709" i="72"/>
  <c r="AP709" i="72" s="1"/>
  <c r="X278" i="72"/>
  <c r="AP278" i="72" s="1"/>
  <c r="X752" i="72"/>
  <c r="AP752" i="72" s="1"/>
  <c r="X429" i="72"/>
  <c r="AP429" i="72" s="1"/>
  <c r="X498" i="72"/>
  <c r="AP498" i="72" s="1"/>
  <c r="X647" i="72"/>
  <c r="AP647" i="72" s="1"/>
  <c r="X345" i="72"/>
  <c r="AP345" i="72" s="1"/>
  <c r="X527" i="72"/>
  <c r="AP527" i="72" s="1"/>
  <c r="X334" i="72"/>
  <c r="AP334" i="72" s="1"/>
  <c r="X111" i="72"/>
  <c r="AP111" i="72" s="1"/>
  <c r="X663" i="72"/>
  <c r="AP663" i="72" s="1"/>
  <c r="X449" i="72"/>
  <c r="AP449" i="72" s="1"/>
  <c r="X39" i="72"/>
  <c r="AP39" i="72" s="1"/>
  <c r="X29" i="72"/>
  <c r="AP29" i="72" s="1"/>
  <c r="X136" i="72"/>
  <c r="AP136" i="72" s="1"/>
  <c r="X496" i="72"/>
  <c r="AP496" i="72" s="1"/>
  <c r="X277" i="72"/>
  <c r="AP277" i="72" s="1"/>
  <c r="X721" i="72"/>
  <c r="AP721" i="72" s="1"/>
  <c r="X19" i="72"/>
  <c r="AP19" i="72" s="1"/>
  <c r="X134" i="72"/>
  <c r="AP134" i="72" s="1"/>
  <c r="X708" i="72"/>
  <c r="AP708" i="72" s="1"/>
  <c r="X312" i="72"/>
  <c r="AP312" i="72" s="1"/>
  <c r="X74" i="72"/>
  <c r="AP74" i="72" s="1"/>
  <c r="X41" i="72"/>
  <c r="AP41" i="72" s="1"/>
  <c r="X95" i="72"/>
  <c r="X567" i="72"/>
  <c r="X170" i="72"/>
  <c r="X583" i="72"/>
  <c r="X581" i="72"/>
  <c r="X194" i="72"/>
  <c r="X172" i="72"/>
  <c r="X171" i="72"/>
  <c r="X185" i="72"/>
  <c r="X578" i="72"/>
  <c r="X150" i="72"/>
  <c r="X16" i="72"/>
  <c r="AP16" i="72" s="1"/>
  <c r="X292" i="72"/>
  <c r="X582" i="72"/>
  <c r="X186" i="72"/>
  <c r="X184" i="72"/>
  <c r="X159" i="72"/>
  <c r="AP159" i="72" s="1"/>
  <c r="X169" i="72"/>
  <c r="AC150" i="72" l="1"/>
  <c r="AP150" i="72"/>
  <c r="AC292" i="72"/>
  <c r="AP292" i="72"/>
  <c r="AC64" i="72"/>
  <c r="AP64" i="72"/>
  <c r="AC132" i="72"/>
  <c r="AP132" i="72"/>
  <c r="AC581" i="72"/>
  <c r="AP581" i="72"/>
  <c r="AC583" i="72"/>
  <c r="AP583" i="72"/>
  <c r="AC219" i="72"/>
  <c r="AP219" i="72"/>
  <c r="AC53" i="72"/>
  <c r="AP53" i="72"/>
  <c r="AC60" i="72"/>
  <c r="AP60" i="72"/>
  <c r="AC683" i="72"/>
  <c r="AP683" i="72"/>
  <c r="AC169" i="72"/>
  <c r="AP169" i="72"/>
  <c r="AC62" i="72"/>
  <c r="AP62" i="72"/>
  <c r="AC133" i="72"/>
  <c r="AP133" i="72"/>
  <c r="AC42" i="72"/>
  <c r="AP42" i="72"/>
  <c r="AC52" i="72"/>
  <c r="AP52" i="72"/>
  <c r="AC37" i="72"/>
  <c r="AP37" i="72"/>
  <c r="AC494" i="72"/>
  <c r="AP494" i="72"/>
  <c r="AC578" i="72"/>
  <c r="AP578" i="72"/>
  <c r="AC567" i="72"/>
  <c r="AP567" i="72"/>
  <c r="AC185" i="72"/>
  <c r="AP185" i="72"/>
  <c r="AC95" i="72"/>
  <c r="AP95" i="72"/>
  <c r="AC220" i="72"/>
  <c r="AP220" i="72"/>
  <c r="AC63" i="72"/>
  <c r="AP63" i="72"/>
  <c r="AC45" i="72"/>
  <c r="AP45" i="72"/>
  <c r="AC226" i="72"/>
  <c r="AP226" i="72"/>
  <c r="AC171" i="72"/>
  <c r="AP171" i="72"/>
  <c r="AC50" i="72"/>
  <c r="AP50" i="72"/>
  <c r="AC225" i="72"/>
  <c r="AP225" i="72"/>
  <c r="AC48" i="72"/>
  <c r="AP48" i="72"/>
  <c r="AC503" i="72"/>
  <c r="AP503" i="72"/>
  <c r="AC43" i="72"/>
  <c r="AP43" i="72"/>
  <c r="AC54" i="72"/>
  <c r="AP54" i="72"/>
  <c r="AC38" i="72"/>
  <c r="AP38" i="72"/>
  <c r="AC571" i="72"/>
  <c r="AP571" i="72"/>
  <c r="AC184" i="72"/>
  <c r="AP184" i="72"/>
  <c r="AC186" i="72"/>
  <c r="AP186" i="72"/>
  <c r="AC58" i="72"/>
  <c r="AP58" i="72"/>
  <c r="AC492" i="72"/>
  <c r="AP492" i="72"/>
  <c r="AC170" i="72"/>
  <c r="AP170" i="72"/>
  <c r="AC172" i="72"/>
  <c r="AP172" i="72"/>
  <c r="AC582" i="72"/>
  <c r="AP582" i="72"/>
  <c r="AC194" i="72"/>
  <c r="AP194" i="72"/>
  <c r="AC70" i="72"/>
  <c r="AP70" i="72"/>
  <c r="AC131" i="72"/>
  <c r="AP131" i="72"/>
  <c r="H19" i="127"/>
  <c r="I19" i="127" s="1"/>
  <c r="H18" i="127"/>
  <c r="I18" i="127" s="1"/>
  <c r="H16" i="127"/>
  <c r="Y660" i="72"/>
  <c r="AC660" i="72"/>
  <c r="Y384" i="72"/>
  <c r="AC384" i="72"/>
  <c r="Y469" i="72"/>
  <c r="AC469" i="72"/>
  <c r="Y435" i="72"/>
  <c r="AC435" i="72"/>
  <c r="Y405" i="72"/>
  <c r="AC405" i="72"/>
  <c r="Y265" i="72"/>
  <c r="AC265" i="72"/>
  <c r="Y357" i="72"/>
  <c r="AC357" i="72"/>
  <c r="Y261" i="72"/>
  <c r="AC261" i="72"/>
  <c r="Y370" i="72"/>
  <c r="AC370" i="72"/>
  <c r="Y82" i="72"/>
  <c r="AC82" i="72"/>
  <c r="Y539" i="72"/>
  <c r="AC539" i="72"/>
  <c r="Y609" i="72"/>
  <c r="AC609" i="72"/>
  <c r="Y393" i="72"/>
  <c r="AC393" i="72"/>
  <c r="Y679" i="72"/>
  <c r="AC679" i="72"/>
  <c r="Y366" i="72"/>
  <c r="AC366" i="72"/>
  <c r="Y452" i="72"/>
  <c r="AC452" i="72"/>
  <c r="Y778" i="72"/>
  <c r="AC778" i="72"/>
  <c r="Y496" i="72"/>
  <c r="AC496" i="72"/>
  <c r="Y348" i="72"/>
  <c r="AC348" i="72"/>
  <c r="Y399" i="72"/>
  <c r="AC399" i="72"/>
  <c r="Y330" i="72"/>
  <c r="AC330" i="72"/>
  <c r="Y687" i="72"/>
  <c r="AC687" i="72"/>
  <c r="Y690" i="72"/>
  <c r="AC690" i="72"/>
  <c r="Y363" i="72"/>
  <c r="AC363" i="72"/>
  <c r="Y650" i="72"/>
  <c r="AC650" i="72"/>
  <c r="Y570" i="72"/>
  <c r="AC570" i="72"/>
  <c r="Y590" i="72"/>
  <c r="AC590" i="72"/>
  <c r="Y656" i="72"/>
  <c r="AC656" i="72"/>
  <c r="Y77" i="72"/>
  <c r="AC77" i="72"/>
  <c r="Y754" i="72"/>
  <c r="AC754" i="72"/>
  <c r="Y641" i="72"/>
  <c r="AC641" i="72"/>
  <c r="Y416" i="72"/>
  <c r="AC416" i="72"/>
  <c r="Y123" i="72"/>
  <c r="AC123" i="72"/>
  <c r="Y600" i="72"/>
  <c r="AC600" i="72"/>
  <c r="Y699" i="72"/>
  <c r="AC699" i="72"/>
  <c r="Y460" i="72"/>
  <c r="AC460" i="72"/>
  <c r="Y538" i="72"/>
  <c r="AC538" i="72"/>
  <c r="Y262" i="72"/>
  <c r="AC262" i="72"/>
  <c r="Y643" i="72"/>
  <c r="AC643" i="72"/>
  <c r="Y703" i="72"/>
  <c r="AC703" i="72"/>
  <c r="Y474" i="72"/>
  <c r="AC474" i="72"/>
  <c r="Y306" i="72"/>
  <c r="AC306" i="72"/>
  <c r="Y561" i="72"/>
  <c r="AC561" i="72"/>
  <c r="Y562" i="72"/>
  <c r="AC562" i="72"/>
  <c r="Y648" i="72"/>
  <c r="AC648" i="72"/>
  <c r="Y666" i="72"/>
  <c r="AC666" i="72"/>
  <c r="Y545" i="72"/>
  <c r="AC545" i="72"/>
  <c r="Y434" i="72"/>
  <c r="AC434" i="72"/>
  <c r="Y308" i="72"/>
  <c r="AC308" i="72"/>
  <c r="Y18" i="72"/>
  <c r="AC18" i="72"/>
  <c r="Y436" i="72"/>
  <c r="AC436" i="72"/>
  <c r="Y459" i="72"/>
  <c r="AC459" i="72"/>
  <c r="Y597" i="72"/>
  <c r="AC597" i="72"/>
  <c r="Y589" i="72"/>
  <c r="AC589" i="72"/>
  <c r="Y688" i="72"/>
  <c r="AC688" i="72"/>
  <c r="Y242" i="72"/>
  <c r="AC242" i="72"/>
  <c r="Y470" i="72"/>
  <c r="AC470" i="72"/>
  <c r="Y273" i="72"/>
  <c r="AC273" i="72"/>
  <c r="Y256" i="72"/>
  <c r="AC256" i="72"/>
  <c r="Y69" i="72"/>
  <c r="AC69" i="72"/>
  <c r="Y465" i="72"/>
  <c r="AC465" i="72"/>
  <c r="Y97" i="72"/>
  <c r="AC97" i="72"/>
  <c r="Y827" i="72"/>
  <c r="AC827" i="72"/>
  <c r="Y655" i="72"/>
  <c r="AC655" i="72"/>
  <c r="Y728" i="72"/>
  <c r="AC728" i="72"/>
  <c r="Y624" i="72"/>
  <c r="AC624" i="72"/>
  <c r="Y667" i="72"/>
  <c r="AC667" i="72"/>
  <c r="Y814" i="72"/>
  <c r="AC814" i="72"/>
  <c r="Y585" i="72"/>
  <c r="AC585" i="72"/>
  <c r="Y749" i="72"/>
  <c r="AC749" i="72"/>
  <c r="Y797" i="72"/>
  <c r="AC797" i="72"/>
  <c r="Y277" i="72"/>
  <c r="AC277" i="72"/>
  <c r="Y115" i="72"/>
  <c r="AC115" i="72"/>
  <c r="Y286" i="72"/>
  <c r="AC286" i="72"/>
  <c r="Y144" i="72"/>
  <c r="AC144" i="72"/>
  <c r="Y804" i="72"/>
  <c r="AC804" i="72"/>
  <c r="Y808" i="72"/>
  <c r="AC808" i="72"/>
  <c r="Y386" i="72"/>
  <c r="AC386" i="72"/>
  <c r="Y454" i="72"/>
  <c r="AC454" i="72"/>
  <c r="Y238" i="72"/>
  <c r="AC238" i="72"/>
  <c r="Y27" i="72"/>
  <c r="AC27" i="72"/>
  <c r="Y365" i="72"/>
  <c r="AC365" i="72"/>
  <c r="Y376" i="72"/>
  <c r="AC376" i="72"/>
  <c r="Y632" i="72"/>
  <c r="AC632" i="72"/>
  <c r="Y192" i="72"/>
  <c r="AC192" i="72"/>
  <c r="Y464" i="72"/>
  <c r="AC464" i="72"/>
  <c r="Y806" i="72"/>
  <c r="AC806" i="72"/>
  <c r="Y411" i="72"/>
  <c r="AC411" i="72"/>
  <c r="Y147" i="72"/>
  <c r="AC147" i="72"/>
  <c r="Y766" i="72"/>
  <c r="AC766" i="72"/>
  <c r="Y426" i="72"/>
  <c r="AC426" i="72"/>
  <c r="Y541" i="72"/>
  <c r="AC541" i="72"/>
  <c r="Y479" i="72"/>
  <c r="AC479" i="72"/>
  <c r="Y257" i="72"/>
  <c r="AC257" i="72"/>
  <c r="Y347" i="72"/>
  <c r="AC347" i="72"/>
  <c r="Y548" i="72"/>
  <c r="AC548" i="72"/>
  <c r="Y334" i="72"/>
  <c r="AC334" i="72"/>
  <c r="Y709" i="72"/>
  <c r="AC709" i="72"/>
  <c r="Y378" i="72"/>
  <c r="AC378" i="72"/>
  <c r="Y445" i="72"/>
  <c r="AC445" i="72"/>
  <c r="Y182" i="72"/>
  <c r="AC182" i="72"/>
  <c r="Y258" i="72"/>
  <c r="AC258" i="72"/>
  <c r="Y33" i="72"/>
  <c r="AC33" i="72"/>
  <c r="Y631" i="72"/>
  <c r="AC631" i="72"/>
  <c r="Y689" i="72"/>
  <c r="AC689" i="72"/>
  <c r="Y680" i="72"/>
  <c r="AC680" i="72"/>
  <c r="Y705" i="72"/>
  <c r="AC705" i="72"/>
  <c r="Y674" i="72"/>
  <c r="AC674" i="72"/>
  <c r="Y550" i="72"/>
  <c r="AC550" i="72"/>
  <c r="Y682" i="72"/>
  <c r="AC682" i="72"/>
  <c r="Y16" i="72"/>
  <c r="AC16" i="72"/>
  <c r="Y708" i="72"/>
  <c r="AC708" i="72"/>
  <c r="Y136" i="72"/>
  <c r="AC136" i="72"/>
  <c r="Y527" i="72"/>
  <c r="AC527" i="72"/>
  <c r="Y553" i="72"/>
  <c r="AC553" i="72"/>
  <c r="Y649" i="72"/>
  <c r="AC649" i="72"/>
  <c r="Y461" i="72"/>
  <c r="AC461" i="72"/>
  <c r="Y642" i="72"/>
  <c r="AC642" i="72"/>
  <c r="Y693" i="72"/>
  <c r="AC693" i="72"/>
  <c r="Y302" i="72"/>
  <c r="AC302" i="72"/>
  <c r="Y146" i="72"/>
  <c r="AC146" i="72"/>
  <c r="Y456" i="72"/>
  <c r="AC456" i="72"/>
  <c r="Y580" i="72"/>
  <c r="AC580" i="72"/>
  <c r="Y232" i="72"/>
  <c r="AC232" i="72"/>
  <c r="Y177" i="72"/>
  <c r="AC177" i="72"/>
  <c r="Y243" i="72"/>
  <c r="AC243" i="72"/>
  <c r="Y361" i="72"/>
  <c r="AC361" i="72"/>
  <c r="Y152" i="72"/>
  <c r="AC152" i="72"/>
  <c r="Y247" i="72"/>
  <c r="AC247" i="72"/>
  <c r="Y143" i="72"/>
  <c r="AC143" i="72"/>
  <c r="Y362" i="72"/>
  <c r="AC362" i="72"/>
  <c r="Y795" i="72"/>
  <c r="AC795" i="72"/>
  <c r="Y75" i="72"/>
  <c r="AC75" i="72"/>
  <c r="Y420" i="72"/>
  <c r="AC420" i="72"/>
  <c r="Y66" i="72"/>
  <c r="AC66" i="72"/>
  <c r="Y422" i="72"/>
  <c r="AC422" i="72"/>
  <c r="Y508" i="72"/>
  <c r="AC508" i="72"/>
  <c r="Y224" i="72"/>
  <c r="AC224" i="72"/>
  <c r="Y619" i="72"/>
  <c r="AC619" i="72"/>
  <c r="Y264" i="72"/>
  <c r="AC264" i="72"/>
  <c r="Y297" i="72"/>
  <c r="AC297" i="72"/>
  <c r="Y596" i="72"/>
  <c r="AC596" i="72"/>
  <c r="Y108" i="72"/>
  <c r="AC108" i="72"/>
  <c r="Y458" i="72"/>
  <c r="AC458" i="72"/>
  <c r="Y755" i="72"/>
  <c r="AC755" i="72"/>
  <c r="Y519" i="72"/>
  <c r="AC519" i="72"/>
  <c r="Y202" i="72"/>
  <c r="AC202" i="72"/>
  <c r="Y310" i="72"/>
  <c r="AC310" i="72"/>
  <c r="Y373" i="72"/>
  <c r="AC373" i="72"/>
  <c r="Y404" i="72"/>
  <c r="AC404" i="72"/>
  <c r="Y205" i="72"/>
  <c r="AC205" i="72"/>
  <c r="Y109" i="72"/>
  <c r="AC109" i="72"/>
  <c r="Y772" i="72"/>
  <c r="AC772" i="72"/>
  <c r="Y78" i="72"/>
  <c r="AC78" i="72"/>
  <c r="Y68" i="72"/>
  <c r="AC68" i="72"/>
  <c r="Y592" i="72"/>
  <c r="AC592" i="72"/>
  <c r="Y669" i="72"/>
  <c r="AC669" i="72"/>
  <c r="Y322" i="72"/>
  <c r="AC322" i="72"/>
  <c r="Y661" i="72"/>
  <c r="AC661" i="72"/>
  <c r="Y335" i="72"/>
  <c r="AC335" i="72"/>
  <c r="Y239" i="72"/>
  <c r="AC239" i="72"/>
  <c r="Y824" i="72"/>
  <c r="AC824" i="72"/>
  <c r="Y622" i="72"/>
  <c r="AC622" i="72"/>
  <c r="Y677" i="72"/>
  <c r="AC677" i="72"/>
  <c r="Y114" i="72"/>
  <c r="AC114" i="72"/>
  <c r="Y633" i="72"/>
  <c r="AC633" i="72"/>
  <c r="Y301" i="72"/>
  <c r="AC301" i="72"/>
  <c r="Y794" i="72"/>
  <c r="AC794" i="72"/>
  <c r="Y415" i="72"/>
  <c r="AC415" i="72"/>
  <c r="Y662" i="72"/>
  <c r="AC662" i="72"/>
  <c r="Y419" i="72"/>
  <c r="AC419" i="72"/>
  <c r="Y289" i="72"/>
  <c r="AC289" i="72"/>
  <c r="Y197" i="72"/>
  <c r="AC197" i="72"/>
  <c r="Y148" i="72"/>
  <c r="AC148" i="72"/>
  <c r="Y326" i="72"/>
  <c r="AC326" i="72"/>
  <c r="Y212" i="72"/>
  <c r="AC212" i="72"/>
  <c r="Y329" i="72"/>
  <c r="AC329" i="72"/>
  <c r="Y558" i="72"/>
  <c r="AC558" i="72"/>
  <c r="Y625" i="72"/>
  <c r="AC625" i="72"/>
  <c r="Y788" i="72"/>
  <c r="AC788" i="72"/>
  <c r="Y345" i="72"/>
  <c r="AC345" i="72"/>
  <c r="Y744" i="72"/>
  <c r="AC744" i="72"/>
  <c r="Y51" i="72"/>
  <c r="AC51" i="72"/>
  <c r="Y536" i="72"/>
  <c r="AC536" i="72"/>
  <c r="Y509" i="72"/>
  <c r="AC509" i="72"/>
  <c r="Y372" i="72"/>
  <c r="AC372" i="72"/>
  <c r="Y654" i="72"/>
  <c r="AC654" i="72"/>
  <c r="Y702" i="72"/>
  <c r="AC702" i="72"/>
  <c r="Y400" i="72"/>
  <c r="AC400" i="72"/>
  <c r="Y216" i="72"/>
  <c r="AC216" i="72"/>
  <c r="Y773" i="72"/>
  <c r="AC773" i="72"/>
  <c r="Y510" i="72"/>
  <c r="AC510" i="72"/>
  <c r="Y401" i="72"/>
  <c r="AC401" i="72"/>
  <c r="Y112" i="72"/>
  <c r="AC112" i="72"/>
  <c r="Y92" i="72"/>
  <c r="AC92" i="72"/>
  <c r="Y254" i="72"/>
  <c r="AC254" i="72"/>
  <c r="Y485" i="72"/>
  <c r="AC485" i="72"/>
  <c r="Y211" i="72"/>
  <c r="AC211" i="72"/>
  <c r="Y437" i="72"/>
  <c r="AC437" i="72"/>
  <c r="Y56" i="72"/>
  <c r="AC56" i="72"/>
  <c r="Y259" i="72"/>
  <c r="AC259" i="72"/>
  <c r="Y90" i="72"/>
  <c r="AC90" i="72"/>
  <c r="Y210" i="72"/>
  <c r="AC210" i="72"/>
  <c r="Y453" i="72"/>
  <c r="AC453" i="72"/>
  <c r="Y577" i="72"/>
  <c r="AC577" i="72"/>
  <c r="Y748" i="72"/>
  <c r="AC748" i="72"/>
  <c r="Y696" i="72"/>
  <c r="AC696" i="72"/>
  <c r="Y340" i="72"/>
  <c r="AC340" i="72"/>
  <c r="Y57" i="72"/>
  <c r="AC57" i="72"/>
  <c r="Y739" i="72"/>
  <c r="AC739" i="72"/>
  <c r="Y489" i="72"/>
  <c r="AC489" i="72"/>
  <c r="Y349" i="72"/>
  <c r="AC349" i="72"/>
  <c r="Y222" i="72"/>
  <c r="AC222" i="72"/>
  <c r="Y309" i="72"/>
  <c r="AC309" i="72"/>
  <c r="Y635" i="72"/>
  <c r="AC635" i="72"/>
  <c r="Y418" i="72"/>
  <c r="AC418" i="72"/>
  <c r="Y61" i="72"/>
  <c r="AC61" i="72"/>
  <c r="Y480" i="72"/>
  <c r="AC480" i="72"/>
  <c r="Y134" i="72"/>
  <c r="AC134" i="72"/>
  <c r="Y658" i="72"/>
  <c r="AC658" i="72"/>
  <c r="Y448" i="72"/>
  <c r="AC448" i="72"/>
  <c r="Y482" i="72"/>
  <c r="AC482" i="72"/>
  <c r="Y287" i="72"/>
  <c r="AC287" i="72"/>
  <c r="Y711" i="72"/>
  <c r="AC711" i="72"/>
  <c r="Y161" i="72"/>
  <c r="AC161" i="72"/>
  <c r="Y47" i="72"/>
  <c r="AC47" i="72"/>
  <c r="Y786" i="72"/>
  <c r="AC786" i="72"/>
  <c r="Y768" i="72"/>
  <c r="AC768" i="72"/>
  <c r="Y240" i="72"/>
  <c r="AC240" i="72"/>
  <c r="Y320" i="72"/>
  <c r="AC320" i="72"/>
  <c r="Y44" i="72"/>
  <c r="AC44" i="72"/>
  <c r="Y307" i="72"/>
  <c r="AC307" i="72"/>
  <c r="Y368" i="72"/>
  <c r="AC368" i="72"/>
  <c r="Y79" i="72"/>
  <c r="AC79" i="72"/>
  <c r="Y483" i="72"/>
  <c r="AC483" i="72"/>
  <c r="Y613" i="72"/>
  <c r="AC613" i="72"/>
  <c r="Y771" i="72"/>
  <c r="AC771" i="72"/>
  <c r="Y466" i="72"/>
  <c r="AC466" i="72"/>
  <c r="Y591" i="72"/>
  <c r="AC591" i="72"/>
  <c r="Y432" i="72"/>
  <c r="AC432" i="72"/>
  <c r="Y691" i="72"/>
  <c r="AC691" i="72"/>
  <c r="Y446" i="72"/>
  <c r="AC446" i="72"/>
  <c r="Y671" i="72"/>
  <c r="AC671" i="72"/>
  <c r="Y76" i="72"/>
  <c r="AC76" i="72"/>
  <c r="Y760" i="72"/>
  <c r="AC760" i="72"/>
  <c r="Y174" i="72"/>
  <c r="AC174" i="72"/>
  <c r="Y324" i="72"/>
  <c r="AC324" i="72"/>
  <c r="Y268" i="72"/>
  <c r="AC268" i="72"/>
  <c r="Y221" i="72"/>
  <c r="AC221" i="72"/>
  <c r="Y190" i="72"/>
  <c r="AC190" i="72"/>
  <c r="Y716" i="72"/>
  <c r="AC716" i="72"/>
  <c r="Y471" i="72"/>
  <c r="AC471" i="72"/>
  <c r="Y628" i="72"/>
  <c r="AC628" i="72"/>
  <c r="Y741" i="72"/>
  <c r="AC741" i="72"/>
  <c r="Y26" i="72"/>
  <c r="AC26" i="72"/>
  <c r="Y523" i="72"/>
  <c r="AC523" i="72"/>
  <c r="Y333" i="72"/>
  <c r="AC333" i="72"/>
  <c r="Y305" i="72"/>
  <c r="AC305" i="72"/>
  <c r="Y251" i="72"/>
  <c r="AC251" i="72"/>
  <c r="Y425" i="72"/>
  <c r="AC425" i="72"/>
  <c r="Y236" i="72"/>
  <c r="AC236" i="72"/>
  <c r="Y793" i="72"/>
  <c r="AC793" i="72"/>
  <c r="Y653" i="72"/>
  <c r="AC653" i="72"/>
  <c r="Y457" i="72"/>
  <c r="AC457" i="72"/>
  <c r="Y634" i="72"/>
  <c r="AC634" i="72"/>
  <c r="Y621" i="72"/>
  <c r="AC621" i="72"/>
  <c r="Y343" i="72"/>
  <c r="AC343" i="72"/>
  <c r="Y439" i="72"/>
  <c r="AC439" i="72"/>
  <c r="Y402" i="72"/>
  <c r="AC402" i="72"/>
  <c r="Y188" i="72"/>
  <c r="AC188" i="72"/>
  <c r="Y414" i="72"/>
  <c r="AC414" i="72"/>
  <c r="Y263" i="72"/>
  <c r="AC263" i="72"/>
  <c r="Y557" i="72"/>
  <c r="AC557" i="72"/>
  <c r="Y821" i="72"/>
  <c r="AC821" i="72"/>
  <c r="Y253" i="72"/>
  <c r="AC253" i="72"/>
  <c r="Y629" i="72"/>
  <c r="AC629" i="72"/>
  <c r="Y382" i="72"/>
  <c r="AC382" i="72"/>
  <c r="Y450" i="72"/>
  <c r="AC450" i="72"/>
  <c r="Y467" i="72"/>
  <c r="AC467" i="72"/>
  <c r="Y338" i="72"/>
  <c r="AC338" i="72"/>
  <c r="Y138" i="72"/>
  <c r="AC138" i="72"/>
  <c r="Y777" i="72"/>
  <c r="AC777" i="72"/>
  <c r="Y284" i="72"/>
  <c r="AC284" i="72"/>
  <c r="Y737" i="72"/>
  <c r="AC737" i="72"/>
  <c r="Y784" i="72"/>
  <c r="AC784" i="72"/>
  <c r="Y616" i="72"/>
  <c r="AC616" i="72"/>
  <c r="Y296" i="72"/>
  <c r="AC296" i="72"/>
  <c r="Y249" i="72"/>
  <c r="AC249" i="72"/>
  <c r="Y676" i="72"/>
  <c r="AC676" i="72"/>
  <c r="Y552" i="72"/>
  <c r="AC552" i="72"/>
  <c r="Y269" i="72"/>
  <c r="AC269" i="72"/>
  <c r="Y423" i="72"/>
  <c r="AC423" i="72"/>
  <c r="Y831" i="72"/>
  <c r="AC831" i="72"/>
  <c r="Y502" i="72"/>
  <c r="AC502" i="72"/>
  <c r="Y294" i="72"/>
  <c r="AC294" i="72"/>
  <c r="Y738" i="72"/>
  <c r="AC738" i="72"/>
  <c r="Y142" i="72"/>
  <c r="AC142" i="72"/>
  <c r="Y312" i="72"/>
  <c r="AC312" i="72"/>
  <c r="Y278" i="72"/>
  <c r="AC278" i="72"/>
  <c r="Y167" i="72"/>
  <c r="AC167" i="72"/>
  <c r="Y204" i="72"/>
  <c r="AC204" i="72"/>
  <c r="Y125" i="72"/>
  <c r="AC125" i="72"/>
  <c r="Y487" i="72"/>
  <c r="AC487" i="72"/>
  <c r="Y49" i="72"/>
  <c r="AC49" i="72"/>
  <c r="Y670" i="72"/>
  <c r="AC670" i="72"/>
  <c r="Y740" i="72"/>
  <c r="AC740" i="72"/>
  <c r="Y789" i="72"/>
  <c r="AC789" i="72"/>
  <c r="Y493" i="72"/>
  <c r="AC493" i="72"/>
  <c r="Y630" i="72"/>
  <c r="AC630" i="72"/>
  <c r="Y750" i="72"/>
  <c r="AC750" i="72"/>
  <c r="Y201" i="72"/>
  <c r="AC201" i="72"/>
  <c r="Y427" i="72"/>
  <c r="AC427" i="72"/>
  <c r="Y431" i="72"/>
  <c r="AC431" i="72"/>
  <c r="Y19" i="72"/>
  <c r="AC19" i="72"/>
  <c r="Y647" i="72"/>
  <c r="AC647" i="72"/>
  <c r="Y834" i="72"/>
  <c r="AC834" i="72"/>
  <c r="Y805" i="72"/>
  <c r="AC805" i="72"/>
  <c r="Y121" i="72"/>
  <c r="AC121" i="72"/>
  <c r="Y675" i="72"/>
  <c r="AC675" i="72"/>
  <c r="Y813" i="72"/>
  <c r="AC813" i="72"/>
  <c r="Y159" i="72"/>
  <c r="AC159" i="72"/>
  <c r="Y39" i="72"/>
  <c r="AC39" i="72"/>
  <c r="Y498" i="72"/>
  <c r="AC498" i="72"/>
  <c r="Y564" i="72"/>
  <c r="AC564" i="72"/>
  <c r="Y395" i="72"/>
  <c r="AC395" i="72"/>
  <c r="Y350" i="72"/>
  <c r="AC350" i="72"/>
  <c r="Y659" i="72"/>
  <c r="AC659" i="72"/>
  <c r="Y407" i="72"/>
  <c r="AC407" i="72"/>
  <c r="Y636" i="72"/>
  <c r="AC636" i="72"/>
  <c r="Y299" i="72"/>
  <c r="AC299" i="72"/>
  <c r="Y323" i="72"/>
  <c r="AC323" i="72"/>
  <c r="Y313" i="72"/>
  <c r="AC313" i="72"/>
  <c r="Y124" i="72"/>
  <c r="AC124" i="72"/>
  <c r="Y796" i="72"/>
  <c r="AC796" i="72"/>
  <c r="Y160" i="72"/>
  <c r="AC160" i="72"/>
  <c r="Y742" i="72"/>
  <c r="AC742" i="72"/>
  <c r="Y328" i="72"/>
  <c r="AC328" i="72"/>
  <c r="Y181" i="72"/>
  <c r="AC181" i="72"/>
  <c r="Y769" i="72"/>
  <c r="AC769" i="72"/>
  <c r="Y532" i="72"/>
  <c r="AC532" i="72"/>
  <c r="Y610" i="72"/>
  <c r="AC610" i="72"/>
  <c r="Y46" i="72"/>
  <c r="AC46" i="72"/>
  <c r="Y486" i="72"/>
  <c r="AC486" i="72"/>
  <c r="Y514" i="72"/>
  <c r="AC514" i="72"/>
  <c r="Y412" i="72"/>
  <c r="AC412" i="72"/>
  <c r="Y468" i="72"/>
  <c r="AC468" i="72"/>
  <c r="Y397" i="72"/>
  <c r="AC397" i="72"/>
  <c r="Y758" i="72"/>
  <c r="AC758" i="72"/>
  <c r="Y408" i="72"/>
  <c r="AC408" i="72"/>
  <c r="Y358" i="72"/>
  <c r="AC358" i="72"/>
  <c r="Y65" i="72"/>
  <c r="AC65" i="72"/>
  <c r="Y524" i="72"/>
  <c r="AC524" i="72"/>
  <c r="Y612" i="72"/>
  <c r="AC612" i="72"/>
  <c r="Y440" i="72"/>
  <c r="AC440" i="72"/>
  <c r="Y555" i="72"/>
  <c r="AC555" i="72"/>
  <c r="Y606" i="72"/>
  <c r="AC606" i="72"/>
  <c r="Y285" i="72"/>
  <c r="AC285" i="72"/>
  <c r="Y447" i="72"/>
  <c r="AC447" i="72"/>
  <c r="Y428" i="72"/>
  <c r="AC428" i="72"/>
  <c r="Y651" i="72"/>
  <c r="AC651" i="72"/>
  <c r="Y812" i="72"/>
  <c r="AC812" i="72"/>
  <c r="Y646" i="72"/>
  <c r="AC646" i="72"/>
  <c r="Y639" i="72"/>
  <c r="AC639" i="72"/>
  <c r="Y250" i="72"/>
  <c r="AC250" i="72"/>
  <c r="Y499" i="72"/>
  <c r="AC499" i="72"/>
  <c r="Y369" i="72"/>
  <c r="AC369" i="72"/>
  <c r="Y730" i="72"/>
  <c r="AC730" i="72"/>
  <c r="Y463" i="72"/>
  <c r="AC463" i="72"/>
  <c r="Y215" i="72"/>
  <c r="AC215" i="72"/>
  <c r="Y644" i="72"/>
  <c r="AC644" i="72"/>
  <c r="Y540" i="72"/>
  <c r="AC540" i="72"/>
  <c r="Y686" i="72"/>
  <c r="AC686" i="72"/>
  <c r="Y665" i="72"/>
  <c r="AC665" i="72"/>
  <c r="Y476" i="72"/>
  <c r="AC476" i="72"/>
  <c r="Y233" i="72"/>
  <c r="AC233" i="72"/>
  <c r="Y396" i="72"/>
  <c r="AC396" i="72"/>
  <c r="Y339" i="72"/>
  <c r="AC339" i="72"/>
  <c r="Y586" i="72"/>
  <c r="AC586" i="72"/>
  <c r="Y726" i="72"/>
  <c r="AC726" i="72"/>
  <c r="Y36" i="72"/>
  <c r="AC36" i="72"/>
  <c r="Y353" i="72"/>
  <c r="AC353" i="72"/>
  <c r="Y403" i="72"/>
  <c r="AC403" i="72"/>
  <c r="Y574" i="72"/>
  <c r="AC574" i="72"/>
  <c r="Y615" i="72"/>
  <c r="AC615" i="72"/>
  <c r="Y379" i="72"/>
  <c r="AC379" i="72"/>
  <c r="Y626" i="72"/>
  <c r="AC626" i="72"/>
  <c r="Y380" i="72"/>
  <c r="AC380" i="72"/>
  <c r="Y602" i="72"/>
  <c r="AC602" i="72"/>
  <c r="Y819" i="72"/>
  <c r="AC819" i="72"/>
  <c r="Y763" i="72"/>
  <c r="AC763" i="72"/>
  <c r="Y543" i="72"/>
  <c r="AC543" i="72"/>
  <c r="Y640" i="72"/>
  <c r="AC640" i="72"/>
  <c r="Y802" i="72"/>
  <c r="AC802" i="72"/>
  <c r="Y214" i="72"/>
  <c r="AC214" i="72"/>
  <c r="Y770" i="72"/>
  <c r="AC770" i="72"/>
  <c r="Y515" i="72"/>
  <c r="AC515" i="72"/>
  <c r="Y371" i="72"/>
  <c r="AC371" i="72"/>
  <c r="Y231" i="72"/>
  <c r="AC231" i="72"/>
  <c r="Y497" i="72"/>
  <c r="AC497" i="72"/>
  <c r="Y810" i="72"/>
  <c r="AC810" i="72"/>
  <c r="Y817" i="72"/>
  <c r="AC817" i="72"/>
  <c r="Y546" i="72"/>
  <c r="AC546" i="72"/>
  <c r="Y300" i="72"/>
  <c r="AC300" i="72"/>
  <c r="Y652" i="72"/>
  <c r="AC652" i="72"/>
  <c r="Y694" i="72"/>
  <c r="AC694" i="72"/>
  <c r="Y455" i="72"/>
  <c r="AC455" i="72"/>
  <c r="Y267" i="72"/>
  <c r="AC267" i="72"/>
  <c r="Y206" i="72"/>
  <c r="AC206" i="72"/>
  <c r="Y534" i="72"/>
  <c r="AC534" i="72"/>
  <c r="Y325" i="72"/>
  <c r="AC325" i="72"/>
  <c r="Y584" i="72"/>
  <c r="AC584" i="72"/>
  <c r="Y352" i="72"/>
  <c r="AC352" i="72"/>
  <c r="Y706" i="72"/>
  <c r="AC706" i="72"/>
  <c r="Y332" i="72"/>
  <c r="AC332" i="72"/>
  <c r="Y175" i="72"/>
  <c r="AC175" i="72"/>
  <c r="Y67" i="72"/>
  <c r="AC67" i="72"/>
  <c r="Y102" i="72"/>
  <c r="AC102" i="72"/>
  <c r="Y120" i="72"/>
  <c r="AC120" i="72"/>
  <c r="Y593" i="72"/>
  <c r="AC593" i="72"/>
  <c r="Y321" i="72"/>
  <c r="AC321" i="72"/>
  <c r="Y780" i="72"/>
  <c r="AC780" i="72"/>
  <c r="Y438" i="72"/>
  <c r="AC438" i="72"/>
  <c r="Y111" i="72"/>
  <c r="AC111" i="72"/>
  <c r="Y531" i="72"/>
  <c r="AC531" i="72"/>
  <c r="Y29" i="72"/>
  <c r="AC29" i="72"/>
  <c r="Y200" i="72"/>
  <c r="AC200" i="72"/>
  <c r="Y579" i="72"/>
  <c r="AC579" i="72"/>
  <c r="Y377" i="72"/>
  <c r="AC377" i="72"/>
  <c r="Y40" i="72"/>
  <c r="AC40" i="72"/>
  <c r="Y319" i="72"/>
  <c r="AC319" i="72"/>
  <c r="Y41" i="72"/>
  <c r="AC41" i="72"/>
  <c r="Y449" i="72"/>
  <c r="AC449" i="72"/>
  <c r="Y429" i="72"/>
  <c r="AC429" i="72"/>
  <c r="Y829" i="72"/>
  <c r="AC829" i="72"/>
  <c r="Y701" i="72"/>
  <c r="AC701" i="72"/>
  <c r="Y767" i="72"/>
  <c r="AC767" i="72"/>
  <c r="Y351" i="72"/>
  <c r="AC351" i="72"/>
  <c r="Y718" i="72"/>
  <c r="AC718" i="72"/>
  <c r="Y715" i="72"/>
  <c r="AC715" i="72"/>
  <c r="Y542" i="72"/>
  <c r="AC542" i="72"/>
  <c r="Y228" i="72"/>
  <c r="AC228" i="72"/>
  <c r="Y367" i="72"/>
  <c r="AC367" i="72"/>
  <c r="Y316" i="72"/>
  <c r="AC316" i="72"/>
  <c r="Y234" i="72"/>
  <c r="AC234" i="72"/>
  <c r="Y291" i="72"/>
  <c r="AC291" i="72"/>
  <c r="Y603" i="72"/>
  <c r="AC603" i="72"/>
  <c r="Y389" i="72"/>
  <c r="AC389" i="72"/>
  <c r="Y792" i="72"/>
  <c r="AC792" i="72"/>
  <c r="Y390" i="72"/>
  <c r="AC390" i="72"/>
  <c r="Y241" i="72"/>
  <c r="AC241" i="72"/>
  <c r="Y24" i="72"/>
  <c r="AC24" i="72"/>
  <c r="Y822" i="72"/>
  <c r="AC822" i="72"/>
  <c r="Y724" i="72"/>
  <c r="AC724" i="72"/>
  <c r="Y505" i="72"/>
  <c r="AC505" i="72"/>
  <c r="Y798" i="72"/>
  <c r="AC798" i="72"/>
  <c r="Y517" i="72"/>
  <c r="AC517" i="72"/>
  <c r="Y556" i="72"/>
  <c r="AC556" i="72"/>
  <c r="Y274" i="72"/>
  <c r="AC274" i="72"/>
  <c r="Y719" i="72"/>
  <c r="AC719" i="72"/>
  <c r="Y433" i="72"/>
  <c r="AC433" i="72"/>
  <c r="Y391" i="72"/>
  <c r="AC391" i="72"/>
  <c r="Y764" i="72"/>
  <c r="AC764" i="72"/>
  <c r="Y74" i="72"/>
  <c r="AC74" i="72"/>
  <c r="Y721" i="72"/>
  <c r="AC721" i="72"/>
  <c r="Y663" i="72"/>
  <c r="AC663" i="72"/>
  <c r="Y752" i="72"/>
  <c r="AC752" i="72"/>
  <c r="Y189" i="72"/>
  <c r="AC189" i="72"/>
  <c r="Y252" i="72"/>
  <c r="AC252" i="72"/>
  <c r="Y566" i="72"/>
  <c r="AC566" i="72"/>
  <c r="Y568" i="72"/>
  <c r="AC568" i="72"/>
  <c r="Y547" i="72"/>
  <c r="AC547" i="72"/>
  <c r="Y620" i="72"/>
  <c r="AC620" i="72"/>
  <c r="Y281" i="72"/>
  <c r="AC281" i="72"/>
  <c r="Y761" i="72"/>
  <c r="AC761" i="72"/>
  <c r="Y533" i="72"/>
  <c r="AC533" i="72"/>
  <c r="Y563" i="72"/>
  <c r="AC563" i="72"/>
  <c r="Y623" i="72"/>
  <c r="AC623" i="72"/>
  <c r="Y554" i="72"/>
  <c r="AC554" i="72"/>
  <c r="Y180" i="72"/>
  <c r="AC180" i="72"/>
  <c r="Y105" i="72"/>
  <c r="AC105" i="72"/>
  <c r="Y607" i="72"/>
  <c r="AC607" i="72"/>
  <c r="Y98" i="72"/>
  <c r="AC98" i="72"/>
  <c r="Y528" i="72"/>
  <c r="AC528" i="72"/>
  <c r="Y25" i="72"/>
  <c r="AC25" i="72"/>
  <c r="Y176" i="72"/>
  <c r="AC176" i="72"/>
  <c r="Y103" i="72"/>
  <c r="AC103" i="72"/>
  <c r="Y833" i="72"/>
  <c r="AC833" i="72"/>
  <c r="Y327" i="72"/>
  <c r="AC327" i="72"/>
  <c r="Y832" i="72"/>
  <c r="AC832" i="72"/>
  <c r="Y756" i="72"/>
  <c r="AC756" i="72"/>
  <c r="Y106" i="72"/>
  <c r="AC106" i="72"/>
  <c r="Y569" i="72"/>
  <c r="AC569" i="72"/>
  <c r="Y529" i="72"/>
  <c r="AC529" i="72"/>
  <c r="Y588" i="72"/>
  <c r="AC588" i="72"/>
  <c r="Y303" i="72"/>
  <c r="AC303" i="72"/>
  <c r="Y209" i="72"/>
  <c r="AC209" i="72"/>
  <c r="Y712" i="72"/>
  <c r="AC712" i="72"/>
  <c r="Y406" i="72"/>
  <c r="AC406" i="72"/>
  <c r="Y237" i="72"/>
  <c r="AC237" i="72"/>
  <c r="Y520" i="72"/>
  <c r="AC520" i="72"/>
  <c r="Y608" i="72"/>
  <c r="AC608" i="72"/>
  <c r="Y392" i="72"/>
  <c r="AC392" i="72"/>
  <c r="Y549" i="72"/>
  <c r="AC549" i="72"/>
  <c r="Y22" i="72"/>
  <c r="AC22" i="72"/>
  <c r="Y72" i="72"/>
  <c r="AC72" i="72"/>
  <c r="Y135" i="72"/>
  <c r="AC135" i="72"/>
  <c r="Y260" i="72"/>
  <c r="AC260" i="72"/>
  <c r="Y360" i="72"/>
  <c r="AC360" i="72"/>
  <c r="Y791" i="72"/>
  <c r="AC791" i="72"/>
  <c r="Y530" i="72"/>
  <c r="AC530" i="72"/>
  <c r="Y246" i="72"/>
  <c r="AC246" i="72"/>
  <c r="Y746" i="72"/>
  <c r="AC746" i="72"/>
  <c r="Y304" i="72"/>
  <c r="AC304" i="72"/>
  <c r="Y782" i="72"/>
  <c r="AC782" i="72"/>
  <c r="Y275" i="72"/>
  <c r="AC275" i="72"/>
  <c r="Y59" i="72"/>
  <c r="AC59" i="72"/>
  <c r="Y799" i="72"/>
  <c r="AC799" i="72"/>
  <c r="Y388" i="72"/>
  <c r="AC388" i="72"/>
  <c r="Y293" i="72"/>
  <c r="AC293" i="72"/>
  <c r="Y522" i="72"/>
  <c r="AC522" i="72"/>
  <c r="Y179" i="72"/>
  <c r="AC179" i="72"/>
  <c r="Y637" i="72"/>
  <c r="AC637" i="72"/>
  <c r="Y410" i="72"/>
  <c r="AC410" i="72"/>
  <c r="Y421" i="72"/>
  <c r="AC421" i="72"/>
  <c r="Y298" i="72"/>
  <c r="AC298" i="72"/>
  <c r="Y753" i="72"/>
  <c r="AC753" i="72"/>
  <c r="Y283" i="72"/>
  <c r="AC283" i="72"/>
  <c r="Y575" i="72"/>
  <c r="AC575" i="72"/>
  <c r="Y627" i="72"/>
  <c r="AC627" i="72"/>
  <c r="Y698" i="72"/>
  <c r="AC698" i="72"/>
  <c r="Y198" i="72"/>
  <c r="AC198" i="72"/>
  <c r="Y245" i="72"/>
  <c r="AC245" i="72"/>
  <c r="Y342" i="72"/>
  <c r="AC342" i="72"/>
  <c r="Y638" i="72"/>
  <c r="AC638" i="72"/>
  <c r="Y295" i="72"/>
  <c r="AC295" i="72"/>
  <c r="Y375" i="72"/>
  <c r="AC375" i="72"/>
  <c r="Y385" i="72"/>
  <c r="AC385" i="72"/>
  <c r="Y290" i="72"/>
  <c r="AC290" i="72"/>
  <c r="Y387" i="72"/>
  <c r="AC387" i="72"/>
  <c r="Y272" i="72"/>
  <c r="AC272" i="72"/>
  <c r="Y55" i="72"/>
  <c r="AC55" i="72"/>
  <c r="Y381" i="72"/>
  <c r="AC381" i="72"/>
  <c r="Y657" i="72"/>
  <c r="AC657" i="72"/>
  <c r="Y248" i="72"/>
  <c r="AC248" i="72"/>
  <c r="Y196" i="72"/>
  <c r="AC196" i="72"/>
  <c r="Y356" i="72"/>
  <c r="AC356" i="72"/>
  <c r="Y516" i="72"/>
  <c r="AC516" i="72"/>
  <c r="Y318" i="72"/>
  <c r="AC318" i="72"/>
  <c r="Y462" i="72"/>
  <c r="AC462" i="72"/>
  <c r="Y162" i="72"/>
  <c r="AC162" i="72"/>
  <c r="Y511" i="72"/>
  <c r="AC511" i="72"/>
  <c r="Y776" i="72"/>
  <c r="AC776" i="72"/>
  <c r="Y86" i="72"/>
  <c r="AC86" i="72"/>
  <c r="Y583" i="72"/>
  <c r="Y43" i="72"/>
  <c r="Y132" i="72"/>
  <c r="Y150" i="72"/>
  <c r="Y170" i="72"/>
  <c r="Y133" i="72"/>
  <c r="Y220" i="72"/>
  <c r="Y494" i="72"/>
  <c r="Y683" i="72"/>
  <c r="Y567" i="72"/>
  <c r="Y63" i="72"/>
  <c r="Y578" i="72"/>
  <c r="Y185" i="72"/>
  <c r="Y95" i="72"/>
  <c r="Y70" i="72"/>
  <c r="Y37" i="72"/>
  <c r="Y54" i="72"/>
  <c r="Y184" i="72"/>
  <c r="Y171" i="72"/>
  <c r="Y58" i="72"/>
  <c r="Y50" i="72"/>
  <c r="Y53" i="72"/>
  <c r="Y225" i="72"/>
  <c r="Y492" i="72"/>
  <c r="Y186" i="72"/>
  <c r="Y172" i="72"/>
  <c r="Y48" i="72"/>
  <c r="Y503" i="72"/>
  <c r="Y226" i="72"/>
  <c r="Y42" i="72"/>
  <c r="Y219" i="72"/>
  <c r="Y38" i="72"/>
  <c r="Y45" i="72"/>
  <c r="Y60" i="72"/>
  <c r="Y571" i="72"/>
  <c r="Y169" i="72"/>
  <c r="Y582" i="72"/>
  <c r="Y194" i="72"/>
  <c r="Y292" i="72"/>
  <c r="Y581" i="72"/>
  <c r="Y62" i="72"/>
  <c r="Y52" i="72"/>
  <c r="Y131" i="72"/>
  <c r="Y64" i="72"/>
  <c r="F19" i="43"/>
  <c r="H19" i="43" s="1"/>
  <c r="I19" i="43" s="1"/>
  <c r="F20" i="43"/>
  <c r="H20" i="43" s="1"/>
  <c r="J20" i="43" s="1"/>
  <c r="K20" i="43" s="1"/>
  <c r="F18" i="43"/>
  <c r="F14" i="43"/>
  <c r="F17" i="43"/>
  <c r="H17" i="43" s="1"/>
  <c r="I17" i="43" s="1"/>
  <c r="X140" i="72"/>
  <c r="AC140" i="72" l="1"/>
  <c r="AP140" i="72"/>
  <c r="M19" i="127"/>
  <c r="N19" i="127" s="1"/>
  <c r="M18" i="127"/>
  <c r="N18" i="127" s="1"/>
  <c r="I16" i="127"/>
  <c r="M16" i="127"/>
  <c r="N16" i="127" s="1"/>
  <c r="R18" i="127"/>
  <c r="R16" i="127"/>
  <c r="R19" i="127"/>
  <c r="Y140" i="72"/>
  <c r="I20" i="43"/>
  <c r="J19" i="43"/>
  <c r="K19" i="43" s="1"/>
  <c r="J17" i="43"/>
  <c r="K17" i="43" s="1"/>
  <c r="N15" i="85"/>
  <c r="G16" i="85" s="1"/>
  <c r="AN845" i="72"/>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T839" i="72" l="1"/>
  <c r="T847" i="72" s="1"/>
  <c r="F16" i="43"/>
  <c r="F22" i="43" s="1"/>
  <c r="F30" i="43" s="1"/>
  <c r="F34" i="43" s="1"/>
  <c r="F41" i="43" s="1"/>
  <c r="L96" i="118" l="1"/>
  <c r="Q83" i="118"/>
  <c r="L82" i="118"/>
  <c r="AU82" i="118" s="1"/>
  <c r="L81" i="118"/>
  <c r="F45" i="43"/>
  <c r="S839" i="72"/>
  <c r="Q96" i="118" l="1"/>
  <c r="AU96" i="118"/>
  <c r="T852" i="72"/>
  <c r="AS847" i="72"/>
  <c r="Q81" i="118"/>
  <c r="F48" i="43"/>
  <c r="E51" i="43"/>
  <c r="E52" i="43" s="1"/>
  <c r="Q82" i="118"/>
  <c r="AS852" i="72" l="1"/>
  <c r="S852" i="72"/>
  <c r="Q134" i="118" l="1"/>
  <c r="AA134" i="118"/>
  <c r="AG134" i="118" s="1"/>
  <c r="AI134" i="118" l="1"/>
  <c r="AN134" i="118" s="1"/>
  <c r="V193" i="72" l="1"/>
  <c r="X193" i="72" s="1"/>
  <c r="AP193" i="72" s="1"/>
  <c r="W193" i="72"/>
  <c r="Z193" i="72" s="1"/>
  <c r="AD193" i="72" l="1"/>
  <c r="AA193" i="72"/>
  <c r="AC193" i="72" s="1"/>
  <c r="Y193" i="72"/>
  <c r="AQ193" i="72" l="1"/>
  <c r="AB193" i="72"/>
  <c r="V100" i="72" l="1"/>
  <c r="W100" i="72"/>
  <c r="Z100" i="72" s="1"/>
  <c r="V101" i="72"/>
  <c r="W101" i="72"/>
  <c r="Z101" i="72" s="1"/>
  <c r="V117" i="72" l="1"/>
  <c r="W117" i="72"/>
  <c r="Z117" i="72" s="1"/>
  <c r="AD101" i="72"/>
  <c r="AA101" i="72"/>
  <c r="AB101" i="72" s="1"/>
  <c r="X101" i="72"/>
  <c r="AP101" i="72" s="1"/>
  <c r="AD100" i="72"/>
  <c r="AA100" i="72"/>
  <c r="AB100" i="72" s="1"/>
  <c r="X100" i="72"/>
  <c r="AP100" i="72" s="1"/>
  <c r="AQ101" i="72" l="1"/>
  <c r="V129" i="72"/>
  <c r="W129" i="72"/>
  <c r="Z129" i="72" s="1"/>
  <c r="V165" i="72"/>
  <c r="W165" i="72"/>
  <c r="Z165" i="72" s="1"/>
  <c r="V127" i="72"/>
  <c r="W127" i="72"/>
  <c r="Z127" i="72" s="1"/>
  <c r="Y101" i="72"/>
  <c r="AC101" i="72"/>
  <c r="V157" i="72"/>
  <c r="W157" i="72"/>
  <c r="Z157" i="72" s="1"/>
  <c r="AD117" i="72"/>
  <c r="AA117" i="72"/>
  <c r="AB117" i="72" s="1"/>
  <c r="V155" i="72"/>
  <c r="W155" i="72"/>
  <c r="Z155" i="72" s="1"/>
  <c r="V164" i="72"/>
  <c r="X164" i="72" s="1"/>
  <c r="AP164" i="72" s="1"/>
  <c r="W164" i="72"/>
  <c r="Z164" i="72" s="1"/>
  <c r="Y100" i="72"/>
  <c r="AC100" i="72"/>
  <c r="V128" i="72"/>
  <c r="W128" i="72"/>
  <c r="Z128" i="72" s="1"/>
  <c r="AQ100" i="72"/>
  <c r="X117" i="72"/>
  <c r="AP117" i="72" s="1"/>
  <c r="AQ117" i="72" l="1"/>
  <c r="V166" i="72"/>
  <c r="W166" i="72"/>
  <c r="Z166" i="72" s="1"/>
  <c r="V156" i="72"/>
  <c r="X156" i="72" s="1"/>
  <c r="AP156" i="72" s="1"/>
  <c r="W156" i="72"/>
  <c r="Z156" i="72" s="1"/>
  <c r="AD129" i="72"/>
  <c r="AA129" i="72"/>
  <c r="AB129" i="72" s="1"/>
  <c r="X129" i="72"/>
  <c r="AP129" i="72" s="1"/>
  <c r="V154" i="72"/>
  <c r="W154" i="72"/>
  <c r="Z154" i="72" s="1"/>
  <c r="AD157" i="72"/>
  <c r="AA157" i="72"/>
  <c r="AB157" i="72" s="1"/>
  <c r="X157" i="72"/>
  <c r="AP157" i="72" s="1"/>
  <c r="AD164" i="72"/>
  <c r="AA164" i="72"/>
  <c r="AC164" i="72" s="1"/>
  <c r="Y117" i="72"/>
  <c r="AC117" i="72"/>
  <c r="AD155" i="72"/>
  <c r="AA155" i="72"/>
  <c r="AB155" i="72" s="1"/>
  <c r="Y164" i="72"/>
  <c r="AD127" i="72"/>
  <c r="AA127" i="72"/>
  <c r="AB127" i="72" s="1"/>
  <c r="X155" i="72"/>
  <c r="AP155" i="72" s="1"/>
  <c r="X127" i="72"/>
  <c r="AP127" i="72" s="1"/>
  <c r="AD128" i="72"/>
  <c r="AA128" i="72"/>
  <c r="AB128" i="72" s="1"/>
  <c r="AD165" i="72"/>
  <c r="AA165" i="72"/>
  <c r="AB165" i="72" s="1"/>
  <c r="X128" i="72"/>
  <c r="AP128" i="72" s="1"/>
  <c r="X165" i="72"/>
  <c r="AP165" i="72" s="1"/>
  <c r="AQ157" i="72" l="1"/>
  <c r="AQ129" i="72"/>
  <c r="AD156" i="72"/>
  <c r="AA156" i="72"/>
  <c r="AC156" i="72" s="1"/>
  <c r="Y156" i="72"/>
  <c r="AD166" i="72"/>
  <c r="AA166" i="72"/>
  <c r="AB166" i="72" s="1"/>
  <c r="Y129" i="72"/>
  <c r="AC129" i="72"/>
  <c r="X166" i="72"/>
  <c r="AP166" i="72" s="1"/>
  <c r="Y157" i="72"/>
  <c r="AC157" i="72"/>
  <c r="AC165" i="72"/>
  <c r="Y165" i="72"/>
  <c r="Y127" i="72"/>
  <c r="AC127" i="72"/>
  <c r="AQ165" i="72"/>
  <c r="AQ127" i="72"/>
  <c r="Y128" i="72"/>
  <c r="AC128" i="72"/>
  <c r="Y155" i="72"/>
  <c r="AC155" i="72"/>
  <c r="AD154" i="72"/>
  <c r="AA154" i="72"/>
  <c r="AB154" i="72" s="1"/>
  <c r="AQ164" i="72"/>
  <c r="AB164" i="72"/>
  <c r="AQ128" i="72"/>
  <c r="AQ155" i="72"/>
  <c r="X154" i="72"/>
  <c r="AP154" i="72" s="1"/>
  <c r="Y166" i="72" l="1"/>
  <c r="AC166" i="72"/>
  <c r="AQ156" i="72"/>
  <c r="AB156" i="72"/>
  <c r="AQ166" i="72"/>
  <c r="V151" i="72"/>
  <c r="W151" i="72"/>
  <c r="Z151" i="72" s="1"/>
  <c r="Y154" i="72"/>
  <c r="AC154" i="72"/>
  <c r="V139" i="72"/>
  <c r="W139" i="72"/>
  <c r="Z139" i="72" s="1"/>
  <c r="AQ154" i="72"/>
  <c r="V31" i="72"/>
  <c r="W31" i="72"/>
  <c r="Z31" i="72" s="1"/>
  <c r="V20" i="72"/>
  <c r="W20" i="72"/>
  <c r="Z20" i="72" s="1"/>
  <c r="V21" i="72"/>
  <c r="W21" i="72"/>
  <c r="Z21" i="72" s="1"/>
  <c r="AD139" i="72" l="1"/>
  <c r="AA139" i="72"/>
  <c r="AB139" i="72" s="1"/>
  <c r="M20" i="123"/>
  <c r="X31" i="72"/>
  <c r="AP31" i="72" s="1"/>
  <c r="AD20" i="72"/>
  <c r="AA20" i="72"/>
  <c r="V30" i="72"/>
  <c r="AK14" i="72" s="1"/>
  <c r="W30" i="72"/>
  <c r="Z30" i="72" s="1"/>
  <c r="AD21" i="72"/>
  <c r="AA21" i="72"/>
  <c r="AB21" i="72" s="1"/>
  <c r="X139" i="72"/>
  <c r="AP139" i="72" s="1"/>
  <c r="X21" i="72"/>
  <c r="AP21" i="72" s="1"/>
  <c r="X20" i="72"/>
  <c r="AP20" i="72" s="1"/>
  <c r="AD151" i="72"/>
  <c r="AA151" i="72"/>
  <c r="AB151" i="72" s="1"/>
  <c r="AD31" i="72"/>
  <c r="AA31" i="72"/>
  <c r="AB31" i="72" s="1"/>
  <c r="X151" i="72"/>
  <c r="AP151" i="72" s="1"/>
  <c r="F14" i="127" l="1"/>
  <c r="AQ139" i="72"/>
  <c r="N20" i="123"/>
  <c r="Q20" i="123" s="1"/>
  <c r="R20" i="123" s="1"/>
  <c r="AQ21" i="72"/>
  <c r="Y31" i="72"/>
  <c r="AC31" i="72"/>
  <c r="Y21" i="72"/>
  <c r="AC21" i="72"/>
  <c r="AC20" i="72"/>
  <c r="Y20" i="72"/>
  <c r="AQ31" i="72"/>
  <c r="G14" i="43"/>
  <c r="V84" i="72"/>
  <c r="F15" i="127" s="1"/>
  <c r="W84" i="72"/>
  <c r="Z84" i="72" s="1"/>
  <c r="Y139" i="72"/>
  <c r="AC139" i="72"/>
  <c r="Y151" i="72"/>
  <c r="AC151" i="72"/>
  <c r="AB20" i="72"/>
  <c r="AQ151" i="72"/>
  <c r="AQ20" i="72"/>
  <c r="AD30" i="72"/>
  <c r="AA30" i="72"/>
  <c r="AB30" i="72" s="1"/>
  <c r="X30" i="72"/>
  <c r="H14" i="127" l="1"/>
  <c r="M14" i="127" s="1"/>
  <c r="AP30" i="72"/>
  <c r="G15" i="127"/>
  <c r="G14" i="127"/>
  <c r="J14" i="127"/>
  <c r="O20" i="123"/>
  <c r="AK15" i="72"/>
  <c r="X84" i="72"/>
  <c r="Y30" i="72"/>
  <c r="AC30" i="72"/>
  <c r="AQ30" i="72"/>
  <c r="H14" i="43"/>
  <c r="AD84" i="72"/>
  <c r="AA84" i="72"/>
  <c r="S20" i="123"/>
  <c r="I14" i="127" l="1"/>
  <c r="H15" i="127"/>
  <c r="M15" i="127" s="1"/>
  <c r="AP84" i="72"/>
  <c r="P20" i="123"/>
  <c r="T20" i="123"/>
  <c r="V20" i="123" s="1"/>
  <c r="AQ84" i="72"/>
  <c r="J15" i="127"/>
  <c r="K15" i="127" s="1"/>
  <c r="K14" i="127"/>
  <c r="N14" i="127"/>
  <c r="G16" i="43"/>
  <c r="AB84" i="72"/>
  <c r="Y84" i="72"/>
  <c r="AC84" i="72"/>
  <c r="J14" i="43"/>
  <c r="I14" i="43"/>
  <c r="R14" i="127"/>
  <c r="I15" i="127" l="1"/>
  <c r="N15" i="127"/>
  <c r="K14" i="43"/>
  <c r="R15" i="127"/>
  <c r="H16" i="43"/>
  <c r="J16" i="43" l="1"/>
  <c r="I16" i="43"/>
  <c r="K16" i="43" l="1"/>
  <c r="U128" i="118" l="1"/>
  <c r="AD128" i="118" s="1"/>
  <c r="U127" i="118"/>
  <c r="AD127" i="118" s="1"/>
  <c r="U125" i="118"/>
  <c r="AD125" i="118" s="1"/>
  <c r="U124" i="118"/>
  <c r="AD124" i="118" s="1"/>
  <c r="U126" i="118"/>
  <c r="AD126" i="118" s="1"/>
  <c r="AV124" i="118" l="1"/>
  <c r="AV127" i="118" s="1"/>
  <c r="U129" i="118"/>
  <c r="AQ122" i="118" l="1"/>
  <c r="AQ130" i="118"/>
  <c r="F103" i="132"/>
  <c r="J99" i="132" l="1"/>
  <c r="G99" i="132"/>
  <c r="G104" i="132"/>
  <c r="F105" i="132"/>
  <c r="G105" i="132" s="1"/>
  <c r="F112" i="132"/>
  <c r="F114"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100" i="132"/>
  <c r="G84" i="132"/>
  <c r="J79" i="132"/>
  <c r="J72" i="132"/>
  <c r="G85" i="132"/>
  <c r="J96" i="132"/>
  <c r="G94" i="132"/>
  <c r="G71" i="132"/>
  <c r="G87" i="132"/>
  <c r="G72" i="132"/>
  <c r="J78" i="132"/>
  <c r="J86" i="132"/>
  <c r="J94" i="132"/>
  <c r="J71" i="132"/>
  <c r="G76" i="132"/>
  <c r="J95" i="132"/>
  <c r="G77" i="132"/>
  <c r="J88" i="132"/>
  <c r="G78" i="132"/>
  <c r="J89" i="132"/>
  <c r="G79" i="132"/>
  <c r="J82" i="132"/>
  <c r="G88" i="132"/>
  <c r="J74" i="132"/>
  <c r="J80" i="132"/>
  <c r="G70" i="132"/>
  <c r="J81" i="132"/>
  <c r="J90" i="132"/>
  <c r="G96" i="132"/>
  <c r="L99" i="132" l="1"/>
  <c r="L95" i="132"/>
  <c r="L88" i="132"/>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H96" i="132" s="1"/>
  <c r="L93" i="132"/>
  <c r="L75" i="132"/>
  <c r="L76" i="132"/>
  <c r="L74" i="132"/>
  <c r="L87" i="132"/>
  <c r="L91" i="132"/>
  <c r="G103" i="132"/>
  <c r="L83" i="132"/>
  <c r="L86" i="132"/>
  <c r="L80" i="132"/>
  <c r="L82" i="132"/>
  <c r="L71" i="132"/>
  <c r="L96" i="132"/>
  <c r="L94" i="132"/>
  <c r="L70" i="132"/>
  <c r="L73" i="132"/>
  <c r="L69" i="132"/>
  <c r="K69" i="132"/>
  <c r="H97" i="132" l="1"/>
  <c r="H98" i="132" s="1"/>
  <c r="H99" i="132" s="1"/>
  <c r="H100"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4" i="132"/>
  <c r="M95" i="132" l="1"/>
  <c r="K96" i="132"/>
  <c r="M96" i="132" s="1"/>
  <c r="F500" i="131" l="1"/>
  <c r="V504" i="72"/>
  <c r="X504" i="72" s="1"/>
  <c r="AP504" i="72" s="1"/>
  <c r="W504" i="72"/>
  <c r="Z504" i="72" s="1"/>
  <c r="F503" i="131"/>
  <c r="V507" i="72"/>
  <c r="X507" i="72" s="1"/>
  <c r="AP507" i="72" s="1"/>
  <c r="W507" i="72"/>
  <c r="Z507" i="72" s="1"/>
  <c r="F491" i="131"/>
  <c r="V495" i="72"/>
  <c r="X495" i="72" s="1"/>
  <c r="AP495" i="72" s="1"/>
  <c r="W495" i="72"/>
  <c r="Z495" i="72" s="1"/>
  <c r="F508" i="131"/>
  <c r="V512" i="72"/>
  <c r="X512" i="72" s="1"/>
  <c r="AP512" i="72" s="1"/>
  <c r="W512" i="72"/>
  <c r="Z512" i="72" s="1"/>
  <c r="F502" i="131"/>
  <c r="V506" i="72"/>
  <c r="X506" i="72" s="1"/>
  <c r="AP506" i="72" s="1"/>
  <c r="W506" i="72"/>
  <c r="Z506" i="72" s="1"/>
  <c r="F497" i="131"/>
  <c r="V501" i="72"/>
  <c r="X501" i="72" s="1"/>
  <c r="AP501" i="72" s="1"/>
  <c r="W501" i="72"/>
  <c r="Z501" i="72" s="1"/>
  <c r="F486" i="131"/>
  <c r="V490" i="72"/>
  <c r="X490" i="72" s="1"/>
  <c r="AP490" i="72" s="1"/>
  <c r="W490" i="72"/>
  <c r="Z490" i="72" s="1"/>
  <c r="Y507" i="72" l="1"/>
  <c r="Y506" i="72"/>
  <c r="Y490" i="72"/>
  <c r="AD512" i="72"/>
  <c r="AA512" i="72"/>
  <c r="AB512" i="72" s="1"/>
  <c r="AD506" i="72"/>
  <c r="AA506" i="72"/>
  <c r="AB506" i="72" s="1"/>
  <c r="AD504" i="72"/>
  <c r="AA504" i="72"/>
  <c r="AB504" i="72" s="1"/>
  <c r="Y495" i="72"/>
  <c r="AD507" i="72"/>
  <c r="AA507" i="72"/>
  <c r="AB507" i="72" s="1"/>
  <c r="AD501" i="72"/>
  <c r="AA501" i="72"/>
  <c r="AB501" i="72" s="1"/>
  <c r="Y504" i="72"/>
  <c r="AD490" i="72"/>
  <c r="AA490" i="72"/>
  <c r="AB490" i="72" s="1"/>
  <c r="Y512" i="72"/>
  <c r="Y501" i="72"/>
  <c r="AD495" i="72"/>
  <c r="AA495" i="72"/>
  <c r="AB495" i="72" s="1"/>
  <c r="AC512" i="72" l="1"/>
  <c r="AC501" i="72"/>
  <c r="AC495" i="72"/>
  <c r="AC506" i="72"/>
  <c r="AC507" i="72"/>
  <c r="AC490" i="72"/>
  <c r="AC504" i="72"/>
  <c r="F591" i="131" l="1"/>
  <c r="V595" i="72"/>
  <c r="X595" i="72" s="1"/>
  <c r="AP595" i="72" s="1"/>
  <c r="W595" i="72"/>
  <c r="Z595" i="72" s="1"/>
  <c r="F583" i="131"/>
  <c r="V587" i="72"/>
  <c r="X587" i="72" s="1"/>
  <c r="AP587" i="72" s="1"/>
  <c r="W587" i="72"/>
  <c r="Z587" i="72" s="1"/>
  <c r="F496" i="131"/>
  <c r="V500" i="72"/>
  <c r="X500" i="72" s="1"/>
  <c r="AP500" i="72" s="1"/>
  <c r="W500" i="72"/>
  <c r="Z500" i="72" s="1"/>
  <c r="F480" i="131"/>
  <c r="V484" i="72"/>
  <c r="W484" i="72"/>
  <c r="Z484" i="72" s="1"/>
  <c r="F569" i="131"/>
  <c r="V573" i="72"/>
  <c r="X573" i="72" s="1"/>
  <c r="AP573" i="72" s="1"/>
  <c r="W573" i="72"/>
  <c r="Z573" i="72" s="1"/>
  <c r="AD595" i="72" l="1"/>
  <c r="AA595" i="72"/>
  <c r="AB595" i="72" s="1"/>
  <c r="Y587" i="72"/>
  <c r="Y595" i="72"/>
  <c r="AD587" i="72"/>
  <c r="AA587" i="72"/>
  <c r="AB587" i="72" s="1"/>
  <c r="F594" i="131"/>
  <c r="V598" i="72"/>
  <c r="X598" i="72" s="1"/>
  <c r="AP598" i="72" s="1"/>
  <c r="W598" i="72"/>
  <c r="Z598" i="72" s="1"/>
  <c r="Y573" i="72"/>
  <c r="AD500" i="72"/>
  <c r="AA500" i="72"/>
  <c r="AB500" i="72" s="1"/>
  <c r="AD484" i="72"/>
  <c r="AA484" i="72"/>
  <c r="Y500" i="72"/>
  <c r="X484" i="72"/>
  <c r="AP484" i="72" s="1"/>
  <c r="AD573" i="72"/>
  <c r="AA573" i="72"/>
  <c r="AB573" i="72" s="1"/>
  <c r="AC595" i="72" l="1"/>
  <c r="AC587" i="72"/>
  <c r="AD598" i="72"/>
  <c r="AA598" i="72"/>
  <c r="AB598" i="72" s="1"/>
  <c r="AC500" i="72"/>
  <c r="Y598" i="72"/>
  <c r="F540" i="131"/>
  <c r="V544" i="72"/>
  <c r="X544" i="72" s="1"/>
  <c r="AP544" i="72" s="1"/>
  <c r="W544" i="72"/>
  <c r="Z544" i="72" s="1"/>
  <c r="AB484" i="72"/>
  <c r="F533" i="131"/>
  <c r="V537" i="72"/>
  <c r="W537" i="72"/>
  <c r="Z537" i="72" s="1"/>
  <c r="Y484" i="72"/>
  <c r="AC484" i="72"/>
  <c r="AC573" i="72"/>
  <c r="AC598" i="72" l="1"/>
  <c r="X869" i="72"/>
  <c r="F17" i="127"/>
  <c r="X537" i="72"/>
  <c r="AK17" i="72"/>
  <c r="V839" i="72"/>
  <c r="AD544" i="72"/>
  <c r="AA544" i="72"/>
  <c r="AB544" i="72" s="1"/>
  <c r="Y544" i="72"/>
  <c r="AD537" i="72"/>
  <c r="AA537" i="72"/>
  <c r="J17" i="127" l="1"/>
  <c r="K17" i="127" s="1"/>
  <c r="H17" i="127"/>
  <c r="H13" i="127" s="1"/>
  <c r="AP537" i="72"/>
  <c r="G17" i="127"/>
  <c r="F13" i="127"/>
  <c r="AC544" i="72"/>
  <c r="T862" i="72"/>
  <c r="AL21" i="72"/>
  <c r="U839" i="72"/>
  <c r="G18" i="43"/>
  <c r="AK21" i="72"/>
  <c r="AB537" i="72"/>
  <c r="AA839" i="72"/>
  <c r="M13" i="127" s="1"/>
  <c r="Y537" i="72"/>
  <c r="AC537" i="72"/>
  <c r="X839" i="72"/>
  <c r="G13" i="127" l="1"/>
  <c r="I13" i="127"/>
  <c r="J13" i="127"/>
  <c r="I17" i="127"/>
  <c r="M17" i="127"/>
  <c r="N17" i="127" s="1"/>
  <c r="AM21" i="72"/>
  <c r="R17" i="127"/>
  <c r="H18" i="43"/>
  <c r="G22" i="43"/>
  <c r="U862" i="72"/>
  <c r="Y839" i="72"/>
  <c r="AC839" i="72"/>
  <c r="X861" i="72"/>
  <c r="S83" i="118"/>
  <c r="AB839" i="72"/>
  <c r="K13" i="127" l="1"/>
  <c r="I18" i="43"/>
  <c r="J18" i="43"/>
  <c r="H22" i="43"/>
  <c r="AA83" i="118"/>
  <c r="R13" i="127"/>
  <c r="N13" i="127"/>
  <c r="O13" i="127" s="1"/>
  <c r="S81" i="118"/>
  <c r="Y83" i="118"/>
  <c r="Y81" i="118" l="1"/>
  <c r="AA81" i="118"/>
  <c r="I22" i="43"/>
  <c r="K22" i="43" s="1"/>
  <c r="K18" i="43"/>
  <c r="J22" i="43"/>
  <c r="AI83" i="118"/>
  <c r="AG83" i="118"/>
  <c r="AN83" i="118" s="1"/>
  <c r="AI81" i="118" l="1"/>
  <c r="AG81" i="118"/>
  <c r="F18" i="133" l="1"/>
  <c r="N25" i="123"/>
  <c r="O25" i="123" s="1"/>
  <c r="H33" i="127" s="1"/>
  <c r="M25" i="123"/>
  <c r="M258" i="123" l="1"/>
  <c r="F33" i="127"/>
  <c r="M33" i="127" s="1"/>
  <c r="I33" i="127"/>
  <c r="H32" i="127"/>
  <c r="H42" i="127" s="1"/>
  <c r="Q25" i="123"/>
  <c r="P25" i="123"/>
  <c r="O258" i="123"/>
  <c r="N258" i="123" s="1"/>
  <c r="Y14" i="123"/>
  <c r="Y21" i="123" s="1"/>
  <c r="U868" i="72" l="1"/>
  <c r="U871" i="72" s="1"/>
  <c r="L258" i="123"/>
  <c r="M260" i="123" s="1"/>
  <c r="M265" i="123"/>
  <c r="I32" i="127"/>
  <c r="J32" i="127"/>
  <c r="J42" i="127" s="1"/>
  <c r="I110" i="132"/>
  <c r="H21" i="127"/>
  <c r="Z21" i="123"/>
  <c r="AA21" i="123" s="1"/>
  <c r="M268" i="123"/>
  <c r="G33" i="127"/>
  <c r="F32" i="127"/>
  <c r="R25" i="123"/>
  <c r="J33" i="127" s="1"/>
  <c r="K33" i="127" s="1"/>
  <c r="N269" i="123"/>
  <c r="O269" i="123" s="1"/>
  <c r="P265" i="123"/>
  <c r="M32" i="127" l="1"/>
  <c r="F42" i="127"/>
  <c r="M261" i="123"/>
  <c r="O261" i="123" s="1"/>
  <c r="R261" i="123" s="1"/>
  <c r="M259" i="123"/>
  <c r="I21" i="127"/>
  <c r="J21" i="127"/>
  <c r="K21" i="127" s="1"/>
  <c r="I42" i="127"/>
  <c r="K42" i="127"/>
  <c r="N32" i="127"/>
  <c r="K32" i="127"/>
  <c r="F21" i="127"/>
  <c r="G32" i="127"/>
  <c r="S87" i="118"/>
  <c r="N33" i="127"/>
  <c r="O260" i="123"/>
  <c r="R260" i="123" s="1"/>
  <c r="R258" i="123"/>
  <c r="S25" i="123"/>
  <c r="J97" i="132"/>
  <c r="O259" i="123" l="1"/>
  <c r="V842" i="72"/>
  <c r="X842" i="72" s="1"/>
  <c r="AA842" i="72" s="1"/>
  <c r="S94" i="118"/>
  <c r="Y94" i="118" s="1"/>
  <c r="M262" i="123"/>
  <c r="L262" i="123" s="1"/>
  <c r="S258" i="123"/>
  <c r="Q258" i="123"/>
  <c r="I100" i="132"/>
  <c r="J100" i="132" s="1"/>
  <c r="M42" i="127"/>
  <c r="N42" i="127" s="1"/>
  <c r="G21" i="127"/>
  <c r="M21" i="127"/>
  <c r="S84" i="118"/>
  <c r="S82" i="118" s="1"/>
  <c r="AA87" i="118"/>
  <c r="Y87" i="118"/>
  <c r="G42" i="127"/>
  <c r="N44" i="127"/>
  <c r="F71" i="127"/>
  <c r="G71" i="127" s="1"/>
  <c r="J74" i="127"/>
  <c r="J75" i="127" s="1"/>
  <c r="R32" i="127"/>
  <c r="G27" i="43"/>
  <c r="H27" i="43" s="1"/>
  <c r="X844" i="72"/>
  <c r="AA844" i="72" s="1"/>
  <c r="R33" i="127"/>
  <c r="T258" i="123"/>
  <c r="X258" i="123" s="1"/>
  <c r="S265" i="123"/>
  <c r="R268" i="123"/>
  <c r="O268" i="123"/>
  <c r="R259" i="123"/>
  <c r="R262" i="123" s="1"/>
  <c r="O262" i="123"/>
  <c r="N262" i="123" s="1"/>
  <c r="K97" i="132"/>
  <c r="L97" i="132"/>
  <c r="R42" i="127"/>
  <c r="H71" i="127"/>
  <c r="I71" i="127" s="1"/>
  <c r="I107" i="132"/>
  <c r="AA94" i="118" l="1"/>
  <c r="AG94" i="118" s="1"/>
  <c r="L100" i="132"/>
  <c r="S262" i="123"/>
  <c r="Q262" i="123"/>
  <c r="S91" i="118"/>
  <c r="AQ94" i="118" s="1"/>
  <c r="G25" i="43"/>
  <c r="H25" i="43" s="1"/>
  <c r="J25" i="43" s="1"/>
  <c r="V847" i="72"/>
  <c r="V852" i="72" s="1"/>
  <c r="U852" i="72" s="1"/>
  <c r="J98" i="132"/>
  <c r="L98" i="132" s="1"/>
  <c r="I103" i="132"/>
  <c r="AI87" i="118"/>
  <c r="AN87" i="118" s="1"/>
  <c r="AG87" i="118"/>
  <c r="Y84" i="118"/>
  <c r="AA84" i="118"/>
  <c r="AA847" i="72"/>
  <c r="AA852" i="72" s="1"/>
  <c r="AB852" i="72" s="1"/>
  <c r="X847" i="72"/>
  <c r="X852" i="72" s="1"/>
  <c r="Y852" i="72" s="1"/>
  <c r="J27" i="43"/>
  <c r="K27" i="43" s="1"/>
  <c r="I27" i="43"/>
  <c r="R21" i="127"/>
  <c r="M97" i="132"/>
  <c r="N43" i="127"/>
  <c r="J71" i="127"/>
  <c r="W262" i="123"/>
  <c r="X262" i="123" s="1"/>
  <c r="S270" i="123"/>
  <c r="AI94" i="118" l="1"/>
  <c r="AN94" i="118" s="1"/>
  <c r="AQ90" i="118"/>
  <c r="H30" i="43"/>
  <c r="H34" i="43" s="1"/>
  <c r="I34" i="43" s="1"/>
  <c r="K34" i="43" s="1"/>
  <c r="I25" i="43"/>
  <c r="G30" i="43"/>
  <c r="G34" i="43" s="1"/>
  <c r="G41" i="43" s="1"/>
  <c r="H41" i="43" s="1"/>
  <c r="H45" i="43" s="1"/>
  <c r="S90" i="118"/>
  <c r="AA91" i="118"/>
  <c r="Y91" i="118"/>
  <c r="I105" i="132"/>
  <c r="J105" i="132" s="1"/>
  <c r="I111" i="132"/>
  <c r="J107" i="132"/>
  <c r="K98" i="132"/>
  <c r="AG84" i="118"/>
  <c r="AI84" i="118"/>
  <c r="AN84" i="118" s="1"/>
  <c r="Y82" i="118"/>
  <c r="AP134" i="118"/>
  <c r="AA82" i="118"/>
  <c r="K25" i="43"/>
  <c r="J30" i="43"/>
  <c r="K71" i="127"/>
  <c r="M98" i="132" l="1"/>
  <c r="K99" i="132"/>
  <c r="G45" i="43"/>
  <c r="G48" i="43" s="1"/>
  <c r="J41" i="43"/>
  <c r="K41" i="43" s="1"/>
  <c r="I30" i="43"/>
  <c r="I41" i="43"/>
  <c r="N45" i="43" s="1"/>
  <c r="AG91" i="118"/>
  <c r="AI91" i="118"/>
  <c r="AA90" i="118"/>
  <c r="AP90" i="118" s="1"/>
  <c r="AQ91" i="118"/>
  <c r="S96" i="118"/>
  <c r="Y96" i="118" s="1"/>
  <c r="Y90" i="118"/>
  <c r="AG82" i="118"/>
  <c r="AI82" i="118"/>
  <c r="H48" i="43"/>
  <c r="G51" i="43"/>
  <c r="G52" i="43" s="1"/>
  <c r="I45" i="43"/>
  <c r="J34" i="43"/>
  <c r="K30" i="43"/>
  <c r="M99" i="132" l="1"/>
  <c r="K100" i="132"/>
  <c r="M100" i="132" s="1"/>
  <c r="J45" i="43"/>
  <c r="K45" i="43" s="1"/>
  <c r="F51" i="43"/>
  <c r="F52" i="43" s="1"/>
  <c r="N41" i="43"/>
  <c r="AG90" i="118"/>
  <c r="AA96" i="118"/>
  <c r="AN91" i="118"/>
  <c r="AI90" i="118"/>
  <c r="AN90" i="118" s="1"/>
  <c r="J48" i="43" l="1"/>
  <c r="J103" i="132"/>
  <c r="AG96" i="118"/>
  <c r="AI96" i="118"/>
  <c r="AN96" i="1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3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400-000001000000}">
      <text>
        <r>
          <rPr>
            <b/>
            <sz val="9"/>
            <color indexed="81"/>
            <rFont val="Tahoma"/>
            <family val="2"/>
          </rPr>
          <t>JOHN EDISON:</t>
        </r>
        <r>
          <rPr>
            <sz val="9"/>
            <color indexed="81"/>
            <rFont val="Tahoma"/>
            <family val="2"/>
          </rPr>
          <t xml:space="preserve">
MAYORES METRADOS
</t>
        </r>
      </text>
    </comment>
    <comment ref="J13" authorId="0" shapeId="0" xr:uid="{00000000-0006-0000-04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500-000001000000}">
      <text>
        <r>
          <rPr>
            <b/>
            <sz val="9"/>
            <color indexed="81"/>
            <rFont val="Tahoma"/>
            <family val="2"/>
          </rPr>
          <t>JOHN EDISON:</t>
        </r>
        <r>
          <rPr>
            <sz val="9"/>
            <color indexed="81"/>
            <rFont val="Tahoma"/>
            <family val="2"/>
          </rPr>
          <t xml:space="preserve">
ojo con almacen</t>
        </r>
      </text>
    </comment>
    <comment ref="S13" authorId="1" shapeId="0" xr:uid="{00000000-0006-0000-0500-000002000000}">
      <text>
        <r>
          <rPr>
            <b/>
            <sz val="9"/>
            <color indexed="81"/>
            <rFont val="Tahoma"/>
            <family val="2"/>
          </rPr>
          <t>ADDERLY:</t>
        </r>
        <r>
          <rPr>
            <sz val="9"/>
            <color indexed="81"/>
            <rFont val="Tahoma"/>
            <family val="2"/>
          </rPr>
          <t xml:space="preserve">
HORMIGON 14 M3
</t>
        </r>
      </text>
    </comment>
    <comment ref="D17" authorId="0" shapeId="0" xr:uid="{00000000-0006-0000-05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5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5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5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5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5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5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5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5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1" authorId="0" shapeId="0" xr:uid="{00000000-0006-0000-07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JOHN EDISON</author>
    <author>Full name</author>
  </authors>
  <commentList>
    <comment ref="AB92" authorId="0" shapeId="0" xr:uid="{00000000-0006-0000-1D00-000001000000}">
      <text>
        <r>
          <rPr>
            <b/>
            <sz val="9"/>
            <color indexed="81"/>
            <rFont val="Tahoma"/>
            <family val="2"/>
          </rPr>
          <t>EJECUTAR MES DE NOVIEMBRE</t>
        </r>
      </text>
    </comment>
    <comment ref="Z224" authorId="1" shapeId="0" xr:uid="{00000000-0006-0000-1D00-000002000000}">
      <text>
        <r>
          <rPr>
            <b/>
            <sz val="9"/>
            <color indexed="81"/>
            <rFont val="Tahoma"/>
            <family val="2"/>
          </rPr>
          <t>Full name:</t>
        </r>
        <r>
          <rPr>
            <sz val="9"/>
            <color indexed="81"/>
            <rFont val="Tahoma"/>
            <family val="2"/>
          </rPr>
          <t xml:space="preserve">
mayor metrado en 15m3
</t>
        </r>
      </text>
    </comment>
    <comment ref="Z225" authorId="1" shapeId="0" xr:uid="{00000000-0006-0000-1D00-000003000000}">
      <text>
        <r>
          <rPr>
            <b/>
            <sz val="9"/>
            <color indexed="81"/>
            <rFont val="Tahoma"/>
            <family val="2"/>
          </rPr>
          <t>Full name:</t>
        </r>
        <r>
          <rPr>
            <sz val="9"/>
            <color indexed="81"/>
            <rFont val="Tahoma"/>
            <family val="2"/>
          </rPr>
          <t xml:space="preserve">
mayor metrado en 32.70m2
</t>
        </r>
      </text>
    </comment>
    <comment ref="Z226" authorId="1" shapeId="0" xr:uid="{00000000-0006-0000-1D00-000004000000}">
      <text>
        <r>
          <rPr>
            <b/>
            <sz val="9"/>
            <color indexed="81"/>
            <rFont val="Tahoma"/>
            <family val="2"/>
          </rPr>
          <t>Full name:</t>
        </r>
        <r>
          <rPr>
            <sz val="9"/>
            <color indexed="81"/>
            <rFont val="Tahoma"/>
            <family val="2"/>
          </rPr>
          <t xml:space="preserve">
mayor metrado en 57.07 kg </t>
        </r>
      </text>
    </comment>
    <comment ref="Z284" authorId="1" shapeId="0" xr:uid="{00000000-0006-0000-1D00-000005000000}">
      <text>
        <r>
          <rPr>
            <b/>
            <sz val="9"/>
            <color indexed="81"/>
            <rFont val="Tahoma"/>
            <family val="2"/>
          </rPr>
          <t>Full name:</t>
        </r>
        <r>
          <rPr>
            <sz val="9"/>
            <color indexed="81"/>
            <rFont val="Tahoma"/>
            <family val="2"/>
          </rPr>
          <t xml:space="preserve">
mayor metrado en 28.46</t>
        </r>
      </text>
    </comment>
    <comment ref="Z292" authorId="1" shapeId="0" xr:uid="{00000000-0006-0000-1D00-000006000000}">
      <text>
        <r>
          <rPr>
            <b/>
            <sz val="9"/>
            <color indexed="81"/>
            <rFont val="Tahoma"/>
            <family val="2"/>
          </rPr>
          <t>Full name:</t>
        </r>
        <r>
          <rPr>
            <sz val="9"/>
            <color indexed="81"/>
            <rFont val="Tahoma"/>
            <family val="2"/>
          </rPr>
          <t xml:space="preserve">
mayor metrado 286 m2</t>
        </r>
      </text>
    </comment>
    <comment ref="AB304" authorId="0" shapeId="0" xr:uid="{00000000-0006-0000-1D00-000007000000}">
      <text>
        <r>
          <rPr>
            <b/>
            <sz val="9"/>
            <color indexed="81"/>
            <rFont val="Tahoma"/>
            <family val="2"/>
          </rPr>
          <t xml:space="preserve">VERIFICAR SALDO </t>
        </r>
      </text>
    </comment>
    <comment ref="AB348" authorId="0" shapeId="0" xr:uid="{00000000-0006-0000-1D00-000008000000}">
      <text>
        <r>
          <rPr>
            <b/>
            <sz val="9"/>
            <color indexed="81"/>
            <rFont val="Tahoma"/>
            <family val="2"/>
          </rPr>
          <t>MES DE NOVIEMBRE</t>
        </r>
      </text>
    </comment>
    <comment ref="AB349" authorId="0" shapeId="0" xr:uid="{00000000-0006-0000-1D00-000009000000}">
      <text>
        <r>
          <rPr>
            <b/>
            <sz val="9"/>
            <color indexed="81"/>
            <rFont val="Tahoma"/>
            <family val="2"/>
          </rPr>
          <t>JOHN EDISON:</t>
        </r>
        <r>
          <rPr>
            <sz val="9"/>
            <color indexed="81"/>
            <rFont val="Tahoma"/>
            <family val="2"/>
          </rPr>
          <t xml:space="preserve">
NOVIEMBRE
</t>
        </r>
      </text>
    </comment>
    <comment ref="Z480" authorId="1" shapeId="0" xr:uid="{00000000-0006-0000-1D00-00000A000000}">
      <text>
        <r>
          <rPr>
            <b/>
            <sz val="9"/>
            <color indexed="81"/>
            <rFont val="Tahoma"/>
            <family val="2"/>
          </rPr>
          <t>Full name:</t>
        </r>
        <r>
          <rPr>
            <sz val="9"/>
            <color indexed="81"/>
            <rFont val="Tahoma"/>
            <family val="2"/>
          </rPr>
          <t xml:space="preserve">
mayor metrado 18.30 ml</t>
        </r>
      </text>
    </comment>
    <comment ref="Z492" authorId="1" shapeId="0" xr:uid="{00000000-0006-0000-1D00-00000B000000}">
      <text>
        <r>
          <rPr>
            <b/>
            <sz val="9"/>
            <color indexed="81"/>
            <rFont val="Tahoma"/>
            <family val="2"/>
          </rPr>
          <t>Full name:</t>
        </r>
        <r>
          <rPr>
            <sz val="9"/>
            <color indexed="81"/>
            <rFont val="Tahoma"/>
            <family val="2"/>
          </rPr>
          <t xml:space="preserve">
mayor metrado en 54 unid</t>
        </r>
      </text>
    </comment>
    <comment ref="Z514" authorId="1" shapeId="0" xr:uid="{00000000-0006-0000-1D00-00000C000000}">
      <text>
        <r>
          <rPr>
            <b/>
            <sz val="9"/>
            <color indexed="81"/>
            <rFont val="Tahoma"/>
            <family val="2"/>
          </rPr>
          <t>Full name:</t>
        </r>
        <r>
          <rPr>
            <sz val="9"/>
            <color indexed="81"/>
            <rFont val="Tahoma"/>
            <family val="2"/>
          </rPr>
          <t xml:space="preserve">
mayor metrado en 5 unid</t>
        </r>
      </text>
    </comment>
    <comment ref="Z570" authorId="1" shapeId="0" xr:uid="{00000000-0006-0000-1D00-00000D000000}">
      <text>
        <r>
          <rPr>
            <b/>
            <sz val="9"/>
            <color indexed="81"/>
            <rFont val="Tahoma"/>
            <family val="2"/>
          </rPr>
          <t>Full name:</t>
        </r>
        <r>
          <rPr>
            <sz val="9"/>
            <color indexed="81"/>
            <rFont val="Tahoma"/>
            <family val="2"/>
          </rPr>
          <t xml:space="preserve">
mayor metrado en 8.45 m
</t>
        </r>
      </text>
    </comment>
    <comment ref="Z571" authorId="1" shapeId="0" xr:uid="{00000000-0006-0000-1D00-00000E000000}">
      <text>
        <r>
          <rPr>
            <b/>
            <sz val="9"/>
            <color indexed="81"/>
            <rFont val="Tahoma"/>
            <family val="2"/>
          </rPr>
          <t>Full name:</t>
        </r>
        <r>
          <rPr>
            <sz val="9"/>
            <color indexed="81"/>
            <rFont val="Tahoma"/>
            <family val="2"/>
          </rPr>
          <t xml:space="preserve">
mayor metrado en 1.25 m</t>
        </r>
      </text>
    </comment>
  </commentList>
</comments>
</file>

<file path=xl/sharedStrings.xml><?xml version="1.0" encoding="utf-8"?>
<sst xmlns="http://schemas.openxmlformats.org/spreadsheetml/2006/main" count="24278" uniqueCount="4419">
  <si>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</si>
  <si>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</si>
  <si>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</si>
  <si>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</si>
  <si>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</si>
  <si>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</si>
  <si>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</si>
  <si>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</si>
  <si>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</si>
  <si>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</si>
  <si>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</si>
  <si>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</si>
  <si>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</si>
  <si>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</si>
  <si>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</si>
  <si>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</si>
  <si>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</si>
  <si>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</si>
  <si>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</si>
  <si>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</si>
  <si>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</si>
  <si>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</si>
  <si>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</si>
  <si>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</si>
  <si>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</si>
  <si>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</si>
  <si>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</si>
  <si>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</si>
  <si>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</si>
  <si>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</si>
  <si>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</si>
  <si>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</si>
  <si>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</si>
  <si>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</si>
  <si>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</si>
  <si>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</si>
  <si>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</si>
  <si>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</si>
  <si>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</si>
  <si>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</si>
  <si>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</si>
  <si>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</si>
  <si>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</si>
  <si>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</si>
  <si>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</si>
  <si>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</si>
  <si>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</si>
  <si>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</si>
  <si>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</si>
  <si>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</si>
  <si>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</si>
  <si>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</si>
  <si>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</si>
  <si>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</si>
  <si>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</si>
  <si>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</si>
  <si>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</si>
  <si>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</si>
  <si>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</si>
  <si>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</si>
  <si>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</si>
  <si>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</si>
  <si>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</si>
  <si>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</si>
  <si>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</si>
  <si>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</si>
  <si>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</si>
  <si>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</si>
  <si>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</si>
  <si>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</si>
  <si>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</si>
  <si>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</si>
  <si>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</si>
  <si>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</si>
  <si>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</si>
  <si>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</si>
  <si>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</si>
  <si>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</si>
  <si>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</si>
  <si>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</si>
  <si>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</si>
  <si>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</si>
  <si>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</si>
  <si>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</si>
  <si>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</si>
  <si>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</si>
  <si>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</si>
  <si>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</si>
  <si>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</si>
  <si>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</si>
  <si>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</si>
  <si>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</si>
  <si>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</si>
  <si>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</si>
  <si>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</si>
  <si>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</si>
  <si>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</si>
  <si>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</si>
  <si>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</si>
  <si>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</si>
  <si>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</si>
  <si>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</si>
  <si>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</si>
  <si>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</si>
  <si>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</si>
  <si>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</si>
  <si>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</si>
  <si>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</si>
  <si>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</si>
  <si>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</si>
  <si>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</si>
  <si>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</si>
  <si>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</si>
  <si>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</si>
  <si>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</si>
  <si>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</si>
  <si>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</si>
  <si>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</si>
  <si>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</si>
  <si>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</si>
  <si>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</si>
  <si>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</si>
  <si>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</si>
  <si>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</si>
  <si>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</si>
  <si>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</si>
  <si>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</si>
  <si>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</si>
  <si>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</si>
  <si>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</si>
  <si>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</si>
  <si>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</si>
  <si>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</si>
  <si>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</si>
  <si>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</si>
  <si>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</si>
  <si>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</si>
  <si>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</si>
  <si>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</si>
  <si>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</si>
  <si>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</si>
  <si>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</si>
  <si>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</si>
  <si>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</si>
  <si>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</si>
  <si>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</si>
  <si>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</si>
  <si>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</si>
  <si>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</si>
  <si>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</si>
  <si>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</si>
  <si>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</si>
  <si>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</si>
  <si>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</si>
  <si>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</si>
  <si>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</si>
  <si>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</si>
  <si>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</si>
  <si>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</si>
  <si>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</si>
  <si>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</si>
  <si>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</si>
  <si>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</si>
  <si>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</si>
  <si>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</si>
  <si>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</si>
  <si>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</si>
  <si>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</si>
  <si>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</si>
  <si>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</si>
  <si>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</si>
  <si>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</si>
  <si>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</si>
  <si>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</si>
  <si>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</si>
  <si>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</si>
  <si>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</si>
  <si>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</si>
  <si>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</si>
  <si>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</si>
  <si>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</si>
  <si>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</si>
  <si>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</si>
  <si>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</si>
  <si>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</si>
  <si>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</si>
  <si>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</si>
  <si>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</si>
  <si>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</si>
  <si>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</si>
  <si>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</si>
  <si>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</si>
  <si>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</si>
  <si>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</si>
  <si>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</si>
  <si>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</si>
  <si>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</si>
  <si>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</si>
  <si>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</si>
  <si>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</si>
  <si>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</si>
  <si>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</si>
  <si>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</si>
  <si>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</si>
  <si>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</si>
  <si>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</si>
  <si>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</si>
  <si>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</si>
  <si>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</si>
  <si>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</si>
  <si>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</si>
  <si>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</si>
  <si>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</si>
  <si>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</si>
  <si>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</si>
  <si>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</si>
  <si>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</si>
  <si>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</si>
  <si>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</si>
  <si>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</si>
  <si>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</si>
  <si>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</si>
  <si>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</si>
  <si>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</si>
  <si>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</si>
  <si>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</si>
  <si>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</si>
  <si>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</si>
  <si>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</si>
  <si>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</si>
  <si>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</si>
  <si>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</si>
  <si>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</si>
  <si>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</si>
  <si>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</si>
  <si>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</si>
  <si>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</si>
  <si>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</si>
  <si>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</si>
  <si>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</si>
  <si>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</si>
  <si>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</si>
  <si>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</si>
  <si>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</si>
  <si>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</si>
  <si>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</si>
  <si>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</si>
  <si>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</si>
  <si>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</si>
  <si>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</si>
  <si>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</si>
  <si>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</si>
  <si>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</si>
  <si>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</si>
  <si>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</si>
  <si>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</si>
  <si>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</si>
  <si>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</si>
  <si>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</si>
  <si>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</si>
  <si>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</si>
  <si>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</si>
  <si>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</si>
  <si>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</si>
  <si>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</si>
  <si>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</si>
  <si>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</si>
  <si>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</si>
  <si>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</si>
  <si>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</si>
  <si>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</si>
  <si>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</si>
  <si>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</si>
  <si>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</si>
  <si>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</si>
  <si>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</si>
  <si>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</si>
  <si>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</si>
  <si>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</si>
  <si>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</si>
  <si>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</si>
  <si>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</si>
  <si>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</si>
  <si>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</si>
  <si>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</si>
  <si>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</si>
  <si>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</si>
  <si>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</si>
  <si>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</si>
  <si>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</si>
  <si>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</si>
  <si>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</si>
  <si>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</si>
  <si>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</si>
  <si>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</si>
  <si>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</si>
  <si>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</si>
  <si>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</si>
  <si>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</si>
  <si>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</si>
  <si>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</si>
  <si>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</si>
  <si>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</si>
  <si>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</si>
  <si>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</si>
  <si>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</si>
  <si>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</si>
  <si>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</si>
  <si>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</si>
  <si>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</si>
  <si>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</si>
  <si>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</si>
  <si>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</si>
  <si>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</si>
  <si>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</si>
  <si>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</si>
  <si>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</si>
  <si>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</si>
  <si>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</si>
  <si>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</si>
  <si>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</si>
  <si>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</si>
  <si>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</si>
  <si>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</si>
  <si>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</si>
  <si>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</si>
  <si>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</si>
  <si>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</si>
  <si>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</si>
  <si>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</si>
  <si>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</si>
  <si>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</si>
  <si>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</si>
  <si>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</si>
  <si>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</si>
  <si>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</si>
  <si>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</si>
  <si>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</si>
  <si>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</si>
  <si>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</si>
  <si>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</si>
  <si>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</si>
  <si>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</si>
  <si>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</si>
  <si>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</si>
  <si>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</si>
  <si>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</si>
  <si>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</si>
  <si>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</si>
  <si>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</si>
  <si>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</si>
  <si>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</si>
  <si>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</si>
  <si>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</si>
  <si>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</si>
  <si>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</si>
  <si>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</si>
  <si>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</si>
  <si>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</si>
  <si>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</si>
  <si>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</si>
  <si>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</si>
  <si>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</si>
  <si>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</si>
  <si>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</si>
  <si>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</si>
  <si>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</si>
  <si>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</si>
  <si>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</si>
  <si>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</si>
  <si>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</si>
  <si>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</si>
  <si>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</si>
  <si>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</si>
  <si>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</si>
  <si>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</si>
  <si>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</si>
  <si>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</si>
  <si>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</si>
  <si>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</si>
  <si>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</si>
  <si>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</si>
  <si>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</si>
  <si>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</si>
  <si>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</si>
  <si>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</si>
  <si>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</si>
  <si>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</si>
  <si>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</si>
  <si>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</si>
  <si>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</si>
  <si>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</si>
  <si>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</si>
  <si>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</si>
  <si>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</si>
  <si>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</si>
  <si>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</si>
  <si>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</si>
  <si>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</si>
  <si>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</si>
  <si>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</si>
  <si>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</si>
  <si>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</si>
  <si>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</si>
  <si>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</si>
  <si>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</si>
  <si>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</si>
  <si>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</si>
  <si>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</si>
  <si>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</si>
  <si>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</si>
  <si>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</si>
  <si>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</si>
  <si>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</si>
  <si>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</si>
  <si>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</si>
  <si>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</si>
  <si>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</si>
  <si>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</si>
  <si>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</si>
  <si>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</si>
  <si>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</si>
  <si>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</si>
  <si>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</si>
  <si>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</si>
  <si>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</si>
  <si>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</si>
  <si>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</si>
  <si>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</si>
  <si>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</si>
  <si>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</si>
  <si>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</si>
  <si>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</si>
  <si>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</si>
  <si>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</si>
  <si>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</si>
  <si>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</si>
  <si>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</si>
  <si>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</si>
  <si>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</si>
  <si>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</si>
  <si>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</si>
  <si>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</si>
  <si>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</si>
  <si>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</si>
  <si>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</si>
  <si>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</si>
  <si>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</si>
  <si>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</si>
  <si>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</si>
  <si>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</si>
  <si>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</si>
  <si>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</si>
  <si>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</si>
  <si>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</si>
  <si>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</si>
  <si>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</si>
  <si>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</si>
  <si>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</si>
  <si>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</si>
  <si>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</si>
  <si>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</si>
  <si>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</si>
  <si>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</si>
  <si>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</si>
  <si>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</si>
  <si>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</si>
  <si>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</si>
  <si>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</si>
  <si>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</si>
  <si>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</si>
  <si>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</si>
  <si>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</si>
  <si>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</si>
  <si>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</si>
  <si>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</si>
  <si>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</si>
  <si>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</si>
  <si>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</si>
  <si>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</si>
  <si>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</si>
  <si>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</si>
  <si>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</si>
  <si>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</si>
  <si>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</si>
  <si>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</si>
  <si>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</si>
  <si>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</si>
  <si>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</si>
  <si>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</si>
  <si>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</si>
  <si>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</si>
  <si>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</si>
  <si>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</si>
  <si>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</si>
  <si>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</si>
  <si>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</si>
  <si>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</si>
  <si>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</si>
  <si>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</si>
  <si>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</si>
  <si>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</si>
  <si>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</si>
  <si>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</si>
  <si>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</si>
  <si>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</si>
  <si>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</si>
  <si>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</si>
  <si>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</si>
  <si>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</si>
  <si>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</si>
  <si>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</si>
  <si>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</si>
  <si>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</si>
  <si>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</si>
  <si>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</si>
  <si>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</si>
  <si>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</si>
  <si>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</si>
  <si>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</si>
  <si>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</si>
  <si>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</si>
  <si>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</si>
  <si>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</si>
  <si>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</si>
  <si>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</si>
  <si>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</si>
  <si>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</si>
  <si>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</si>
  <si>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</si>
  <si>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</si>
  <si>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</si>
  <si>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</si>
  <si>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</si>
  <si>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</si>
  <si>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</si>
  <si>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</si>
  <si>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</si>
  <si>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</si>
  <si>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</si>
  <si>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</si>
  <si>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</si>
  <si>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</si>
  <si>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</si>
  <si>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</si>
  <si>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</si>
  <si>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</si>
  <si>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</si>
  <si>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</si>
  <si>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</si>
  <si>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</si>
  <si>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</si>
  <si>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</si>
  <si>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</si>
  <si>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</si>
  <si>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</si>
  <si>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</si>
  <si>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</si>
  <si>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</si>
  <si>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</si>
  <si>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</si>
  <si>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</si>
  <si>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</si>
  <si>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</si>
  <si>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</si>
  <si>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</si>
  <si>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</si>
  <si>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</si>
  <si>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</si>
  <si>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</si>
  <si>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</si>
  <si>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</si>
  <si>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</si>
  <si>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</si>
  <si>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</si>
  <si>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</si>
  <si>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</si>
  <si>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</si>
  <si>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</si>
  <si>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</si>
  <si>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</si>
  <si>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</si>
  <si>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</si>
  <si>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</si>
  <si>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</si>
  <si>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</si>
  <si>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</si>
  <si>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</si>
  <si>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</si>
  <si>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</si>
  <si>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</si>
  <si>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</si>
  <si>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</si>
  <si>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</si>
  <si>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</si>
  <si>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</si>
  <si>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</si>
  <si>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</si>
  <si>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</si>
  <si>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</si>
  <si>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</si>
  <si>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</si>
  <si>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</si>
  <si>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</si>
  <si>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</si>
  <si>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</si>
  <si>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</si>
  <si>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</si>
  <si>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</si>
  <si>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</si>
  <si>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</si>
  <si>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</si>
  <si>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</si>
  <si>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</si>
  <si>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</si>
  <si>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</si>
  <si>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</si>
  <si>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</si>
  <si>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</si>
  <si>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</si>
  <si>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</si>
  <si>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</si>
  <si>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</si>
  <si>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</si>
  <si>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</si>
  <si>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</si>
  <si>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</si>
  <si>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</si>
  <si>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</si>
  <si>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</si>
  <si>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</si>
  <si>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</si>
  <si>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</si>
  <si>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</si>
  <si>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</si>
  <si>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</si>
  <si>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</si>
  <si>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</si>
  <si>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</si>
  <si>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</si>
  <si>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</si>
  <si>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</si>
  <si>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</si>
  <si>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</si>
  <si>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</si>
  <si>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</si>
  <si>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</si>
  <si>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</si>
  <si>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</si>
  <si>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</si>
  <si>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</si>
  <si>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</si>
  <si>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</si>
  <si>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</si>
  <si>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</si>
  <si>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</si>
  <si>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</si>
  <si>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</si>
  <si>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</si>
  <si>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</si>
  <si>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</si>
  <si>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</si>
  <si>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</si>
  <si>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</si>
  <si>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</si>
  <si>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</si>
  <si>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</si>
  <si>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</si>
  <si>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</si>
  <si>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</si>
  <si>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</si>
  <si>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</si>
  <si>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</si>
  <si>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</si>
  <si>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</si>
  <si>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</si>
  <si>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</si>
  <si>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</si>
  <si>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</si>
  <si>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</si>
  <si>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</si>
  <si>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</si>
  <si>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</si>
  <si>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</si>
  <si>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</si>
  <si>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</si>
  <si>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</si>
  <si>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</si>
  <si>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</si>
  <si>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</si>
  <si>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</si>
  <si>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</si>
  <si>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</si>
  <si>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</si>
  <si>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</si>
  <si>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</si>
  <si>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</si>
  <si>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</si>
  <si>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</si>
  <si>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</si>
  <si>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</si>
  <si>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</si>
  <si>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</si>
  <si>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</si>
  <si>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</si>
  <si>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</si>
  <si>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</si>
  <si>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</si>
  <si>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</si>
  <si>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</si>
  <si>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</si>
  <si>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</si>
  <si>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</si>
  <si>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</si>
  <si>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</si>
  <si>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</si>
  <si>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</si>
  <si>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</si>
  <si>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</si>
  <si>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</si>
  <si>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</si>
  <si>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</si>
  <si>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</si>
  <si>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</si>
  <si>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</si>
  <si>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</si>
  <si>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</si>
  <si>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</si>
  <si>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</si>
  <si>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</si>
  <si>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</si>
  <si>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</si>
  <si>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</si>
  <si>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</si>
  <si>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</si>
  <si>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</si>
  <si>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</si>
  <si>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</si>
  <si>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</si>
  <si>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</si>
  <si>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</si>
  <si>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</si>
  <si>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</si>
  <si>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</si>
  <si>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</si>
  <si>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</si>
  <si>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</si>
  <si>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</si>
  <si>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</si>
  <si>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</si>
  <si>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</si>
  <si>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</si>
  <si>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</si>
  <si>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</si>
  <si>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</si>
  <si>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</si>
  <si>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</si>
  <si>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</si>
  <si>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</si>
  <si>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</si>
  <si>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</si>
  <si>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</si>
  <si>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</si>
  <si>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</si>
  <si>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</si>
  <si>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</si>
  <si>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</si>
  <si>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</si>
  <si>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</si>
  <si>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</si>
  <si>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</si>
  <si>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</si>
  <si>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</si>
  <si>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</si>
  <si>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</si>
  <si>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</si>
  <si>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</si>
  <si>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</si>
  <si>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</si>
  <si>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</si>
  <si>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</si>
  <si>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</si>
  <si>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</si>
  <si>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</si>
  <si>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</si>
  <si>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</si>
  <si>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</si>
  <si>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</si>
  <si>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</si>
  <si>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</si>
  <si>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</si>
  <si>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</si>
  <si>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</si>
  <si>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</si>
  <si>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</si>
  <si>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</si>
  <si>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</si>
  <si>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</si>
  <si>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</si>
  <si>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</si>
  <si>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</si>
  <si>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</si>
  <si>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</si>
  <si>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</si>
  <si>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</si>
  <si>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</si>
  <si>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</si>
  <si>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</si>
  <si>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</si>
  <si>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</si>
  <si>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</si>
  <si>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</si>
  <si>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</si>
  <si>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</si>
  <si>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</si>
  <si>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</si>
  <si>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</si>
  <si>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</si>
  <si>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</si>
  <si>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</si>
  <si>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</si>
  <si>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</si>
  <si>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</si>
  <si>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</si>
  <si>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</si>
  <si>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</si>
  <si>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</si>
  <si>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</si>
  <si>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</si>
  <si>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</si>
  <si>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</si>
  <si>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</si>
  <si>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</si>
  <si>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</si>
  <si>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</si>
  <si>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</si>
  <si>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</si>
  <si>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</si>
  <si>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</si>
  <si>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</si>
  <si>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</si>
  <si>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</si>
  <si>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</si>
  <si>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</si>
  <si>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</si>
  <si>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</si>
  <si>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</si>
  <si>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</si>
  <si>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</si>
  <si>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</si>
  <si>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</si>
  <si>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</si>
  <si>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</si>
  <si>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</si>
  <si>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</si>
  <si>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</si>
  <si>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</si>
  <si>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</si>
  <si>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</si>
  <si>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</si>
  <si>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</si>
  <si>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</si>
  <si>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</si>
  <si>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</si>
  <si>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</si>
  <si>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</si>
  <si>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</si>
  <si>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</si>
  <si>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</si>
  <si>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</si>
  <si>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</si>
  <si>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</si>
  <si>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</si>
  <si>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</si>
  <si>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</si>
  <si>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</si>
  <si>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</si>
  <si>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</si>
  <si>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</si>
  <si>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</si>
  <si>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</si>
  <si>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</si>
  <si>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</si>
  <si>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</si>
  <si>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</si>
  <si>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</si>
  <si>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</si>
  <si>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</si>
  <si>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</si>
  <si>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</si>
  <si>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</si>
  <si>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</si>
  <si>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</si>
  <si>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</si>
  <si>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</si>
  <si>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</si>
  <si>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</si>
  <si>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</si>
  <si>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</si>
  <si>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</si>
  <si>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</si>
  <si>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</si>
  <si>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</si>
  <si>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</si>
  <si>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</si>
  <si>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</si>
  <si>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</si>
  <si>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</si>
  <si>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</si>
  <si>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</si>
  <si>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</si>
  <si>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</si>
  <si>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</si>
  <si>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</si>
  <si>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</si>
  <si>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</si>
  <si>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</si>
  <si>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</si>
  <si>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</si>
  <si>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</si>
  <si>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</si>
  <si>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</si>
  <si>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</si>
  <si>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</si>
  <si>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</si>
  <si>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</si>
  <si>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</si>
  <si>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</si>
  <si>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</si>
  <si>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</si>
  <si>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</si>
  <si>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</si>
  <si>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</si>
  <si>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</si>
  <si>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</si>
  <si>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</si>
  <si>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</si>
  <si>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</si>
  <si>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</si>
  <si>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</si>
  <si>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</si>
  <si>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</si>
  <si>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</si>
  <si>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</si>
  <si>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</si>
  <si>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</si>
  <si>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</si>
  <si>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</si>
  <si>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</si>
  <si>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</si>
  <si>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</si>
  <si>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</si>
  <si>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</si>
  <si>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</si>
  <si>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</si>
  <si>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</si>
  <si>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</si>
  <si>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</si>
  <si>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</si>
  <si>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</si>
  <si>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</si>
  <si>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</si>
  <si>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</si>
  <si>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</si>
  <si>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</si>
  <si>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</si>
  <si>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</si>
  <si>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</si>
  <si>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</si>
  <si>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</si>
  <si>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</si>
  <si>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</si>
  <si>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</si>
  <si>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</si>
  <si>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</si>
  <si>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</si>
  <si>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</si>
  <si>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</si>
  <si>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</si>
  <si>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</si>
  <si>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</si>
  <si>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</si>
  <si>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</si>
  <si>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</si>
  <si>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</si>
  <si>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</si>
  <si>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</si>
  <si>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</si>
  <si>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</si>
  <si>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</si>
  <si>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</si>
  <si>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</si>
  <si>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</si>
  <si>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</si>
  <si>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</si>
  <si>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</si>
  <si>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</si>
  <si>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</si>
  <si>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</si>
  <si>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</si>
  <si>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</si>
  <si>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</si>
  <si>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</si>
  <si>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</si>
  <si>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</si>
  <si>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</si>
  <si>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</si>
  <si>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</si>
  <si>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</si>
  <si>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</si>
  <si>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</si>
  <si>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</si>
  <si>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</si>
  <si>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</si>
  <si>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</si>
  <si>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</si>
  <si>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</si>
  <si>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</si>
  <si>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</si>
  <si>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</si>
  <si>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</si>
  <si>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</si>
  <si>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</si>
  <si>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</si>
  <si>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</si>
  <si>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</si>
  <si>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</si>
  <si>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</si>
  <si>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</si>
  <si>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</si>
  <si>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</si>
  <si>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</si>
  <si>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</si>
  <si>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</si>
  <si>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</si>
  <si>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</si>
  <si>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</si>
  <si>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</si>
  <si>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</si>
  <si>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</si>
  <si>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</si>
  <si>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</si>
  <si>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</si>
  <si>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</si>
  <si>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</si>
  <si>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</si>
  <si>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</si>
  <si>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</si>
  <si>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</si>
  <si>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</si>
  <si>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</si>
  <si>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</si>
  <si>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</si>
  <si>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</si>
  <si>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</si>
  <si>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</si>
  <si>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</si>
  <si>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</si>
  <si>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</si>
  <si>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</si>
  <si>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</si>
  <si>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</si>
  <si>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</si>
  <si>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</si>
  <si>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</si>
  <si>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</si>
  <si>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</si>
  <si>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</si>
  <si>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</si>
  <si>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</si>
  <si>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</si>
  <si>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</si>
  <si>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</si>
  <si>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</si>
  <si>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</si>
  <si>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</si>
  <si>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</si>
  <si>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</si>
  <si>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</si>
  <si>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</si>
  <si>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</si>
  <si>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</si>
  <si>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</si>
  <si>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</si>
  <si>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</si>
  <si>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</si>
  <si>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</si>
  <si>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</si>
  <si>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</si>
  <si>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</si>
  <si>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</si>
  <si>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</si>
  <si>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</si>
  <si>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</si>
  <si>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</si>
  <si>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</si>
  <si>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</si>
  <si>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</si>
  <si>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</si>
  <si>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</si>
  <si>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</si>
  <si>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</si>
  <si>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</si>
  <si>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</si>
  <si>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</si>
  <si>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</si>
  <si>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</si>
  <si>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</si>
  <si>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</si>
  <si>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</si>
  <si>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</si>
  <si>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</si>
  <si>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</si>
  <si>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</si>
  <si>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</si>
  <si>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</si>
  <si>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</si>
  <si>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</si>
  <si>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</si>
  <si>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</si>
  <si>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</si>
  <si>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</si>
  <si>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</si>
  <si>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</si>
  <si>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</si>
  <si>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</si>
  <si>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</si>
  <si>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</si>
  <si>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</si>
  <si>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</si>
  <si>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</si>
  <si>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</si>
  <si>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</si>
  <si>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</si>
  <si>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</si>
  <si>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</si>
  <si>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</si>
  <si>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</si>
  <si>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</si>
  <si>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</si>
  <si>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</si>
  <si>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</si>
  <si>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</si>
  <si>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</si>
  <si>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</si>
  <si>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</si>
  <si>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</si>
  <si>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</si>
  <si>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</si>
  <si>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</si>
  <si>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</si>
  <si>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</si>
  <si>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</si>
  <si>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</si>
  <si>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</si>
  <si>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</si>
  <si>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</si>
  <si>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</si>
  <si>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</si>
  <si>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</si>
  <si>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</si>
  <si>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</si>
  <si>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</si>
  <si>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</si>
  <si>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</si>
  <si>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</si>
  <si>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</si>
  <si>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</si>
  <si>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</si>
  <si>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</si>
  <si>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</si>
  <si>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</si>
  <si>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</si>
  <si>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</si>
  <si>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</si>
  <si>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</si>
  <si>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</si>
  <si>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</si>
  <si>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</si>
  <si>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</si>
  <si>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</si>
  <si>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</si>
  <si>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</si>
  <si>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</si>
  <si>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</si>
  <si>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</si>
  <si>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</si>
  <si>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</si>
  <si>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</si>
  <si>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</si>
  <si>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</si>
  <si>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</si>
  <si>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</si>
  <si>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</si>
  <si>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</si>
  <si>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</si>
  <si>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</si>
  <si>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</si>
  <si>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</si>
  <si>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</si>
  <si>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</si>
  <si>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</si>
  <si>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</si>
  <si>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</si>
  <si>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</si>
  <si>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</si>
  <si>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</si>
  <si>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</si>
  <si>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</si>
  <si>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</si>
  <si>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</si>
  <si>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</si>
  <si>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</si>
  <si>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</si>
  <si>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</si>
  <si>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</si>
  <si>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</si>
  <si>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</si>
  <si>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</si>
  <si>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</si>
  <si>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</si>
  <si>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</si>
  <si>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</si>
  <si>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</si>
  <si>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</si>
  <si>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</si>
  <si>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</si>
  <si>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</si>
  <si>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</si>
  <si>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</si>
  <si>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</si>
  <si>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</si>
  <si>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</si>
  <si>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</si>
  <si>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</si>
  <si>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</si>
  <si>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</si>
  <si>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</si>
  <si>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</si>
  <si>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</si>
  <si>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</si>
  <si>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</si>
  <si>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</si>
  <si>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</si>
  <si>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</si>
  <si>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</si>
  <si>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</si>
  <si>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</si>
  <si>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</si>
  <si>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</si>
  <si>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</si>
  <si>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</si>
  <si>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</si>
  <si>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</si>
  <si>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</si>
  <si>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</si>
  <si>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</si>
  <si>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</si>
  <si>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</si>
  <si>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</si>
  <si>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</si>
  <si>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</si>
  <si>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</si>
  <si>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</si>
  <si>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</si>
  <si>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</si>
  <si>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</si>
  <si>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</si>
  <si>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</si>
  <si>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</si>
  <si>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</si>
  <si>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</si>
  <si>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</si>
  <si>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</si>
  <si>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</si>
  <si>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</si>
  <si>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</si>
  <si>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</si>
  <si>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</si>
  <si>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</si>
  <si>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</si>
  <si>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</si>
  <si>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</si>
  <si>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</si>
  <si>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</si>
  <si>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</si>
  <si>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</si>
  <si>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</si>
  <si>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</si>
  <si>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</si>
  <si>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</si>
  <si>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</si>
  <si>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</si>
  <si>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</si>
  <si>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</si>
  <si>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</si>
  <si>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</si>
  <si>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</si>
  <si>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</si>
  <si>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</si>
  <si>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</si>
  <si>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</si>
  <si>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</si>
  <si>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</si>
  <si>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</si>
  <si>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</si>
  <si>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</si>
  <si>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</si>
  <si>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</si>
  <si>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</si>
  <si>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</si>
  <si>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</si>
  <si>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</si>
  <si>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</si>
  <si>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</si>
  <si>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</si>
  <si>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</si>
  <si>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</si>
  <si>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</si>
  <si>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</si>
  <si>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</si>
  <si>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</si>
  <si>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</si>
  <si>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</si>
  <si>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</si>
  <si>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</si>
  <si>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</si>
  <si>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</si>
  <si>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</si>
  <si>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</si>
  <si>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</si>
  <si>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</si>
  <si>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</si>
  <si>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</si>
  <si>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</si>
  <si>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</si>
  <si>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</si>
  <si>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</si>
  <si>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</si>
  <si>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</si>
  <si>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</si>
  <si>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</si>
  <si>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</si>
  <si>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</si>
  <si>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</si>
  <si>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</si>
  <si>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</si>
  <si>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</si>
  <si>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</si>
  <si>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</si>
  <si>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</si>
  <si>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</si>
  <si>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</si>
  <si>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</si>
  <si>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</si>
  <si>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</si>
  <si>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</si>
  <si>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</si>
  <si>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</si>
  <si>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</si>
  <si>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</si>
  <si>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</si>
  <si>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</si>
  <si>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</si>
  <si>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</si>
  <si>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</si>
  <si>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</si>
  <si>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</si>
  <si>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</si>
  <si>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</si>
  <si>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</si>
  <si>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</si>
  <si>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</si>
  <si>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</si>
  <si>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</si>
  <si>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</si>
  <si>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</si>
  <si>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</si>
  <si>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</si>
  <si>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</si>
  <si>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</si>
  <si>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</si>
  <si>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</si>
  <si>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</si>
  <si>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</si>
  <si>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</si>
  <si>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</si>
  <si>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</si>
  <si>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</si>
  <si>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</si>
  <si>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</si>
  <si>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</si>
  <si>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</si>
  <si>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</si>
  <si>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</si>
  <si>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</si>
  <si>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</si>
  <si>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</si>
  <si>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</si>
  <si>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</si>
  <si>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</si>
  <si>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</si>
  <si>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</si>
  <si>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</si>
  <si>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</si>
  <si>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</si>
  <si>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</si>
  <si>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</si>
  <si>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</si>
  <si>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</si>
  <si>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</si>
  <si>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</si>
  <si>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</si>
  <si>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</si>
  <si>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</si>
  <si>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</si>
  <si>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</si>
  <si>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</si>
  <si>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</si>
  <si>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</si>
  <si>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</si>
  <si>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</si>
  <si>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</si>
  <si>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</si>
  <si>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</si>
  <si>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</si>
  <si>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</si>
  <si>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</si>
  <si>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</si>
  <si>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</si>
  <si>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</si>
  <si>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</si>
  <si>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</si>
  <si>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</si>
  <si>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</si>
  <si>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</si>
  <si>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</si>
  <si>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</si>
  <si>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</si>
  <si>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</si>
  <si>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</si>
  <si>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</si>
  <si>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</si>
  <si>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</si>
  <si>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</si>
  <si>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</si>
  <si>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</si>
  <si>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</si>
  <si>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</si>
  <si>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</si>
  <si>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</si>
  <si>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</si>
  <si>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</si>
  <si>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</si>
  <si>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</si>
  <si>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</si>
  <si>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</si>
  <si>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</si>
  <si>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</si>
  <si>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</si>
  <si>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</si>
  <si>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</si>
  <si>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</si>
  <si>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</si>
  <si>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</si>
  <si>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</si>
  <si>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</si>
  <si>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</si>
  <si>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</si>
  <si>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</si>
  <si>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</si>
  <si>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</si>
  <si>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</si>
  <si>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</si>
  <si>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</si>
  <si>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</si>
  <si>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</si>
  <si>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</si>
  <si>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</si>
  <si>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</si>
  <si>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</si>
  <si>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</si>
  <si>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</si>
  <si>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</si>
  <si>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</si>
  <si>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</si>
  <si>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</si>
  <si>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</si>
  <si>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</si>
  <si>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</si>
  <si>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</si>
  <si>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</si>
  <si>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</si>
  <si>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</si>
  <si>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</si>
  <si>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</si>
  <si>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</si>
  <si>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</si>
  <si>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</si>
  <si>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</si>
  <si>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</si>
  <si>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</si>
  <si>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</si>
  <si>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</si>
  <si>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</si>
  <si>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</si>
  <si>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</si>
  <si>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</si>
  <si>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</si>
  <si>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</si>
  <si>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</si>
  <si>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</si>
  <si>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</si>
  <si>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</si>
  <si>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</si>
  <si>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</si>
  <si>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</si>
  <si>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</si>
  <si>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</si>
  <si>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</si>
  <si>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</si>
  <si>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</si>
  <si>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</si>
  <si>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</si>
  <si>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</si>
  <si>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</si>
  <si>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</si>
  <si>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</si>
  <si>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</si>
  <si>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</si>
  <si>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</si>
  <si>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</si>
  <si>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</si>
  <si>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</si>
  <si>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</si>
  <si>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</si>
  <si>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</si>
  <si>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</si>
  <si>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</si>
  <si>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</si>
  <si>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</si>
  <si>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</si>
  <si>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</si>
  <si>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</si>
  <si>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</si>
  <si>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</si>
  <si>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</si>
  <si>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</si>
  <si>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</si>
  <si>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</si>
  <si>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</si>
  <si>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</si>
  <si>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</si>
  <si>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</si>
  <si>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</si>
  <si>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</si>
  <si>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</si>
  <si>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</si>
  <si>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</si>
  <si>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</si>
  <si>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</si>
  <si>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</si>
  <si>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</si>
  <si>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</si>
  <si>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</si>
  <si>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</si>
  <si>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</si>
  <si>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</si>
  <si>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</si>
  <si>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</si>
  <si>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</si>
  <si>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</si>
  <si>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</si>
  <si>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</si>
  <si>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</si>
  <si>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</si>
  <si>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</si>
  <si>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</si>
  <si>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</si>
  <si>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</si>
  <si>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</si>
  <si>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</si>
  <si>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</si>
  <si>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</si>
  <si>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</si>
  <si>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</si>
  <si>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</si>
  <si>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</si>
  <si>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</si>
  <si>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</si>
  <si>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</si>
  <si>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</si>
  <si>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</si>
  <si>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</si>
  <si>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</si>
  <si>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</si>
  <si>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</si>
  <si>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</si>
  <si>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</si>
  <si>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</si>
  <si>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</si>
  <si>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</si>
  <si>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</si>
  <si>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</si>
  <si>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</si>
  <si>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</si>
  <si>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</si>
  <si>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</si>
  <si>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</si>
  <si>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</si>
  <si>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</si>
  <si>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</si>
  <si>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</si>
  <si>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</si>
  <si>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</si>
  <si>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</si>
  <si>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</si>
  <si>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</si>
  <si>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</si>
  <si>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</si>
  <si>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</si>
  <si>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</si>
  <si>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</si>
  <si>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</si>
  <si>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</si>
  <si>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</si>
  <si>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</si>
  <si>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</si>
  <si>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</si>
  <si>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</si>
  <si>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</si>
  <si>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</si>
  <si>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</si>
  <si>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</si>
  <si>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</si>
  <si>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</si>
  <si>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</si>
  <si>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</si>
  <si>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</si>
  <si>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</si>
  <si>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</si>
  <si>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</si>
  <si>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</si>
  <si>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</si>
  <si>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</si>
  <si>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</si>
  <si>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</si>
  <si>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</si>
  <si>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</si>
  <si>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</si>
  <si>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</si>
  <si>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</si>
  <si>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</si>
  <si>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</si>
  <si>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</si>
  <si>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</si>
  <si>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</si>
  <si>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</si>
  <si>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</si>
  <si>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</si>
  <si>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</si>
  <si>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</si>
  <si>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</si>
  <si>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</si>
  <si>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</si>
  <si>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</si>
  <si>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</si>
  <si>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</si>
  <si>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</si>
  <si>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</si>
  <si>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</si>
  <si>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</si>
  <si>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</si>
  <si>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</si>
  <si>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</si>
  <si>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</si>
  <si>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</si>
  <si>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</si>
  <si>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</si>
  <si>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</si>
  <si>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</si>
  <si>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</si>
  <si>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</si>
  <si>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</si>
  <si>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</si>
  <si>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</si>
  <si>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</si>
  <si>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</si>
  <si>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</si>
  <si>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</si>
  <si>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</si>
  <si>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</si>
  <si>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</si>
  <si>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</si>
  <si>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</si>
  <si>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</si>
  <si>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</si>
  <si>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</si>
  <si>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</si>
  <si>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</si>
  <si>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</si>
  <si>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</si>
  <si>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</si>
  <si>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</si>
  <si>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</si>
  <si>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</si>
  <si>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</si>
  <si>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</si>
  <si>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</si>
  <si>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</si>
  <si>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</si>
  <si>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</si>
  <si>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</si>
  <si>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</si>
  <si>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</si>
  <si>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</si>
  <si>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</si>
  <si>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</si>
  <si>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</si>
  <si>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</si>
  <si>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</si>
  <si>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</si>
  <si>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</si>
  <si>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</si>
  <si>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</si>
  <si>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</si>
  <si>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</si>
  <si>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</si>
  <si>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</si>
  <si>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</si>
  <si>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</si>
  <si>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</si>
  <si>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</si>
  <si>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</si>
  <si>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</si>
  <si>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</si>
  <si>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</si>
  <si>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</si>
  <si>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</si>
  <si>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</si>
  <si>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</si>
  <si>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</si>
  <si>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</si>
  <si>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</si>
  <si>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</si>
  <si>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</si>
  <si>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</si>
  <si>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</si>
  <si>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</si>
  <si>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</si>
  <si>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</si>
  <si>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</si>
  <si>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</si>
  <si>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</si>
  <si>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</si>
  <si>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</si>
  <si>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</si>
  <si>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</si>
  <si>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</si>
  <si>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</si>
  <si>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</si>
  <si>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</si>
  <si>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</si>
  <si>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</si>
  <si>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</si>
  <si>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</si>
  <si>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</si>
  <si>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</si>
  <si>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</si>
  <si>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</si>
  <si>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</si>
  <si>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</si>
  <si>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</si>
  <si>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</si>
  <si>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</si>
  <si>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</si>
  <si>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</si>
  <si>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</si>
  <si>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</si>
  <si>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</si>
  <si>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</si>
  <si>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</si>
  <si>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</si>
  <si>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</si>
  <si>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</si>
  <si>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</si>
  <si>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</si>
  <si>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</si>
  <si>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</si>
  <si>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</si>
  <si>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</si>
  <si>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</si>
  <si>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</si>
  <si>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</si>
  <si>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</si>
  <si>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</si>
  <si>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</si>
  <si>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</si>
  <si>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</si>
  <si>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</si>
  <si>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</si>
  <si>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</si>
  <si>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</si>
  <si>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</si>
  <si>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</si>
  <si>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</si>
  <si>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</si>
  <si>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</si>
  <si>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</si>
  <si>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</si>
  <si>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</si>
  <si>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</si>
  <si>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</si>
  <si>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</si>
  <si>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</si>
  <si>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</si>
  <si>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</si>
  <si>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</si>
  <si>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</si>
  <si>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</si>
  <si>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</si>
  <si>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</si>
  <si>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</si>
  <si>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</si>
  <si>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</si>
  <si>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</si>
  <si>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</si>
  <si>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</si>
  <si>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</si>
  <si>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</si>
  <si>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</si>
  <si>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</si>
  <si>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</si>
  <si>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</si>
  <si>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</si>
  <si>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</si>
  <si>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</si>
  <si>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</si>
  <si>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</si>
  <si>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</si>
  <si>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</si>
  <si>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</si>
  <si>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</si>
  <si>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</si>
  <si>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</si>
  <si>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</si>
  <si>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</si>
  <si>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</si>
  <si>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</si>
  <si>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</si>
  <si>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</si>
  <si>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</si>
  <si>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</si>
  <si>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</si>
  <si>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</si>
  <si>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</si>
  <si>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</si>
  <si>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</si>
  <si>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</si>
  <si>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</si>
  <si>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</si>
  <si>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</si>
  <si>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</si>
  <si>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</si>
  <si>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</si>
  <si>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</si>
  <si>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</si>
  <si>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</si>
  <si>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</si>
  <si>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</si>
  <si>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</si>
  <si>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</si>
  <si>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</si>
  <si>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</si>
  <si>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</si>
  <si>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</si>
  <si>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</si>
  <si>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</si>
  <si>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</si>
  <si>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</si>
  <si>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</si>
  <si>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</si>
  <si>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</si>
  <si>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</si>
  <si>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</si>
  <si>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</si>
  <si>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</si>
  <si>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</si>
  <si>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</si>
  <si>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</si>
  <si>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</si>
  <si>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</si>
  <si>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</si>
  <si>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</si>
  <si>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</si>
  <si>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</si>
  <si>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</si>
  <si>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</si>
  <si>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</si>
  <si>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</si>
  <si>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</si>
  <si>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</si>
  <si>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</si>
  <si>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</si>
  <si>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</si>
  <si>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</si>
  <si>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</si>
  <si>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</si>
  <si>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</si>
  <si>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</si>
  <si>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</si>
  <si>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</si>
  <si>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</si>
  <si>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</si>
  <si>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</si>
  <si>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</si>
  <si>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</si>
  <si>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</si>
  <si>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</si>
  <si>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</si>
  <si>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</si>
  <si>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</si>
  <si>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</si>
  <si>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</si>
  <si>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</si>
  <si>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</si>
  <si>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</si>
  <si>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</si>
  <si>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</si>
  <si>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</si>
  <si>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</si>
  <si>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</si>
  <si>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</si>
  <si>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</si>
  <si>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</si>
  <si>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</si>
  <si>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</si>
  <si>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</si>
  <si>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</si>
  <si>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</si>
  <si>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</si>
  <si>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</si>
  <si>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</si>
  <si>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</si>
  <si>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</si>
  <si>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</si>
  <si>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</si>
  <si>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</si>
  <si>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</si>
  <si>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</si>
  <si>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</si>
  <si>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</si>
  <si>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</si>
  <si>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</si>
  <si>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</si>
  <si>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</si>
  <si>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</si>
  <si>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</si>
  <si>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</si>
  <si>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</si>
  <si>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</si>
  <si>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</si>
  <si>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</si>
  <si>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</si>
  <si>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</si>
  <si>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</si>
  <si>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</si>
  <si>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</si>
  <si>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</si>
  <si>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</si>
  <si>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</si>
  <si>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</si>
  <si>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</si>
  <si>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</si>
  <si>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</si>
  <si>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</si>
  <si>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</si>
  <si>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</si>
  <si>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</si>
  <si>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</si>
  <si>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</si>
  <si>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</si>
  <si>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</si>
  <si>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</si>
  <si>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</si>
  <si>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</si>
  <si>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</si>
  <si>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</si>
  <si>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</si>
  <si>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</si>
  <si>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</si>
  <si>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</si>
  <si>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</si>
  <si>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</si>
  <si>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</si>
  <si>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</si>
  <si>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</si>
  <si>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</si>
  <si>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</si>
  <si>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</si>
  <si>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</si>
  <si>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</si>
  <si>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</si>
  <si>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</si>
  <si>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</si>
  <si>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</si>
  <si>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</si>
  <si>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</si>
  <si>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</si>
  <si>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</si>
  <si>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</si>
  <si>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</si>
  <si>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</si>
  <si>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</si>
  <si>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</si>
  <si>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</si>
  <si>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</si>
  <si>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</si>
  <si>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</si>
  <si>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</si>
  <si>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</si>
  <si>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</si>
  <si>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</si>
  <si>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</si>
  <si>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</si>
  <si>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</si>
  <si>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</si>
  <si>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</si>
  <si>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</si>
  <si>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</si>
  <si>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</si>
  <si>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</si>
  <si>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</si>
  <si>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</si>
  <si>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</si>
  <si>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</si>
  <si>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</si>
  <si>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</si>
  <si>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</si>
  <si>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</si>
  <si>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</si>
  <si>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</si>
  <si>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</si>
  <si>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</si>
  <si>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</si>
  <si>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</si>
  <si>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</si>
  <si>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</si>
  <si>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</si>
  <si>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</si>
  <si>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</si>
  <si>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</si>
  <si>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</si>
  <si>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</si>
  <si>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</si>
  <si>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</si>
  <si>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</si>
  <si>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</si>
  <si>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</si>
  <si>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</si>
  <si>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</si>
  <si>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</si>
  <si>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</si>
  <si>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</si>
  <si>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</si>
  <si>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</si>
  <si>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</si>
  <si>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</si>
  <si>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</si>
  <si>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</si>
  <si>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</si>
  <si>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</si>
  <si>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</si>
  <si>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</si>
  <si>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</si>
  <si>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</si>
  <si>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</si>
  <si>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</si>
  <si>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</si>
  <si>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</si>
  <si>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</si>
  <si>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</si>
  <si>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</si>
  <si>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</si>
  <si>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</si>
  <si>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</si>
  <si>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</si>
  <si>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</si>
  <si>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</si>
  <si>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</si>
  <si>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</si>
  <si>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</si>
  <si>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</si>
  <si>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</si>
  <si>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</si>
  <si>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</si>
  <si>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</si>
  <si>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</si>
  <si>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</si>
  <si>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</si>
  <si>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</si>
  <si>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</si>
  <si>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</si>
  <si>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</si>
  <si>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</si>
  <si>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</si>
  <si>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</si>
  <si>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</si>
  <si>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</si>
  <si>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</si>
  <si>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</si>
  <si>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</si>
  <si>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</si>
  <si>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</si>
  <si>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</si>
  <si>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</si>
  <si>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</si>
  <si>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</si>
  <si>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</si>
  <si>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</si>
  <si>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</si>
  <si>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</si>
  <si>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</si>
  <si>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</si>
  <si>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</si>
  <si>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</si>
  <si>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</si>
  <si>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</si>
  <si>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</si>
  <si>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</si>
  <si>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</si>
  <si>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</si>
  <si>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</si>
  <si>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</si>
  <si>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</si>
  <si>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</si>
  <si>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</si>
  <si>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</si>
  <si>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</si>
  <si>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</si>
  <si>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</si>
  <si>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</si>
  <si>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</si>
  <si>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</si>
  <si>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</si>
  <si>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</si>
  <si>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</si>
  <si>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</si>
  <si>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</si>
  <si>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</si>
  <si>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</si>
  <si>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</si>
  <si>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</si>
  <si>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</si>
  <si>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</si>
  <si>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</si>
  <si>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</si>
  <si>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</si>
  <si>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</si>
  <si>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</si>
  <si>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</si>
  <si>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</si>
  <si>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</si>
  <si>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</si>
  <si>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</si>
  <si>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</si>
  <si>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</si>
  <si>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</si>
  <si>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</si>
  <si>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</si>
  <si>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</si>
  <si>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</si>
  <si>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</si>
  <si>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</si>
  <si>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</si>
  <si>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</si>
  <si>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</si>
  <si>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</si>
  <si>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</si>
  <si>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</si>
  <si>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</si>
  <si>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</si>
  <si>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</si>
  <si>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</si>
  <si>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</si>
  <si>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</si>
  <si>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</si>
  <si>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</si>
  <si>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</si>
  <si>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</si>
  <si>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</si>
  <si>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</si>
  <si>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</si>
  <si>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</si>
  <si>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</si>
  <si>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</si>
  <si>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</si>
  <si>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</si>
  <si>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</si>
  <si>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</si>
  <si>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</si>
  <si>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</si>
  <si>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</si>
  <si>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</si>
  <si>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</si>
  <si>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</si>
  <si>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</si>
  <si>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</si>
  <si>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</si>
  <si>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</si>
  <si>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</si>
  <si>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</si>
  <si>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</si>
  <si>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</si>
  <si>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</si>
  <si>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</si>
  <si>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</si>
  <si>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</si>
  <si>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</si>
  <si>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</si>
  <si>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</si>
  <si>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</si>
  <si>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</si>
  <si>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</si>
  <si>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</si>
  <si>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</si>
  <si>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</si>
  <si>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</si>
  <si>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</si>
  <si>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</si>
  <si>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</si>
  <si>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</si>
  <si>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</si>
  <si>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</si>
  <si>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</si>
  <si>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</si>
  <si>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</si>
  <si>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</si>
  <si>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</si>
  <si>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4000038 INFRAESTRUCTURA EDUCACION BASICA REGULAR</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</si>
  <si>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</si>
  <si>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</si>
  <si>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</si>
  <si>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</si>
  <si>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</si>
  <si>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</si>
  <si>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</si>
  <si>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</si>
  <si>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</si>
  <si>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</si>
  <si>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</si>
  <si>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</si>
  <si>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</si>
  <si>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</si>
  <si>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</si>
  <si>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</si>
  <si>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</si>
  <si>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</si>
  <si>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</si>
  <si>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</si>
  <si>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</si>
  <si>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</si>
  <si>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</si>
  <si>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</si>
  <si>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</si>
  <si>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</si>
  <si>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</si>
  <si>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</si>
  <si>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</si>
  <si>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</si>
  <si>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</si>
  <si>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</si>
  <si>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</si>
  <si>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</si>
  <si>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</si>
  <si>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</si>
  <si>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</si>
  <si>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</si>
  <si>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</si>
  <si>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</si>
  <si>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</si>
  <si>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</si>
  <si>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</si>
  <si>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</si>
  <si>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</si>
  <si>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</si>
  <si>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</si>
  <si>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</si>
  <si>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</si>
  <si>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</si>
  <si>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</si>
  <si>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</si>
  <si>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</si>
  <si>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</si>
  <si>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</si>
  <si>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</si>
  <si>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</si>
  <si>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</si>
  <si>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</si>
  <si>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</si>
  <si>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</si>
  <si>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</si>
  <si>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</si>
  <si>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</si>
  <si>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</si>
  <si>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</si>
  <si>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</si>
  <si>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</si>
  <si>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</si>
  <si>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</si>
  <si>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</si>
  <si>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</si>
  <si>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</si>
  <si>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</si>
  <si>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</si>
  <si>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</si>
  <si>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</si>
  <si>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</si>
  <si>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</si>
  <si>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</si>
  <si>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</si>
  <si>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</si>
  <si>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</si>
  <si>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</si>
  <si>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</si>
  <si>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</si>
  <si>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</si>
  <si>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</si>
  <si>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</si>
  <si>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</si>
  <si>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</si>
  <si>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</si>
  <si>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</si>
  <si>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</si>
  <si>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</si>
  <si>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</si>
  <si>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</si>
  <si>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</si>
  <si>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</si>
  <si>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</si>
  <si>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</si>
  <si>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</si>
  <si>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</si>
  <si>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</si>
  <si>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</si>
  <si>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</si>
  <si>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</si>
  <si>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</si>
  <si>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</si>
  <si>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</si>
  <si>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</si>
  <si>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</si>
  <si>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</si>
  <si>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</si>
  <si>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</si>
  <si>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</si>
  <si>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</si>
  <si>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</si>
  <si>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</si>
  <si>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</si>
  <si>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</si>
  <si>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</si>
  <si>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</si>
  <si>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</si>
  <si>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</si>
  <si>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</si>
  <si>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</si>
  <si>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</si>
  <si>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</si>
  <si>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</si>
  <si>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</si>
  <si>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</si>
  <si>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</si>
  <si>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</si>
  <si>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</si>
  <si>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</si>
  <si>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</si>
  <si>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</si>
  <si>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</si>
  <si>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</si>
  <si>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</si>
  <si>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</si>
  <si>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</si>
  <si>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</si>
  <si>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</si>
  <si>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</si>
  <si>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</si>
  <si>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</si>
  <si>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</si>
  <si>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</si>
  <si>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</si>
  <si>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</si>
  <si>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</si>
  <si>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</si>
  <si>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</si>
  <si>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</si>
  <si>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</si>
  <si>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</si>
  <si>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</si>
  <si>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</si>
  <si>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</si>
  <si>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</si>
  <si>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</si>
  <si>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</si>
  <si>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</si>
  <si>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</si>
  <si>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</si>
  <si>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</si>
  <si>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</si>
  <si>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</si>
  <si>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</si>
  <si>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</si>
  <si>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</si>
  <si>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</si>
  <si>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</si>
  <si>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</si>
  <si>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</si>
  <si>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</si>
  <si>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</si>
  <si>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</si>
  <si>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</si>
  <si>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</si>
  <si>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</si>
  <si>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</si>
  <si>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</si>
  <si>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</si>
  <si>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</si>
  <si>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</si>
  <si>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</si>
  <si>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</si>
  <si>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</si>
  <si>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</si>
  <si>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</si>
  <si>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</si>
  <si>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</si>
  <si>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</si>
  <si>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</si>
  <si>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</si>
  <si>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</si>
  <si>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</si>
  <si>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</si>
  <si>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</si>
  <si>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</si>
  <si>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</si>
  <si>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</si>
  <si>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</si>
  <si>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</si>
  <si>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</si>
  <si>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</si>
  <si>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</si>
  <si>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</si>
  <si>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</si>
  <si>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</si>
  <si>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</si>
  <si>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</si>
  <si>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</si>
  <si>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</si>
  <si>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</si>
  <si>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</si>
  <si>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</si>
  <si>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</si>
  <si>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</si>
  <si>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</si>
  <si>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</si>
  <si>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</si>
  <si>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</si>
  <si>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</si>
  <si>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</si>
  <si>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</si>
  <si>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</si>
  <si>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</si>
  <si>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</si>
  <si>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</si>
  <si>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</si>
  <si>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</si>
  <si>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</si>
  <si>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</si>
  <si>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</si>
  <si>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</si>
  <si>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</si>
  <si>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</si>
  <si>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</si>
  <si>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</si>
  <si>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</si>
  <si>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</si>
  <si>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</si>
  <si>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</si>
  <si>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</si>
  <si>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</si>
  <si>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</si>
  <si>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</si>
  <si>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</si>
  <si>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</si>
  <si>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</si>
  <si>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</si>
  <si>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</si>
  <si>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</si>
  <si>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</si>
  <si>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</si>
  <si>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</si>
  <si>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</si>
  <si>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</si>
  <si>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</si>
  <si>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</si>
  <si>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</si>
  <si>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</si>
  <si>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</si>
  <si>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</si>
  <si>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</si>
  <si>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</si>
  <si>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</si>
  <si>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</si>
  <si>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</si>
  <si>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</si>
  <si>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</si>
  <si>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</si>
  <si>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</si>
  <si>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</si>
  <si>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</si>
  <si>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</si>
  <si>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</si>
  <si>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</si>
  <si>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</si>
  <si>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</si>
  <si>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</si>
  <si>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</si>
  <si>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</si>
  <si>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</si>
  <si>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</si>
  <si>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</si>
  <si>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</si>
  <si>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</si>
  <si>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</si>
  <si>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</si>
  <si>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</si>
  <si>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</si>
  <si>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</si>
  <si>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</si>
  <si>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</si>
  <si>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</si>
  <si>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</si>
  <si>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</si>
  <si>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</si>
  <si>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</si>
  <si>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</si>
  <si>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</si>
  <si>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</si>
  <si>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</si>
  <si>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</si>
  <si>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</si>
  <si>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</si>
  <si>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</si>
  <si>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</si>
  <si>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</si>
  <si>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</si>
  <si>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</si>
  <si>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</si>
  <si>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</si>
  <si>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</si>
  <si>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</si>
  <si>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</si>
  <si>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</si>
  <si>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</si>
  <si>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</si>
  <si>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</si>
  <si>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</si>
  <si>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</si>
  <si>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</si>
  <si>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</si>
  <si>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</si>
  <si>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</si>
  <si>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</si>
  <si>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</si>
  <si>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</si>
  <si>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</si>
  <si>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</si>
  <si>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</si>
  <si>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</si>
  <si>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</si>
  <si>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</si>
  <si>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</si>
  <si>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</si>
  <si>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</si>
  <si>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</si>
  <si>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</si>
  <si>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</si>
  <si>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</si>
  <si>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</si>
  <si>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</si>
  <si>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</si>
  <si>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</si>
  <si>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</si>
  <si>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</si>
  <si>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</si>
  <si>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</si>
  <si>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</si>
  <si>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</si>
  <si>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</si>
  <si>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</si>
  <si>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</si>
  <si>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</si>
  <si>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</si>
  <si>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</si>
  <si>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</si>
  <si>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</si>
  <si>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</si>
  <si>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</si>
  <si>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</si>
  <si>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</si>
  <si>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</si>
  <si>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</si>
  <si>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</si>
  <si>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</si>
  <si>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</si>
  <si>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</si>
  <si>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</si>
  <si>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</si>
  <si>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</si>
  <si>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</si>
  <si>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</si>
  <si>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</si>
  <si>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</si>
  <si>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</si>
  <si>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</si>
  <si>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</si>
  <si>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</si>
  <si>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</si>
  <si>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</si>
  <si>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</si>
  <si>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</si>
  <si>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</si>
  <si>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</si>
  <si>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</si>
  <si>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</si>
  <si>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</si>
  <si>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</si>
  <si>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</si>
  <si>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</si>
  <si>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</si>
  <si>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</si>
  <si>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</si>
  <si>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</si>
  <si>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</si>
  <si>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</si>
  <si>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</si>
  <si>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</si>
  <si>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</si>
  <si>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</si>
  <si>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</si>
  <si>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</si>
  <si>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</si>
  <si>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</si>
  <si>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</si>
  <si>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</si>
  <si>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</si>
  <si>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</si>
  <si>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</si>
  <si>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</si>
  <si>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</si>
  <si>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</si>
  <si>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</si>
  <si>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</si>
  <si>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</si>
  <si>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</si>
  <si>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</si>
  <si>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</si>
  <si>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</si>
  <si>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</si>
  <si>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</si>
  <si>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</si>
  <si>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</si>
  <si>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</si>
  <si>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</si>
  <si>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</si>
  <si>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</si>
  <si>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</si>
  <si>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</si>
  <si>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</si>
  <si>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</si>
  <si>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</si>
  <si>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</si>
  <si>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</si>
  <si>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</si>
  <si>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</si>
  <si>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</si>
  <si>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</si>
  <si>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</si>
  <si>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</si>
  <si>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</si>
  <si>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</si>
  <si>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</si>
  <si>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</si>
  <si>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</si>
  <si>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</si>
  <si>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</si>
  <si>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</si>
  <si>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</si>
  <si>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</si>
  <si>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</si>
  <si>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</si>
  <si>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</si>
  <si>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</si>
  <si>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</si>
  <si>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</si>
  <si>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</si>
  <si>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</si>
  <si>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</si>
  <si>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</si>
  <si>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</si>
  <si>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</si>
  <si>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</si>
  <si>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</si>
  <si>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</si>
  <si>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</si>
  <si>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</si>
  <si>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</si>
  <si>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</si>
  <si>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</si>
  <si>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</si>
  <si>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</si>
  <si>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</si>
  <si>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</si>
  <si>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</si>
  <si>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</si>
  <si>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</si>
  <si>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</si>
  <si>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</si>
  <si>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</si>
  <si>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</si>
  <si>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</si>
  <si>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</si>
  <si>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</si>
  <si>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</si>
  <si>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</si>
  <si>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</si>
  <si>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</si>
  <si>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</si>
  <si>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</si>
  <si>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</si>
  <si>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</si>
  <si>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</si>
  <si>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</si>
  <si>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</si>
  <si>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</si>
  <si>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</si>
  <si>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</si>
  <si>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</si>
  <si>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</si>
  <si>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</si>
  <si>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</si>
  <si>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</si>
  <si>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</si>
  <si>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</si>
  <si>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</si>
  <si>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</si>
  <si>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</si>
  <si>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</si>
  <si>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</si>
  <si>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</si>
  <si>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</si>
  <si>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</si>
  <si>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</si>
  <si>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</si>
  <si>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</si>
  <si>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</si>
  <si>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</si>
  <si>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</si>
  <si>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</si>
  <si>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</si>
  <si>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</si>
  <si>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</si>
  <si>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</si>
  <si>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</si>
  <si>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</si>
  <si>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</si>
  <si>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</si>
  <si>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</si>
  <si>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</si>
  <si>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</si>
  <si>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</si>
  <si>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</si>
  <si>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</si>
  <si>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</si>
  <si>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</si>
  <si>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</si>
  <si>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</si>
  <si>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</si>
  <si>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</si>
  <si>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</si>
  <si>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</si>
  <si>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</si>
  <si>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</si>
  <si>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</si>
  <si>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</si>
  <si>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</si>
  <si>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</si>
  <si>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</si>
  <si>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</si>
  <si>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</si>
  <si>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</si>
  <si>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</si>
  <si>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</si>
  <si>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</si>
  <si>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</si>
  <si>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</si>
  <si>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</si>
  <si>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</si>
  <si>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</si>
  <si>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</si>
  <si>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</si>
  <si>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</si>
  <si>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</si>
  <si>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</si>
  <si>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</si>
  <si>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</si>
  <si>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</si>
  <si>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</si>
  <si>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</si>
  <si>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</si>
  <si>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</si>
  <si>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</si>
  <si>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</si>
  <si>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</si>
  <si>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</si>
  <si>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</si>
  <si>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</si>
  <si>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</si>
  <si>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</si>
  <si>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</si>
  <si>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</si>
  <si>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</si>
  <si>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</si>
  <si>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</si>
  <si>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</si>
  <si>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</si>
  <si>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</si>
  <si>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</si>
  <si>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</si>
  <si>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</si>
  <si>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</si>
  <si>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</si>
  <si>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</si>
  <si>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</si>
  <si>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</si>
  <si>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</si>
  <si>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</si>
  <si>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</si>
  <si>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</si>
  <si>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</si>
  <si>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</si>
  <si>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</si>
  <si>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</si>
  <si>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</si>
  <si>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</si>
  <si>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</si>
  <si>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</si>
  <si>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</si>
  <si>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</si>
  <si>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</si>
  <si>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</si>
  <si>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</si>
  <si>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</si>
  <si>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</si>
  <si>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</si>
  <si>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</si>
  <si>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</si>
  <si>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</si>
  <si>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</si>
  <si>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</si>
  <si>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</si>
  <si>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</si>
  <si>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</si>
  <si>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</si>
  <si>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</si>
  <si>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</si>
  <si>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</si>
  <si>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</si>
  <si>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</si>
  <si>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</si>
  <si>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</si>
  <si>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</si>
  <si>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</si>
  <si>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</si>
  <si>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</si>
  <si>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</si>
  <si>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</si>
  <si>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</si>
  <si>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</si>
  <si>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</si>
  <si>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</si>
  <si>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</si>
  <si>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</si>
  <si>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</si>
  <si>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</si>
  <si>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</si>
  <si>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</si>
  <si>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</si>
  <si>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</si>
  <si>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</si>
  <si>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</si>
  <si>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</si>
  <si>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</si>
  <si>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</si>
  <si>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</si>
  <si>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</si>
  <si>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</si>
  <si>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</si>
  <si>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</si>
  <si>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</si>
  <si>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</si>
  <si>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</si>
  <si>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</si>
  <si>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</si>
  <si>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</si>
  <si>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</si>
  <si>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</si>
  <si>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</si>
  <si>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</si>
  <si>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</si>
  <si>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</si>
  <si>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</si>
  <si>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</si>
  <si>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</si>
  <si>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</si>
  <si>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</si>
  <si>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</si>
  <si>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</si>
  <si>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</si>
  <si>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</si>
  <si>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</si>
  <si>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</si>
  <si>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</si>
  <si>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</si>
  <si>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</si>
  <si>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</si>
  <si>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</si>
  <si>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</si>
  <si>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</si>
  <si>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</si>
  <si>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</si>
  <si>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</si>
  <si>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</si>
  <si>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</si>
  <si>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</si>
  <si>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</si>
  <si>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</si>
  <si>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</si>
  <si>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</si>
  <si>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</si>
  <si>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</si>
  <si>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</si>
  <si>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</si>
  <si>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</si>
  <si>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</si>
  <si>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</si>
  <si>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</si>
  <si>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</si>
  <si>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</si>
  <si>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</si>
  <si>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</si>
  <si>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</si>
  <si>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</si>
  <si>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</si>
  <si>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</si>
  <si>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</si>
  <si>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</si>
  <si>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</si>
  <si>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</si>
  <si>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</si>
  <si>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</si>
  <si>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</si>
  <si>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</si>
  <si>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</si>
  <si>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</si>
  <si>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</si>
  <si>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</si>
  <si>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</si>
  <si>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</si>
  <si>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</si>
  <si>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</si>
  <si>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</si>
  <si>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</si>
  <si>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</si>
  <si>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</si>
  <si>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</si>
  <si>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</si>
  <si>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</si>
  <si>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</si>
  <si>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</si>
  <si>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</si>
  <si>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</si>
  <si>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</si>
  <si>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</si>
  <si>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</si>
  <si>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</si>
  <si>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</si>
  <si>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</si>
  <si>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</si>
  <si>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</si>
  <si>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</si>
  <si>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</si>
  <si>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</si>
  <si>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</si>
  <si>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</si>
  <si>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</si>
  <si>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</si>
  <si>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</si>
  <si>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</si>
  <si>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</si>
  <si>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</si>
  <si>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</si>
  <si>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</si>
  <si>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</si>
  <si>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</si>
  <si>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</si>
  <si>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</si>
  <si>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</si>
  <si>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</si>
  <si>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</si>
  <si>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</si>
  <si>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</si>
  <si>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</si>
  <si>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</si>
  <si>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</si>
  <si>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</si>
  <si>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</si>
  <si>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</si>
  <si>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</si>
  <si>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</si>
  <si>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</si>
  <si>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</si>
  <si>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</si>
  <si>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</si>
  <si>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</si>
  <si>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</si>
  <si>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</si>
  <si>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</si>
  <si>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</si>
  <si>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</si>
  <si>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</si>
  <si>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</si>
  <si>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</si>
  <si>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</si>
  <si>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</si>
  <si>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</si>
  <si>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</si>
  <si>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</si>
  <si>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</si>
  <si>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</si>
  <si>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</si>
  <si>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</si>
  <si>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</si>
  <si>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</si>
  <si>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</si>
  <si>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</si>
  <si>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</si>
  <si>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</si>
  <si>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</si>
  <si>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</si>
  <si>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</si>
  <si>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</si>
  <si>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</si>
  <si>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</si>
  <si>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</si>
  <si>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</si>
  <si>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</si>
  <si>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</si>
  <si>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</si>
  <si>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</si>
  <si>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</si>
  <si>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</si>
  <si>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</si>
  <si>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</si>
  <si>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</si>
  <si>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</si>
  <si>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</si>
  <si>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</si>
  <si>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</si>
  <si>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</si>
  <si>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</si>
  <si>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</si>
  <si>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</si>
  <si>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</si>
  <si>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</si>
  <si>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</si>
  <si>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</si>
  <si>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</si>
  <si>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</si>
  <si>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</si>
  <si>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</si>
  <si>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</si>
  <si>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</si>
  <si>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</si>
  <si>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</si>
  <si>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</si>
  <si>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</si>
  <si>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</si>
  <si>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</si>
  <si>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</si>
  <si>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</si>
  <si>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</si>
  <si>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</si>
  <si>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</si>
  <si>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</si>
  <si>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</si>
  <si>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</si>
  <si>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</si>
  <si>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</si>
  <si>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</si>
  <si>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</si>
  <si>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</si>
  <si>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</si>
  <si>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</si>
  <si>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</si>
  <si>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</si>
  <si>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</si>
  <si>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</si>
  <si>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</si>
  <si>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</si>
  <si>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</si>
  <si>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</si>
  <si>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</si>
  <si>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</si>
  <si>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</si>
  <si>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</si>
  <si>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</si>
  <si>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</si>
  <si>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</si>
  <si>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</si>
  <si>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</si>
  <si>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</si>
  <si>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</si>
  <si>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</si>
  <si>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</si>
  <si>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</si>
  <si>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</si>
  <si>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</si>
  <si>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</si>
  <si>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</si>
  <si>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</si>
  <si>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</si>
  <si>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</si>
  <si>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</si>
  <si>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</si>
  <si>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</si>
  <si>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</si>
  <si>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</si>
  <si>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</si>
  <si>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</si>
  <si>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</si>
  <si>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</si>
  <si>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</si>
  <si>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</si>
  <si>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</si>
  <si>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</si>
  <si>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</si>
  <si>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</si>
  <si>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</si>
  <si>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</si>
  <si>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</si>
  <si>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</si>
  <si>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</si>
  <si>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</si>
  <si>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</si>
  <si>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</si>
  <si>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</si>
  <si>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</si>
  <si>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</si>
  <si>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</si>
  <si>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</si>
  <si>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</si>
  <si>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</si>
  <si>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</si>
  <si>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</si>
  <si>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</si>
  <si>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</si>
  <si>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</si>
  <si>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</si>
  <si>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</si>
  <si>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</si>
  <si>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</si>
  <si>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</si>
  <si>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</si>
  <si>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</si>
  <si>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</si>
  <si>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</si>
  <si>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</si>
  <si>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</si>
  <si>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</si>
  <si>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</si>
  <si>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</si>
  <si>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</si>
  <si>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</si>
  <si>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</si>
  <si>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</si>
  <si>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</si>
  <si>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</si>
  <si>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</si>
  <si>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</si>
  <si>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</si>
  <si>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</si>
  <si>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</si>
  <si>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</si>
  <si>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</si>
  <si>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</si>
  <si>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</si>
  <si>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</si>
  <si>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</si>
  <si>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</si>
  <si>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</si>
  <si>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</si>
  <si>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</si>
  <si>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</si>
  <si>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</si>
  <si>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</si>
  <si>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</si>
  <si>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</si>
  <si>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</si>
  <si>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</si>
  <si>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</si>
  <si>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</si>
  <si>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</si>
  <si>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</si>
  <si>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</si>
  <si>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</si>
  <si>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</si>
  <si>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</si>
  <si>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</si>
  <si>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</si>
  <si>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</si>
  <si>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</si>
  <si>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</si>
  <si>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</si>
  <si>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</si>
  <si>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</si>
  <si>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</si>
  <si>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</si>
  <si>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</si>
  <si>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</si>
  <si>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</si>
  <si>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</si>
  <si>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</si>
  <si>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</si>
  <si>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</si>
  <si>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</si>
  <si>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</si>
  <si>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</si>
  <si>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</si>
  <si>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</si>
  <si>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</si>
  <si>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</si>
  <si>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</si>
  <si>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</si>
  <si>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</si>
  <si>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</si>
  <si>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</si>
  <si>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</si>
  <si>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</si>
  <si>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</si>
  <si>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</si>
  <si>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</si>
  <si>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</si>
  <si>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</si>
  <si>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</si>
  <si>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</si>
  <si>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</si>
  <si>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</si>
  <si>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</si>
  <si>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</si>
  <si>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</si>
  <si>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</si>
  <si>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</si>
  <si>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</si>
  <si>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</si>
  <si>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</si>
  <si>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</si>
  <si>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</si>
  <si>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</si>
  <si>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</si>
  <si>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</si>
  <si>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</si>
  <si>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</si>
  <si>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</si>
  <si>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</si>
  <si>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</si>
  <si>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</si>
  <si>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</si>
  <si>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</si>
  <si>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</si>
  <si>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</si>
  <si>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</si>
  <si>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</si>
  <si>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</si>
  <si>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</si>
  <si>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</si>
  <si>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</si>
  <si>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</si>
  <si>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</si>
  <si>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</si>
  <si>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</si>
  <si>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</si>
  <si>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</si>
  <si>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</si>
  <si>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</si>
  <si>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</si>
  <si>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</si>
  <si>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</si>
  <si>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</si>
  <si>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</si>
  <si>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</si>
  <si>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</si>
  <si>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</si>
  <si>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</si>
  <si>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</si>
  <si>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</si>
  <si>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</si>
  <si>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</si>
  <si>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</si>
  <si>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</si>
  <si>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</si>
  <si>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</si>
  <si>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</si>
  <si>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</si>
  <si>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</si>
  <si>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</si>
  <si>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</si>
  <si>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</si>
  <si>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</si>
  <si>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</si>
  <si>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</si>
  <si>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</si>
  <si>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</si>
  <si>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</si>
  <si>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</si>
  <si>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</si>
  <si>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</si>
  <si>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</si>
  <si>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</si>
  <si>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</si>
  <si>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</si>
  <si>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</si>
  <si>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</si>
  <si>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</si>
  <si>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</si>
  <si>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</si>
  <si>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</si>
  <si>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</si>
  <si>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</si>
  <si>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</si>
  <si>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</si>
  <si>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</si>
  <si>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</si>
  <si>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</si>
  <si>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</si>
  <si>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</si>
  <si>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</si>
  <si>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</si>
  <si>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</si>
  <si>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</si>
  <si>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</si>
  <si>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</si>
  <si>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</si>
  <si>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</si>
  <si>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</si>
  <si>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</si>
  <si>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</si>
  <si>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</si>
  <si>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</si>
  <si>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</si>
  <si>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</si>
  <si>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</si>
  <si>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</si>
  <si>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</si>
  <si>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</si>
  <si>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</si>
  <si>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</si>
  <si>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</si>
  <si>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</si>
  <si>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</si>
  <si>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</si>
  <si>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</si>
  <si>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</si>
  <si>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</si>
  <si>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</si>
  <si>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</si>
  <si>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</si>
  <si>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</si>
  <si>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</si>
  <si>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</si>
  <si>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</si>
  <si>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</si>
  <si>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</si>
  <si>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</si>
  <si>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</si>
  <si>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</si>
  <si>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</si>
  <si>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</si>
  <si>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</si>
  <si>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</si>
  <si>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</si>
  <si>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</si>
  <si>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</si>
  <si>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</si>
  <si>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</si>
  <si>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</si>
  <si>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</si>
  <si>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</si>
  <si>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</si>
  <si>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</si>
  <si>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</si>
  <si>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</si>
  <si>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</si>
  <si>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</si>
  <si>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</si>
  <si>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</si>
  <si>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</si>
  <si>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</si>
  <si>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</si>
  <si>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</si>
  <si>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</si>
  <si>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</si>
  <si>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</si>
  <si>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</si>
  <si>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</si>
  <si>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</si>
  <si>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</si>
  <si>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</si>
  <si>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</si>
  <si>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</si>
  <si>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</si>
  <si>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</si>
  <si>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</si>
  <si>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</si>
  <si>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</si>
  <si>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</si>
  <si>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</si>
  <si>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</si>
  <si>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</si>
  <si>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</si>
  <si>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</si>
  <si>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</si>
  <si>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</si>
  <si>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</si>
  <si>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</si>
  <si>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</si>
  <si>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</si>
  <si>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</si>
  <si>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</si>
  <si>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</si>
  <si>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</si>
  <si>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</si>
  <si>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</si>
  <si>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</si>
  <si>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</si>
  <si>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</si>
  <si>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</si>
  <si>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</si>
  <si>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</si>
  <si>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</si>
  <si>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</si>
  <si>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</si>
  <si>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</si>
  <si>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</si>
  <si>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</si>
  <si>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</si>
  <si>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</si>
  <si>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</si>
  <si>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</si>
  <si>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</si>
  <si>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</si>
  <si>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</si>
  <si>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</si>
  <si>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</si>
  <si>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</si>
  <si>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</si>
  <si>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</si>
  <si>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</si>
  <si>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</si>
  <si>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</si>
  <si>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</si>
  <si>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</si>
  <si>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</si>
  <si>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</si>
  <si>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</si>
  <si>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</si>
  <si>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</si>
  <si>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</si>
  <si>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</si>
  <si>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</si>
  <si>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</si>
  <si>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</si>
  <si>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</si>
  <si>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</si>
  <si>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</si>
  <si>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</si>
  <si>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</si>
  <si>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</si>
  <si>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</si>
  <si>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</si>
  <si>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</si>
  <si>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</si>
  <si>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</si>
  <si>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</si>
  <si>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</si>
  <si>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</si>
  <si>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</si>
  <si>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</si>
  <si>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</si>
  <si>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</si>
  <si>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</si>
  <si>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</si>
  <si>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</si>
  <si>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</si>
  <si>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</si>
  <si>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</si>
  <si>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</si>
  <si>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</si>
  <si>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</si>
  <si>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</si>
  <si>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</si>
  <si>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</si>
  <si>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</si>
  <si>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</si>
  <si>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</si>
  <si>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</si>
  <si>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</si>
  <si>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</si>
  <si>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</si>
  <si>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</si>
  <si>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</si>
  <si>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</si>
  <si>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</si>
  <si>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</si>
  <si>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</si>
  <si>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</si>
  <si>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</si>
  <si>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</si>
  <si>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</si>
  <si>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</si>
  <si>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</si>
  <si>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</si>
  <si>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</si>
  <si>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</si>
  <si>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</si>
  <si>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</si>
  <si>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</si>
  <si>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</si>
  <si>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</si>
  <si>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</si>
  <si>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</si>
  <si>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</si>
  <si>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</si>
  <si>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</si>
  <si>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</si>
  <si>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</si>
  <si>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</si>
  <si>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</si>
  <si>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</si>
  <si>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</si>
  <si>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</si>
  <si>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</si>
  <si>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</si>
  <si>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</si>
  <si>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</si>
  <si>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</si>
  <si>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</si>
  <si>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</si>
  <si>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</si>
  <si>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OTROS COMPONENTES</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</si>
  <si>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</si>
  <si>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</si>
  <si>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</si>
  <si>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</si>
  <si>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</si>
  <si>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</si>
  <si>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</si>
  <si>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</si>
  <si>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</si>
  <si>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</si>
  <si>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</si>
  <si>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</si>
  <si>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</si>
  <si>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</si>
  <si>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</si>
  <si>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</si>
  <si>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</si>
  <si>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</si>
  <si>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</si>
  <si>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</si>
  <si>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</si>
  <si>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Nro.</t>
  </si>
  <si>
    <t>Descripción</t>
  </si>
  <si>
    <t>Unidad</t>
  </si>
  <si>
    <t>ZONA PRIMARIA</t>
  </si>
  <si>
    <t>ZONA SECUNDARIA</t>
  </si>
  <si>
    <t>OBRAS COMPLEMENTARIAS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</si>
  <si>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</si>
  <si>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</si>
  <si>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</si>
  <si>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</si>
  <si>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</si>
  <si>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</si>
  <si>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</si>
  <si>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</si>
  <si>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</si>
  <si>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</si>
  <si>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</si>
  <si>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</si>
  <si>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</si>
  <si>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</si>
  <si>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</si>
  <si>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</si>
  <si>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</si>
  <si>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</si>
  <si>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</si>
  <si>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</si>
  <si>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</si>
  <si>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</si>
  <si>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</si>
  <si>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</si>
  <si>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</si>
  <si>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</si>
  <si>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</si>
  <si>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07.01</t>
  </si>
  <si>
    <t>08</t>
  </si>
  <si>
    <t xml:space="preserve">EXAMENES MEDICOS PRE OCUPACIONALES </t>
  </si>
  <si>
    <t>08.01</t>
  </si>
  <si>
    <t xml:space="preserve">      EXAMENES MEDICOS PRE OCUPACIONALES</t>
  </si>
  <si>
    <t>CUADERNO 8</t>
  </si>
  <si>
    <t>RECURSOS DETERMINADOS</t>
  </si>
  <si>
    <t xml:space="preserve">SCTR  PENSIÓN Y EXÁMENES MÉDICOS PRE OCUPACIONALES </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</si>
  <si>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</si>
  <si>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</si>
  <si>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</si>
  <si>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</si>
  <si>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</si>
  <si>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</si>
  <si>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</si>
  <si>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</si>
  <si>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</si>
  <si>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</si>
  <si>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</si>
  <si>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</si>
  <si>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</si>
  <si>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</si>
  <si>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</si>
  <si>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</si>
  <si>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</si>
  <si>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</si>
  <si>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</si>
  <si>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</si>
  <si>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</si>
  <si>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</si>
  <si>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</si>
  <si>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</si>
  <si>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</si>
  <si>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</si>
  <si>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</si>
  <si>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</si>
  <si>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</si>
  <si>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</si>
  <si>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</si>
  <si>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</si>
  <si>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</si>
  <si>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</si>
  <si>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</si>
  <si>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M.M</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</si>
  <si>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</si>
  <si>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</si>
  <si>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</si>
  <si>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</si>
  <si>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</si>
  <si>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</si>
  <si>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</si>
  <si>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</si>
  <si>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</si>
  <si>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</si>
  <si>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</si>
  <si>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</si>
  <si>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</si>
  <si>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</si>
  <si>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</si>
  <si>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</si>
  <si>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</si>
  <si>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</si>
  <si>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</si>
  <si>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</si>
  <si>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</si>
  <si>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</si>
  <si>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</si>
  <si>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</si>
  <si>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</si>
  <si>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</si>
  <si>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</si>
  <si>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</si>
  <si>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</si>
  <si>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A.P.U. ACTULIZACION 1</t>
  </si>
  <si>
    <t>A.P.U. ACTULIZACION 2</t>
  </si>
  <si>
    <t>Metrados</t>
  </si>
  <si>
    <t xml:space="preserve">PRESUPUESTO POR COMPONENTE </t>
  </si>
  <si>
    <t xml:space="preserve">SALDO  RECURSO ORDINARIOS - DETERMINADOS </t>
  </si>
  <si>
    <t>N° 098</t>
  </si>
  <si>
    <t>febrero - 2021</t>
  </si>
  <si>
    <t>CUADERNO 14</t>
  </si>
  <si>
    <t>N° 018</t>
  </si>
  <si>
    <t xml:space="preserve">DIEGO </t>
  </si>
  <si>
    <t>N° 019</t>
  </si>
  <si>
    <t>marzo - 2021</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</si>
  <si>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</si>
  <si>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</si>
  <si>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</si>
  <si>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</si>
  <si>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</si>
  <si>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</si>
  <si>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</si>
  <si>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</si>
  <si>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</si>
  <si>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</si>
  <si>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</si>
  <si>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</si>
  <si>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</si>
  <si>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</si>
  <si>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</si>
  <si>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</si>
  <si>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</si>
  <si>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</si>
  <si>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</si>
  <si>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</si>
  <si>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</si>
  <si>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</si>
  <si>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</si>
  <si>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</si>
  <si>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</si>
  <si>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</si>
  <si>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</si>
  <si>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</si>
  <si>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</si>
  <si>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</si>
  <si>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</si>
  <si>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</si>
  <si>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</si>
  <si>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</si>
  <si>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</si>
  <si>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</si>
  <si>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</si>
  <si>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</si>
  <si>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</si>
  <si>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</si>
  <si>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</si>
  <si>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</si>
  <si>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</si>
  <si>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</si>
  <si>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</si>
  <si>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</si>
  <si>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</si>
  <si>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</si>
  <si>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</si>
  <si>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</si>
  <si>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</si>
  <si>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</si>
  <si>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</si>
  <si>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</si>
  <si>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</si>
  <si>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</si>
  <si>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</si>
  <si>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</si>
  <si>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</si>
  <si>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</si>
  <si>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</si>
  <si>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</si>
  <si>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</si>
  <si>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</si>
  <si>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</si>
  <si>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</si>
  <si>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</si>
  <si>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</si>
  <si>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</si>
  <si>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</si>
  <si>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</si>
  <si>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</si>
  <si>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</si>
  <si>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</si>
  <si>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</si>
  <si>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</si>
  <si>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</si>
  <si>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</si>
  <si>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</si>
  <si>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</si>
  <si>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</si>
  <si>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</si>
  <si>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</si>
  <si>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</si>
  <si>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</si>
  <si>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</si>
  <si>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</si>
  <si>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</si>
  <si>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</si>
  <si>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</si>
  <si>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</si>
  <si>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</si>
  <si>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</si>
  <si>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</si>
  <si>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</si>
  <si>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</si>
  <si>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</si>
  <si>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</si>
  <si>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</si>
  <si>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</si>
  <si>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</si>
  <si>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</si>
  <si>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</si>
  <si>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</si>
  <si>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</si>
  <si>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</si>
  <si>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</si>
  <si>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</si>
  <si>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</si>
  <si>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</si>
  <si>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</si>
  <si>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</si>
  <si>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</si>
  <si>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</si>
  <si>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</si>
  <si>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</si>
  <si>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</si>
  <si>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</si>
  <si>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</si>
  <si>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</si>
  <si>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</si>
  <si>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</si>
  <si>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</si>
  <si>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</si>
  <si>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</si>
  <si>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</si>
  <si>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</si>
  <si>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</si>
  <si>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</si>
  <si>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</si>
  <si>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</si>
  <si>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</si>
  <si>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</si>
  <si>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</si>
  <si>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</si>
  <si>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</si>
  <si>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</si>
  <si>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</si>
  <si>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</si>
  <si>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</si>
  <si>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</si>
  <si>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</si>
  <si>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</si>
  <si>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</si>
  <si>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</si>
  <si>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</si>
  <si>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</si>
  <si>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</si>
  <si>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</si>
  <si>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</si>
  <si>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</si>
  <si>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</si>
  <si>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</si>
  <si>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</si>
  <si>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</si>
  <si>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</si>
  <si>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</si>
  <si>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</si>
  <si>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</si>
  <si>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</si>
  <si>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</si>
  <si>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</si>
  <si>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</si>
  <si>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</si>
  <si>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</si>
  <si>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</si>
  <si>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</si>
  <si>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</si>
  <si>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</si>
  <si>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</si>
  <si>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</si>
  <si>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</si>
  <si>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</si>
  <si>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</si>
  <si>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</si>
  <si>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</si>
  <si>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</si>
  <si>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</si>
  <si>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</si>
  <si>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</si>
  <si>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</si>
  <si>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</si>
  <si>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</si>
  <si>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</si>
  <si>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</si>
  <si>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</si>
  <si>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</si>
  <si>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</si>
  <si>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</si>
  <si>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</si>
  <si>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</si>
  <si>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</si>
  <si>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</si>
  <si>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</si>
  <si>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</si>
  <si>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</si>
  <si>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</si>
  <si>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</si>
  <si>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</si>
  <si>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</si>
  <si>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</si>
  <si>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</si>
  <si>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</si>
  <si>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</si>
  <si>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</si>
  <si>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</si>
  <si>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</si>
  <si>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</si>
  <si>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</si>
  <si>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</si>
  <si>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</si>
  <si>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</si>
  <si>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</si>
  <si>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</si>
  <si>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</si>
  <si>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</si>
  <si>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</si>
  <si>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</si>
  <si>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</si>
  <si>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</si>
  <si>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</si>
  <si>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</si>
  <si>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</si>
  <si>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</si>
  <si>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</si>
  <si>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</si>
  <si>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</si>
  <si>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</si>
  <si>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</si>
  <si>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</si>
  <si>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</si>
  <si>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</si>
  <si>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</si>
  <si>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</si>
  <si>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</si>
  <si>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</si>
  <si>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</si>
  <si>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</si>
  <si>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</si>
  <si>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</si>
  <si>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</si>
  <si>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</si>
  <si>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</si>
  <si>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</si>
  <si>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</si>
  <si>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</si>
  <si>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</si>
  <si>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</si>
  <si>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</si>
  <si>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</si>
  <si>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</si>
  <si>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</si>
  <si>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</si>
  <si>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</si>
  <si>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</si>
  <si>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</si>
  <si>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</si>
  <si>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</si>
  <si>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</si>
  <si>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</si>
  <si>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</si>
  <si>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</si>
  <si>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</si>
  <si>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</si>
  <si>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</si>
  <si>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</si>
  <si>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</si>
  <si>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</si>
  <si>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</si>
  <si>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</si>
  <si>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</si>
  <si>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</si>
  <si>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</si>
  <si>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</si>
  <si>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</si>
  <si>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</si>
  <si>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</si>
  <si>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</si>
  <si>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</si>
  <si>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</si>
  <si>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</si>
  <si>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</si>
  <si>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</si>
  <si>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</si>
  <si>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</si>
  <si>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</si>
  <si>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</si>
  <si>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</si>
  <si>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</si>
  <si>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</si>
  <si>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</si>
  <si>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</si>
  <si>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</si>
  <si>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</si>
  <si>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</si>
  <si>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</si>
  <si>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</si>
  <si>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</si>
  <si>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</si>
  <si>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</si>
  <si>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</si>
  <si>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</si>
  <si>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</si>
  <si>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</si>
  <si>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</si>
  <si>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</si>
  <si>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</si>
  <si>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</si>
  <si>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</si>
  <si>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</si>
  <si>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</si>
  <si>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</si>
  <si>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</si>
  <si>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</si>
  <si>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</si>
  <si>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</si>
  <si>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</si>
  <si>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</si>
  <si>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</si>
  <si>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</si>
  <si>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</si>
  <si>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</si>
  <si>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</si>
  <si>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</si>
  <si>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</si>
  <si>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</si>
  <si>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</si>
  <si>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</si>
  <si>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</si>
  <si>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</si>
  <si>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</si>
  <si>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</si>
  <si>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</si>
  <si>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</si>
  <si>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</si>
  <si>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</si>
  <si>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</si>
  <si>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</si>
  <si>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</si>
  <si>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</si>
  <si>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</si>
  <si>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</si>
  <si>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</si>
  <si>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</si>
  <si>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</si>
  <si>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</si>
  <si>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</si>
  <si>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</si>
  <si>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</si>
  <si>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</si>
  <si>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</si>
  <si>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</si>
  <si>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</si>
  <si>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</si>
  <si>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</si>
  <si>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</si>
  <si>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</si>
  <si>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</si>
  <si>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</si>
  <si>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</si>
  <si>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</si>
  <si>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</si>
  <si>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</si>
  <si>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</si>
  <si>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</si>
  <si>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</si>
  <si>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</si>
  <si>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</si>
  <si>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</si>
  <si>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</si>
  <si>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</si>
  <si>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</si>
  <si>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</si>
  <si>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</si>
  <si>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</si>
  <si>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</si>
  <si>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</si>
  <si>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</si>
  <si>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</si>
  <si>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</si>
  <si>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</si>
  <si>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</si>
  <si>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</si>
  <si>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</si>
  <si>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</si>
  <si>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</si>
  <si>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</si>
  <si>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</si>
  <si>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</si>
  <si>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</si>
  <si>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</si>
  <si>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</si>
  <si>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</si>
  <si>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</si>
  <si>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</si>
  <si>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</si>
  <si>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</si>
  <si>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</si>
  <si>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</si>
  <si>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</si>
  <si>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</si>
  <si>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</si>
  <si>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</si>
  <si>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</si>
  <si>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</si>
  <si>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</si>
  <si>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</si>
  <si>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</si>
  <si>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</si>
  <si>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</si>
  <si>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</si>
  <si>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</si>
  <si>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</si>
  <si>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</si>
  <si>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</si>
  <si>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</si>
  <si>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</si>
  <si>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</si>
  <si>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</si>
  <si>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</si>
  <si>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</si>
  <si>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</si>
  <si>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</si>
  <si>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</si>
  <si>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</si>
  <si>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</si>
  <si>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</si>
  <si>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</si>
  <si>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</si>
  <si>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</si>
  <si>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</si>
  <si>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</si>
  <si>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</si>
  <si>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</si>
  <si>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</si>
  <si>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</si>
  <si>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</si>
  <si>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</si>
  <si>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</si>
  <si>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</si>
  <si>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</si>
  <si>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</si>
  <si>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</si>
  <si>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</si>
  <si>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</si>
  <si>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</si>
  <si>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</si>
  <si>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</si>
  <si>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</si>
  <si>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</si>
  <si>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</si>
  <si>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</si>
  <si>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</si>
  <si>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</si>
  <si>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</si>
  <si>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</si>
  <si>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</si>
  <si>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</si>
  <si>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</si>
  <si>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</si>
  <si>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</si>
  <si>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</si>
  <si>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</si>
  <si>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</si>
  <si>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</si>
  <si>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</si>
  <si>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</si>
  <si>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</si>
  <si>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</si>
  <si>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</si>
  <si>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</si>
  <si>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</si>
  <si>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</si>
  <si>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</si>
  <si>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</si>
  <si>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</si>
  <si>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</si>
  <si>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</si>
  <si>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</si>
  <si>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</si>
  <si>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</si>
  <si>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</si>
  <si>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</si>
  <si>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</si>
  <si>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</si>
  <si>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</si>
  <si>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</si>
  <si>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</si>
  <si>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</si>
  <si>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</si>
  <si>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</si>
  <si>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</si>
  <si>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</si>
  <si>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</si>
  <si>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</si>
  <si>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</si>
  <si>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</si>
  <si>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</si>
  <si>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</si>
  <si>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</si>
  <si>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</si>
  <si>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</si>
  <si>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</si>
  <si>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</si>
  <si>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</si>
  <si>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</si>
  <si>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</si>
  <si>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</si>
  <si>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</si>
  <si>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</si>
  <si>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</si>
  <si>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</si>
  <si>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</si>
  <si>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</si>
  <si>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</si>
  <si>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</si>
  <si>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</si>
  <si>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</si>
  <si>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</si>
  <si>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</si>
  <si>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</si>
  <si>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</si>
  <si>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</si>
  <si>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</si>
  <si>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</si>
  <si>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</si>
  <si>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</si>
  <si>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</si>
  <si>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</si>
  <si>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</si>
  <si>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</si>
  <si>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</si>
  <si>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</si>
  <si>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</si>
  <si>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</si>
  <si>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</si>
  <si>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</si>
  <si>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</si>
  <si>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</si>
  <si>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</si>
  <si>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</si>
  <si>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</si>
  <si>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</si>
  <si>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</si>
  <si>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</si>
  <si>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</si>
  <si>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</si>
  <si>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</si>
  <si>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</si>
  <si>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</si>
  <si>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</si>
  <si>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</si>
  <si>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</si>
  <si>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</si>
  <si>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</si>
  <si>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</si>
  <si>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</si>
  <si>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</si>
  <si>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</si>
  <si>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</si>
  <si>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</si>
  <si>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</si>
  <si>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</si>
  <si>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Mayo - 2021</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</si>
  <si>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</si>
  <si>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</si>
  <si>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</si>
  <si>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</si>
  <si>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</si>
  <si>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</si>
  <si>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</si>
  <si>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</si>
  <si>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</si>
  <si>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</si>
  <si>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</si>
  <si>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</si>
  <si>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</si>
  <si>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</si>
  <si>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</si>
  <si>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</si>
  <si>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</si>
  <si>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</si>
  <si>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</si>
  <si>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</si>
  <si>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</si>
  <si>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</si>
  <si>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</si>
  <si>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</si>
  <si>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N° 27</t>
  </si>
  <si>
    <t>N° 28</t>
  </si>
  <si>
    <t>N° 99</t>
  </si>
  <si>
    <t>julio - 2021</t>
  </si>
  <si>
    <t xml:space="preserve">RECURSOS ORDINARIOS - DETERMINADOS </t>
  </si>
  <si>
    <t>CUADERNO 18</t>
  </si>
  <si>
    <t>N° 01</t>
  </si>
  <si>
    <t>N° 22</t>
  </si>
  <si>
    <t>agosto - 2021</t>
  </si>
  <si>
    <t>N° 23</t>
  </si>
  <si>
    <t>N° 40</t>
  </si>
  <si>
    <t>Setiembre - 2021</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</si>
  <si>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</si>
  <si>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</si>
  <si>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</si>
  <si>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</si>
  <si>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</si>
  <si>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</si>
  <si>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</si>
  <si>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</si>
  <si>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</si>
  <si>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</si>
  <si>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</si>
  <si>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SIN SALDO</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</si>
  <si>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</si>
  <si>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</si>
  <si>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</si>
  <si>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</si>
  <si>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</si>
  <si>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</si>
  <si>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</si>
  <si>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</si>
  <si>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</si>
  <si>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</si>
  <si>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</si>
  <si>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</si>
  <si>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</si>
  <si>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</si>
  <si>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</si>
  <si>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</si>
  <si>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electricas</t>
  </si>
  <si>
    <t>especiales</t>
  </si>
  <si>
    <t>Partidas del Expediente Aprobado y adicionales de obra (mayores metrados y partidas nuevas)</t>
  </si>
  <si>
    <t>FECHA  :</t>
  </si>
  <si>
    <t>diciembre - 2021</t>
  </si>
  <si>
    <t>CUADERNO 20</t>
  </si>
  <si>
    <t>N° 72</t>
  </si>
  <si>
    <t>N° 73</t>
  </si>
  <si>
    <t>E=DEDUCTIVO DE OBRA, AMP. PPTAL N° 04</t>
  </si>
  <si>
    <t>COSTO DIRECTO CONTRACTUAL</t>
  </si>
  <si>
    <t>ADICIONALES A+B+C+D- DEDUCTIVO</t>
  </si>
  <si>
    <t>GG AMP.PPTAL 2 (COVID)</t>
  </si>
  <si>
    <t>GG CONTRACTUAL</t>
  </si>
  <si>
    <t>GG AMP.PPTAL 3</t>
  </si>
  <si>
    <t>GG</t>
  </si>
  <si>
    <t>SP</t>
  </si>
  <si>
    <t>VALORIZACIÓN DE PARTIDAS PROGRAMADAS</t>
  </si>
  <si>
    <t>Arquitectura</t>
  </si>
  <si>
    <t>OK</t>
  </si>
  <si>
    <t>CUADRO RESPECTO AL PRESUPUESTO ASIGNADO AL 2022</t>
  </si>
  <si>
    <t>CUADRO RESPECTO AL PIM (ASIGNADO 20201)</t>
  </si>
  <si>
    <t>CUADRO RESPECTO AL PIM (ASIGNADO 2022)</t>
  </si>
  <si>
    <t>Enero- 2022</t>
  </si>
  <si>
    <t>Mes de: julio del 2019 - enero de 2022</t>
  </si>
  <si>
    <t>N° 54</t>
  </si>
  <si>
    <t>N° 53</t>
  </si>
  <si>
    <t>CUADERNO 21</t>
  </si>
  <si>
    <t>N° 26</t>
  </si>
  <si>
    <t>: ING. OSWAL J. JAVIER RAMOS</t>
  </si>
  <si>
    <t>(DEL 07 AL 28 DE FEBRERO DE 2022)</t>
  </si>
  <si>
    <t>: ADMINISTRACIÓN DIRECTA</t>
  </si>
  <si>
    <t>FICHA TÉCNICA DEL PROYECTO</t>
  </si>
  <si>
    <t>043 - 2022</t>
  </si>
  <si>
    <t>CUADRO DE RESUMEN DE METRADOS</t>
  </si>
  <si>
    <t>Febrero- 2022</t>
  </si>
  <si>
    <t>N° 08</t>
  </si>
  <si>
    <t>CUADERNO 22</t>
  </si>
  <si>
    <t>CUADERNO 23</t>
  </si>
  <si>
    <t>N° 09</t>
  </si>
  <si>
    <t>Marzo-2022</t>
  </si>
  <si>
    <t>Marzo- 2022</t>
  </si>
  <si>
    <t>N° 32</t>
  </si>
  <si>
    <t>22 EDUCACIÓN</t>
  </si>
  <si>
    <t>047 EDUCACION BÁSICA</t>
  </si>
  <si>
    <t>Del 01 al  30 de abril de 2022</t>
  </si>
  <si>
    <t>INFORME CORRESPONDIENTE AL MES DE ABRIL DE 2022</t>
  </si>
  <si>
    <t>INFORME MENSUAL/FINAL DE OBRA Nº 34</t>
  </si>
  <si>
    <t xml:space="preserve">   MES: ABRIL - 2022</t>
  </si>
  <si>
    <t>MES DE ABRIL - 2022</t>
  </si>
  <si>
    <t>Abril de 2022</t>
  </si>
  <si>
    <t>RESUMEN DE VALORIZACION ABRIL 2022</t>
  </si>
  <si>
    <t>INFORME CORRESPONDIENTE DEL MES DE ABRIL DEL 2022</t>
  </si>
  <si>
    <t>INFORME CORRESPONDIENTE AL MES DE ABRIL DEL 2022</t>
  </si>
  <si>
    <t>INFORME CORRESPONDIENTE AL MES DE ABRIL 2022</t>
  </si>
  <si>
    <t xml:space="preserve"> INFORME CORRESPONDIENTE AL MES DE ABRIL DE 2022</t>
  </si>
  <si>
    <t>AV GARCILASO</t>
  </si>
  <si>
    <t>CUADERNO 24</t>
  </si>
  <si>
    <t>N° 33</t>
  </si>
  <si>
    <t>Abril-2022</t>
  </si>
  <si>
    <t>Abril- 2022</t>
  </si>
  <si>
    <t xml:space="preserve">SEGURO COMPLEMENTARIO DE TRABAJO DE RIESGO  - PENSION </t>
  </si>
  <si>
    <t>CPC. DAMELY Y. CHANI AVILA</t>
  </si>
  <si>
    <t>VALORIZACIÓN DEDUCTIVOS</t>
  </si>
  <si>
    <t>ARQ. GRETEL PANDO ESPINOZA</t>
  </si>
  <si>
    <t>Nombre del responsable de la supervisión del proyecto</t>
  </si>
  <si>
    <t>GRETEL PANDO ESPINOZA</t>
  </si>
  <si>
    <t>ARQUITECTA</t>
  </si>
  <si>
    <t>DAMELLY YDALIA CHANI AVILA</t>
  </si>
  <si>
    <t>CONTADORA PÚBLICA COLEGIADA</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</si>
  <si>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En el tercer nivel se ubica la sala de espera, sala de reuniones, dirección. En el cuarto nivel se considera un ambiente para actividades libres.
Bloque 2.- 
Se destina al uso de aulas estándar; 03 en el primer nivel, 03 en el segundo nivel, 03 aulas en el tercer nivel. En el cuarto nivel se considera un ambiente para actividades libres.
Bloque 3.-
Se destina al uso de servicios higiénicos que incluye para discapacitados, cuarto de tableros eléctricos, que van desde el primer al cuarto nivel.
Bloque 4.-
El primer nivel se destina al uso de la tienda escolar, biblioteca, depósito de libros, 01 aula estándar, oficina y depósito de educación física para primaria, psicología, enfermería. En el segundo nivel se destina al uso de oficina de APAFA, sala de docentes, aula estándar, laboratorio y SS.HH. En el tercer nivel se destina al uso de taller de arte, aula estándar, biblioteca y SS.HH.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tableros eléctricos, que van del primer al tercer nivel.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El tercer nivel está destinado de a la dirección, sub dirección, oficina de APAFA, sala de docentes, of. de coordinación pedagógica y SS.HH.                                                                                                                                                                                                                                                                                                     Bloque 11.- 
El bloque 11 está destinada a la sala de oratorio, sacristía, confesionario, almacén, SS.HH., y la rampa para discapacitados que va del primer al tercer nivel.
</t>
  </si>
  <si>
    <t>Ampliación de Plazo Nº 5</t>
  </si>
  <si>
    <t>En trámite</t>
  </si>
  <si>
    <t>Fecha de culminación reprogramada</t>
  </si>
  <si>
    <t xml:space="preserve">1. Elaboracion de términos de referencia y especificaciones técnicas de las diferentes especialidades.
2. Seguimiento al trámite administrativo de la adquisición de materiales(bienes) y contratación de servicios. 
3. Recepción de documentos y memorandos emitidos por la Sub Gerencia de Obras del G.R. APURIMAC.
4.- Emision de tareos del personal obrero.
5. Emisión de conformidades de pago de órdenes de compra de materiales que se viene recepcionando.
6.- En el presente mes la ejecucion fisica de la obra inicia en fecha 01, siendo las actividades las siguientes:
7.- Construccion de zapatas y columnas, para escalera metálica Nº 04.
8.- Construcción de pozo percolador y cajas de inspección en red pluvial del nivel secundario.
9.- Intalación de tubería y cableado de instalaciones eléctricas.
10.- intalacion de tuberia y cableado de instalaciones especiales.
11.- Colocación de aparatos sanitarios.
12.- Pintado de cielo rasos, muros interiores y exteriores.
13.-Tarrajeo de gradas en escalera de ingreso principal.
14.- Instalación de  porcelanatos en pisos, contrazócalos y zócalos.
15.- Colocación de puertas de madera.
16.- Armado de malla de temperatura para losa deportiva del nivel secundario.
17.- Vaciado de concreto en veredas exteriores en Av. Garcilaso.
18.- Vaciado de concreto f'c= 210 kg/cm2 en pisos estampados.                                                                                                                                                                                                                                                                                                                                                                                                                                                                                                          19.- Vaciado de concreto f'c= 210 kg/cm2 en losa deportiva del nivel secundario.
</t>
  </si>
  <si>
    <t>VALORIZACION Nº 17 DE LA AMPLIACION PRESUPUESTAL N°03</t>
  </si>
  <si>
    <t>VALORIZACION Nº 16 DE LA AMPLIACION PRESUPUESTAL N° 4 MAYORES METRADOS</t>
  </si>
  <si>
    <t>VALORIZACION Nº 16 DE LA AMPLIACION PRESUPUESTAL N° 04 POR PARTIDAS NUEVAS</t>
  </si>
  <si>
    <t xml:space="preserve">VALORIZACION Nº 17 DEDUCTIVO DE LA AMPLIACION PRESUPUESTAL N°03 </t>
  </si>
  <si>
    <t xml:space="preserve">         LOSA NERVADA-BLOQUE DE POLIESTIRENO DE 35X35 CM</t>
  </si>
  <si>
    <t>Nombre del responsable de la asistencia administrativa del proyecto</t>
  </si>
  <si>
    <t>ZONA INTERMEDIA (SUM, ORATORIO, ESTACIONAMIENTO)</t>
  </si>
  <si>
    <t>ESCALERAS DE INGRESO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</si>
  <si>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11 Bloques entre Primaria y Secundaria, 01 Estacionamiento, 04 Quioscos, 02 Guardianías, 02 Canchas deportivas Multiuso, 04 Ingresos diferenciados entre Primaria, Secundaria, Estacionamiento e Ingreso Auxiliar, 02 cisternas para primaria y secundaria con caseta de bombeo y cerco perimétrico.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</si>
</sst>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4" formatCode="_-&quot;S/&quot;* #,##0.00_-;\-&quot;S/&quot;* #,##0.00_-;_-&quot;S/&quot;* &quot;-&quot;??_-;_-@_-"/>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
    <numFmt numFmtId="181" formatCode="#,##0.000000000000"/>
    <numFmt numFmtId="182" formatCode="#,##0.0_ ;\-#,##0.0\ "/>
    <numFmt numFmtId="183" formatCode="0.0%"/>
    <numFmt numFmtId="184" formatCode="_-* #,##0.00\ [$€]_-;\-* #,##0.00\ [$€]_-;_-* &quot;-&quot;??\ [$€]_-;_-@_-"/>
    <numFmt numFmtId="185" formatCode="_-* #,##0.00\ _€_-;\-* #,##0.00\ _€_-;_-* &quot;-&quot;??\ _€_-;_-@_-"/>
    <numFmt numFmtId="186" formatCode="_ * #,##0.0000_ ;_ * \-#,##0.0000_ ;_ * &quot;-&quot;??_ ;_ @_ "/>
    <numFmt numFmtId="187" formatCode="#,##0.000000000"/>
  </numFmts>
  <fonts count="20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10"/>
      <color rgb="FFFF0000"/>
      <name val="Arial Narrow"/>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12"/>
      <color rgb="FFFF0000"/>
      <name val="Agency FB"/>
      <family val="2"/>
    </font>
    <font>
      <b/>
      <sz val="11"/>
      <color indexed="8"/>
      <name val="Arial Narrow"/>
      <family val="2"/>
    </font>
    <font>
      <sz val="8"/>
      <color rgb="FF000000"/>
      <name val="Lato_Regular"/>
    </font>
    <font>
      <sz val="8"/>
      <color rgb="FF16385C"/>
      <name val="Lato_Regular"/>
    </font>
    <font>
      <sz val="8"/>
      <name val="Arial"/>
      <family val="2"/>
    </font>
    <font>
      <sz val="11"/>
      <color theme="1"/>
      <name val="Arial Narrow"/>
      <family val="2"/>
    </font>
  </fonts>
  <fills count="33">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95">
    <xf numFmtId="0" fontId="0" fillId="0" borderId="0"/>
    <xf numFmtId="168"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68" fillId="0" borderId="0" applyFont="0" applyFill="0" applyBorder="0" applyAlignment="0" applyProtection="0"/>
    <xf numFmtId="169" fontId="19" fillId="0" borderId="0" applyFont="0" applyFill="0" applyBorder="0" applyAlignment="0" applyProtection="0"/>
    <xf numFmtId="164" fontId="68" fillId="0" borderId="0" applyFont="0" applyFill="0" applyBorder="0" applyAlignment="0" applyProtection="0"/>
    <xf numFmtId="166" fontId="19" fillId="0" borderId="0" applyFont="0" applyFill="0" applyBorder="0" applyAlignment="0" applyProtection="0">
      <alignment vertical="center"/>
    </xf>
    <xf numFmtId="0" fontId="19" fillId="0" borderId="0" applyFont="0" applyFill="0" applyBorder="0" applyAlignment="0" applyProtection="0"/>
    <xf numFmtId="0" fontId="68" fillId="0" borderId="0"/>
    <xf numFmtId="0" fontId="55" fillId="0" borderId="0">
      <alignment vertical="top"/>
    </xf>
    <xf numFmtId="0" fontId="68" fillId="0" borderId="0"/>
    <xf numFmtId="0" fontId="19" fillId="0" borderId="0"/>
    <xf numFmtId="0" fontId="19" fillId="0" borderId="0"/>
    <xf numFmtId="0" fontId="19" fillId="0" borderId="0"/>
    <xf numFmtId="0" fontId="19" fillId="0" borderId="0"/>
    <xf numFmtId="0" fontId="19" fillId="0" borderId="0"/>
    <xf numFmtId="0" fontId="20" fillId="0" borderId="0">
      <alignment vertical="center"/>
    </xf>
    <xf numFmtId="0" fontId="68" fillId="0" borderId="0"/>
    <xf numFmtId="0" fontId="19" fillId="0" borderId="0"/>
    <xf numFmtId="0" fontId="27" fillId="0" borderId="0"/>
    <xf numFmtId="0" fontId="68" fillId="0" borderId="0"/>
    <xf numFmtId="0" fontId="68" fillId="0" borderId="0"/>
    <xf numFmtId="0" fontId="19" fillId="0" borderId="0"/>
    <xf numFmtId="0" fontId="55" fillId="0" borderId="0">
      <alignment vertical="top"/>
    </xf>
    <xf numFmtId="0" fontId="20" fillId="0" borderId="0">
      <alignment vertical="center"/>
    </xf>
    <xf numFmtId="0" fontId="20" fillId="0" borderId="0">
      <alignment vertical="center"/>
    </xf>
    <xf numFmtId="9" fontId="19" fillId="0" borderId="0" applyFont="0" applyFill="0" applyBorder="0" applyAlignment="0" applyProtection="0"/>
    <xf numFmtId="9" fontId="19" fillId="0" borderId="0" applyFont="0" applyFill="0" applyBorder="0" applyAlignment="0" applyProtection="0">
      <alignment vertical="center"/>
    </xf>
    <xf numFmtId="9" fontId="19" fillId="0" borderId="0" applyFont="0" applyFill="0" applyBorder="0" applyAlignment="0" applyProtection="0"/>
    <xf numFmtId="9" fontId="19" fillId="0" borderId="0" applyFont="0" applyFill="0" applyBorder="0" applyAlignment="0" applyProtection="0"/>
    <xf numFmtId="0" fontId="28" fillId="0" borderId="0" applyNumberFormat="0" applyFill="0" applyBorder="0" applyProtection="0">
      <alignment vertical="center"/>
    </xf>
    <xf numFmtId="9" fontId="68" fillId="0" borderId="0" applyFont="0" applyFill="0" applyBorder="0" applyAlignment="0" applyProtection="0"/>
    <xf numFmtId="0" fontId="15" fillId="0" borderId="0"/>
    <xf numFmtId="9" fontId="83" fillId="0" borderId="0" applyFont="0" applyFill="0" applyBorder="0" applyAlignment="0" applyProtection="0"/>
    <xf numFmtId="0" fontId="14" fillId="0" borderId="0"/>
    <xf numFmtId="0" fontId="13" fillId="0" borderId="0"/>
    <xf numFmtId="0" fontId="13" fillId="0" borderId="0"/>
    <xf numFmtId="0" fontId="85" fillId="0" borderId="0"/>
    <xf numFmtId="0" fontId="12" fillId="0" borderId="0"/>
    <xf numFmtId="164" fontId="135" fillId="0" borderId="0" applyFont="0" applyFill="0" applyBorder="0" applyAlignment="0" applyProtection="0"/>
    <xf numFmtId="9" fontId="149" fillId="0" borderId="0" applyFont="0" applyFill="0" applyBorder="0" applyAlignment="0" applyProtection="0"/>
    <xf numFmtId="0" fontId="19" fillId="0" borderId="0"/>
    <xf numFmtId="178" fontId="19" fillId="0" borderId="0" applyFont="0" applyFill="0" applyBorder="0" applyAlignment="0" applyProtection="0"/>
    <xf numFmtId="166" fontId="1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9" fillId="0" borderId="0"/>
    <xf numFmtId="0" fontId="8" fillId="0" borderId="0"/>
    <xf numFmtId="0" fontId="19" fillId="0" borderId="0"/>
    <xf numFmtId="0" fontId="19" fillId="0" borderId="0"/>
    <xf numFmtId="0" fontId="20" fillId="0" borderId="0">
      <alignment vertical="center"/>
    </xf>
    <xf numFmtId="165" fontId="19" fillId="0" borderId="0" applyFont="0" applyFill="0" applyBorder="0" applyAlignment="0" applyProtection="0"/>
    <xf numFmtId="184" fontId="19" fillId="0" borderId="0"/>
    <xf numFmtId="0" fontId="55" fillId="0" borderId="0">
      <alignment vertical="top"/>
    </xf>
    <xf numFmtId="0" fontId="7" fillId="0" borderId="0"/>
    <xf numFmtId="164" fontId="1" fillId="0" borderId="0" applyFont="0" applyFill="0" applyBorder="0" applyAlignment="0" applyProtection="0"/>
    <xf numFmtId="164" fontId="1" fillId="0" borderId="0" applyFont="0" applyFill="0" applyBorder="0" applyAlignment="0" applyProtection="0"/>
    <xf numFmtId="43" fontId="19"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9" fillId="0" borderId="0" applyFont="0" applyFill="0" applyBorder="0" applyAlignment="0" applyProtection="0"/>
    <xf numFmtId="0" fontId="1" fillId="0" borderId="0"/>
  </cellStyleXfs>
  <cellXfs count="3339">
    <xf numFmtId="0" fontId="0" fillId="0" borderId="0" xfId="0"/>
    <xf numFmtId="0" fontId="20" fillId="0" borderId="0" xfId="12" applyFont="1"/>
    <xf numFmtId="0" fontId="18" fillId="0" borderId="0" xfId="12" applyFont="1"/>
    <xf numFmtId="0" fontId="20" fillId="0" borderId="0" xfId="12" applyFont="1" applyAlignment="1">
      <alignment horizontal="center"/>
    </xf>
    <xf numFmtId="0" fontId="20" fillId="0" borderId="0" xfId="12" applyFont="1" applyFill="1"/>
    <xf numFmtId="0" fontId="19" fillId="0" borderId="0" xfId="12" applyFont="1"/>
    <xf numFmtId="0" fontId="18" fillId="0" borderId="0" xfId="12" applyFont="1" applyFill="1" applyAlignment="1">
      <alignment horizontal="center"/>
    </xf>
    <xf numFmtId="0" fontId="18" fillId="0" borderId="0" xfId="12" applyFont="1" applyFill="1"/>
    <xf numFmtId="4" fontId="18" fillId="0" borderId="0" xfId="12" applyNumberFormat="1" applyFont="1" applyFill="1" applyAlignment="1">
      <alignment vertical="top"/>
    </xf>
    <xf numFmtId="4" fontId="18" fillId="0" borderId="0" xfId="12" applyNumberFormat="1" applyFont="1" applyFill="1" applyAlignment="1">
      <alignment horizontal="center" vertical="top"/>
    </xf>
    <xf numFmtId="0" fontId="18" fillId="0" borderId="0" xfId="12" applyFont="1" applyAlignment="1">
      <alignment vertical="top"/>
    </xf>
    <xf numFmtId="4" fontId="18" fillId="0" borderId="0" xfId="12" applyNumberFormat="1" applyFont="1" applyFill="1"/>
    <xf numFmtId="4" fontId="18" fillId="0" borderId="0" xfId="12" applyNumberFormat="1" applyFont="1" applyFill="1" applyAlignment="1">
      <alignment horizontal="center"/>
    </xf>
    <xf numFmtId="14" fontId="20" fillId="0" borderId="0" xfId="12" applyNumberFormat="1" applyFont="1" applyAlignment="1">
      <alignment horizontal="left"/>
    </xf>
    <xf numFmtId="49" fontId="20" fillId="0" borderId="0" xfId="12" applyNumberFormat="1" applyFont="1"/>
    <xf numFmtId="1" fontId="20" fillId="0" borderId="0" xfId="12" applyNumberFormat="1" applyFont="1" applyAlignment="1">
      <alignment horizontal="left"/>
    </xf>
    <xf numFmtId="0" fontId="19" fillId="4" borderId="0" xfId="12" applyFont="1" applyFill="1"/>
    <xf numFmtId="0" fontId="21" fillId="0" borderId="12" xfId="12" applyFont="1" applyBorder="1" applyAlignment="1" applyProtection="1">
      <alignment vertical="center"/>
      <protection locked="0"/>
    </xf>
    <xf numFmtId="0" fontId="22" fillId="0" borderId="0" xfId="12" applyFont="1"/>
    <xf numFmtId="0" fontId="23" fillId="0" borderId="12" xfId="12" applyFont="1" applyBorder="1" applyAlignment="1" applyProtection="1">
      <alignment vertical="center"/>
      <protection locked="0"/>
    </xf>
    <xf numFmtId="4" fontId="22" fillId="0" borderId="12" xfId="12" applyNumberFormat="1" applyFont="1" applyFill="1" applyBorder="1"/>
    <xf numFmtId="2" fontId="22" fillId="0" borderId="12" xfId="12" applyNumberFormat="1" applyFont="1" applyBorder="1"/>
    <xf numFmtId="4" fontId="22" fillId="0" borderId="12" xfId="12" applyNumberFormat="1" applyFont="1" applyBorder="1"/>
    <xf numFmtId="10" fontId="22" fillId="0" borderId="12" xfId="12" applyNumberFormat="1" applyFont="1" applyBorder="1"/>
    <xf numFmtId="0" fontId="24" fillId="0" borderId="12" xfId="12" applyFont="1" applyBorder="1" applyAlignment="1" applyProtection="1">
      <alignment vertical="center"/>
      <protection locked="0"/>
    </xf>
    <xf numFmtId="4" fontId="24" fillId="0" borderId="12" xfId="12" applyNumberFormat="1" applyFont="1" applyBorder="1" applyAlignment="1" applyProtection="1">
      <alignment vertical="center"/>
      <protection locked="0"/>
    </xf>
    <xf numFmtId="4" fontId="22" fillId="0" borderId="0" xfId="12" applyNumberFormat="1" applyFont="1"/>
    <xf numFmtId="0" fontId="19" fillId="0" borderId="0" xfId="12" applyNumberFormat="1" applyFont="1"/>
    <xf numFmtId="10" fontId="18" fillId="0" borderId="5" xfId="12" applyNumberFormat="1" applyFont="1" applyBorder="1" applyAlignment="1">
      <alignment horizontal="center"/>
    </xf>
    <xf numFmtId="0" fontId="20" fillId="0" borderId="0" xfId="12" applyNumberFormat="1" applyFont="1" applyBorder="1"/>
    <xf numFmtId="0" fontId="18" fillId="0" borderId="0" xfId="12" applyNumberFormat="1" applyFont="1" applyBorder="1" applyAlignment="1">
      <alignment horizontal="right"/>
    </xf>
    <xf numFmtId="0" fontId="20" fillId="0" borderId="0" xfId="12" applyNumberFormat="1" applyFont="1" applyBorder="1" applyAlignment="1">
      <alignment horizontal="center" vertical="center"/>
    </xf>
    <xf numFmtId="0" fontId="18" fillId="0" borderId="0" xfId="12" applyNumberFormat="1" applyFont="1" applyBorder="1"/>
    <xf numFmtId="0" fontId="18" fillId="0" borderId="0" xfId="12" applyNumberFormat="1" applyFont="1" applyFill="1" applyBorder="1"/>
    <xf numFmtId="0" fontId="18" fillId="0" borderId="0" xfId="12" applyNumberFormat="1" applyFont="1" applyFill="1" applyBorder="1" applyAlignment="1">
      <alignment horizontal="right"/>
    </xf>
    <xf numFmtId="0" fontId="20" fillId="0" borderId="0" xfId="12" applyNumberFormat="1" applyFont="1" applyFill="1" applyBorder="1" applyAlignment="1">
      <alignment horizontal="right"/>
    </xf>
    <xf numFmtId="4" fontId="18" fillId="0" borderId="0" xfId="12" applyNumberFormat="1" applyFont="1" applyBorder="1" applyAlignment="1">
      <alignment horizontal="right"/>
    </xf>
    <xf numFmtId="10" fontId="26" fillId="0" borderId="16" xfId="12" applyNumberFormat="1" applyFont="1" applyFill="1" applyBorder="1" applyAlignment="1">
      <alignment horizontal="right"/>
    </xf>
    <xf numFmtId="0" fontId="19" fillId="2" borderId="16" xfId="12" applyNumberFormat="1" applyFont="1" applyFill="1" applyBorder="1"/>
    <xf numFmtId="0" fontId="0" fillId="2" borderId="16" xfId="12" applyNumberFormat="1" applyFont="1" applyFill="1" applyBorder="1"/>
    <xf numFmtId="0" fontId="26" fillId="2" borderId="16" xfId="12" applyNumberFormat="1" applyFont="1" applyFill="1" applyBorder="1" applyAlignment="1">
      <alignment horizontal="right"/>
    </xf>
    <xf numFmtId="0" fontId="19" fillId="0" borderId="0" xfId="12" applyNumberFormat="1" applyFont="1" applyBorder="1"/>
    <xf numFmtId="0" fontId="19" fillId="0" borderId="0" xfId="12" applyNumberFormat="1" applyFont="1" applyAlignment="1">
      <alignment horizontal="center" vertical="center"/>
    </xf>
    <xf numFmtId="0" fontId="26" fillId="0" borderId="0" xfId="12" applyNumberFormat="1" applyFont="1" applyBorder="1"/>
    <xf numFmtId="0" fontId="19" fillId="0" borderId="0" xfId="12" applyNumberFormat="1" applyFont="1" applyFill="1" applyBorder="1"/>
    <xf numFmtId="0" fontId="26" fillId="0" borderId="0" xfId="12" applyNumberFormat="1" applyFont="1" applyFill="1" applyBorder="1" applyAlignment="1">
      <alignment horizontal="right"/>
    </xf>
    <xf numFmtId="0" fontId="19"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22" fillId="0" borderId="0" xfId="12" applyFont="1" applyFill="1"/>
    <xf numFmtId="4" fontId="18" fillId="0" borderId="0" xfId="12" applyNumberFormat="1" applyFont="1" applyBorder="1"/>
    <xf numFmtId="14" fontId="20" fillId="0" borderId="0" xfId="12" applyNumberFormat="1" applyFont="1" applyAlignment="1">
      <alignment vertical="top"/>
    </xf>
    <xf numFmtId="0" fontId="19" fillId="0" borderId="0" xfId="12" applyFont="1" applyBorder="1"/>
    <xf numFmtId="0" fontId="19" fillId="0" borderId="0" xfId="12" applyFont="1" applyFill="1" applyBorder="1"/>
    <xf numFmtId="0" fontId="19" fillId="0" borderId="5" xfId="12" applyFont="1" applyFill="1" applyBorder="1"/>
    <xf numFmtId="0" fontId="26" fillId="0" borderId="0" xfId="12" applyNumberFormat="1" applyFont="1" applyFill="1" applyBorder="1" applyAlignment="1">
      <alignment horizontal="center"/>
    </xf>
    <xf numFmtId="0" fontId="19" fillId="0" borderId="0" xfId="12" applyFont="1" applyFill="1"/>
    <xf numFmtId="0" fontId="19" fillId="0" borderId="0" xfId="12" applyNumberFormat="1" applyFont="1" applyFill="1"/>
    <xf numFmtId="0" fontId="26" fillId="0" borderId="16" xfId="12" applyNumberFormat="1" applyFont="1" applyFill="1" applyBorder="1"/>
    <xf numFmtId="0" fontId="26" fillId="0" borderId="0" xfId="12" applyNumberFormat="1" applyFont="1" applyFill="1" applyBorder="1"/>
    <xf numFmtId="2" fontId="29" fillId="0" borderId="0" xfId="23" applyNumberFormat="1" applyFont="1" applyFill="1" applyBorder="1" applyAlignment="1"/>
    <xf numFmtId="2" fontId="16" fillId="0" borderId="0" xfId="23" applyNumberFormat="1" applyFont="1" applyFill="1" applyBorder="1"/>
    <xf numFmtId="2" fontId="16" fillId="0" borderId="0" xfId="23" applyNumberFormat="1" applyFont="1" applyFill="1" applyBorder="1" applyAlignment="1">
      <alignment horizontal="center"/>
    </xf>
    <xf numFmtId="2" fontId="16" fillId="0" borderId="0" xfId="23" applyNumberFormat="1" applyFont="1" applyFill="1" applyBorder="1" applyAlignment="1">
      <alignment horizontal="right"/>
    </xf>
    <xf numFmtId="2" fontId="17" fillId="0" borderId="0" xfId="23" applyNumberFormat="1" applyFont="1" applyFill="1" applyBorder="1" applyAlignment="1">
      <alignment horizontal="right"/>
    </xf>
    <xf numFmtId="2" fontId="30" fillId="0" borderId="0" xfId="23" applyNumberFormat="1" applyFont="1" applyFill="1" applyBorder="1" applyAlignment="1">
      <alignment horizontal="right"/>
    </xf>
    <xf numFmtId="2" fontId="16" fillId="0" borderId="0" xfId="23" applyNumberFormat="1" applyFont="1" applyFill="1" applyBorder="1" applyAlignment="1"/>
    <xf numFmtId="2" fontId="30" fillId="0" borderId="0" xfId="23" applyNumberFormat="1" applyFont="1" applyFill="1" applyBorder="1" applyAlignment="1"/>
    <xf numFmtId="2" fontId="17" fillId="0" borderId="0" xfId="23" applyNumberFormat="1" applyFont="1" applyFill="1" applyBorder="1" applyAlignment="1"/>
    <xf numFmtId="2" fontId="17" fillId="0" borderId="0" xfId="23" applyNumberFormat="1" applyFont="1" applyFill="1" applyBorder="1"/>
    <xf numFmtId="2" fontId="32" fillId="0" borderId="0" xfId="23" applyNumberFormat="1" applyFont="1" applyFill="1" applyBorder="1"/>
    <xf numFmtId="2" fontId="33" fillId="0" borderId="0" xfId="23" applyNumberFormat="1" applyFont="1" applyFill="1"/>
    <xf numFmtId="2" fontId="32" fillId="0" borderId="0" xfId="23" applyNumberFormat="1" applyFont="1" applyFill="1" applyBorder="1" applyAlignment="1">
      <alignment horizontal="center"/>
    </xf>
    <xf numFmtId="2" fontId="34" fillId="0" borderId="0" xfId="23" applyNumberFormat="1" applyFont="1" applyFill="1" applyBorder="1" applyAlignment="1">
      <alignment horizontal="center"/>
    </xf>
    <xf numFmtId="2" fontId="34" fillId="0" borderId="0" xfId="23" applyNumberFormat="1" applyFont="1" applyFill="1" applyBorder="1" applyAlignment="1">
      <alignment horizontal="right"/>
    </xf>
    <xf numFmtId="2" fontId="34" fillId="0" borderId="0" xfId="23" applyNumberFormat="1" applyFont="1" applyFill="1" applyAlignment="1">
      <alignment horizontal="right"/>
    </xf>
    <xf numFmtId="2" fontId="32" fillId="0" borderId="0" xfId="23" applyNumberFormat="1" applyFont="1" applyFill="1" applyBorder="1" applyAlignment="1">
      <alignment horizontal="right"/>
    </xf>
    <xf numFmtId="2" fontId="35" fillId="0" borderId="0" xfId="23" applyNumberFormat="1" applyFont="1" applyFill="1" applyAlignment="1">
      <alignment horizontal="right"/>
    </xf>
    <xf numFmtId="2" fontId="17" fillId="5" borderId="8" xfId="23" applyNumberFormat="1" applyFont="1" applyFill="1" applyBorder="1" applyAlignment="1">
      <alignment horizontal="center"/>
    </xf>
    <xf numFmtId="2" fontId="30" fillId="5" borderId="8" xfId="23" applyNumberFormat="1" applyFont="1" applyFill="1" applyBorder="1" applyAlignment="1">
      <alignment horizontal="center"/>
    </xf>
    <xf numFmtId="2" fontId="33" fillId="0" borderId="0" xfId="23" applyNumberFormat="1" applyFont="1" applyFill="1" applyBorder="1"/>
    <xf numFmtId="2" fontId="19" fillId="0" borderId="23" xfId="8" applyNumberFormat="1" applyFont="1" applyFill="1" applyBorder="1" applyAlignment="1">
      <alignment horizontal="center"/>
    </xf>
    <xf numFmtId="2" fontId="19" fillId="0" borderId="23" xfId="8" applyNumberFormat="1" applyFont="1" applyFill="1" applyBorder="1" applyAlignment="1">
      <alignment horizontal="right"/>
    </xf>
    <xf numFmtId="2" fontId="19" fillId="0" borderId="24" xfId="8" applyNumberFormat="1" applyFont="1" applyFill="1" applyBorder="1" applyAlignment="1">
      <alignment horizontal="right"/>
    </xf>
    <xf numFmtId="2" fontId="30" fillId="0" borderId="24" xfId="23" applyNumberFormat="1" applyFont="1" applyFill="1" applyBorder="1" applyAlignment="1">
      <alignment horizontal="right"/>
    </xf>
    <xf numFmtId="2" fontId="19" fillId="0" borderId="24" xfId="8" applyNumberFormat="1" applyFont="1" applyFill="1" applyBorder="1" applyAlignment="1">
      <alignment horizontal="center"/>
    </xf>
    <xf numFmtId="2" fontId="43" fillId="0" borderId="0" xfId="23" applyNumberFormat="1" applyFont="1" applyFill="1" applyAlignment="1"/>
    <xf numFmtId="2" fontId="44" fillId="0" borderId="0" xfId="23" applyNumberFormat="1" applyFont="1" applyFill="1"/>
    <xf numFmtId="2" fontId="44" fillId="0" borderId="0" xfId="23" applyNumberFormat="1" applyFont="1" applyFill="1" applyAlignment="1">
      <alignment horizontal="center"/>
    </xf>
    <xf numFmtId="2" fontId="43" fillId="0" borderId="0" xfId="23" applyNumberFormat="1" applyFont="1" applyFill="1" applyAlignment="1">
      <alignment horizontal="center"/>
    </xf>
    <xf numFmtId="2" fontId="44" fillId="0" borderId="0" xfId="23" applyNumberFormat="1" applyFont="1" applyFill="1" applyAlignment="1">
      <alignment horizontal="right"/>
    </xf>
    <xf numFmtId="2" fontId="43" fillId="0" borderId="0" xfId="23" applyNumberFormat="1" applyFont="1" applyFill="1" applyAlignment="1">
      <alignment horizontal="right"/>
    </xf>
    <xf numFmtId="2" fontId="45" fillId="0" borderId="0" xfId="23" applyNumberFormat="1" applyFont="1" applyFill="1"/>
    <xf numFmtId="2" fontId="45" fillId="0" borderId="0" xfId="23" applyNumberFormat="1" applyFont="1" applyFill="1" applyBorder="1"/>
    <xf numFmtId="0" fontId="24" fillId="0" borderId="12" xfId="12" applyFont="1" applyBorder="1" applyAlignment="1" applyProtection="1">
      <alignment horizontal="center" vertical="center"/>
      <protection locked="0"/>
    </xf>
    <xf numFmtId="0" fontId="20" fillId="0" borderId="0" xfId="12" applyNumberFormat="1" applyFont="1" applyBorder="1" applyAlignment="1">
      <alignment horizontal="center"/>
    </xf>
    <xf numFmtId="0" fontId="19" fillId="0" borderId="0" xfId="12" applyNumberFormat="1" applyFont="1" applyBorder="1" applyAlignment="1">
      <alignment horizontal="center"/>
    </xf>
    <xf numFmtId="0" fontId="22" fillId="0" borderId="0" xfId="12" applyFont="1" applyAlignment="1">
      <alignment horizontal="center"/>
    </xf>
    <xf numFmtId="4" fontId="22" fillId="0" borderId="12" xfId="12" applyNumberFormat="1" applyFont="1" applyBorder="1" applyAlignment="1" applyProtection="1">
      <alignment vertical="center"/>
      <protection locked="0"/>
    </xf>
    <xf numFmtId="10" fontId="26" fillId="0" borderId="5" xfId="12" applyNumberFormat="1" applyFont="1" applyBorder="1" applyAlignment="1">
      <alignment horizontal="center"/>
    </xf>
    <xf numFmtId="0" fontId="26" fillId="0" borderId="0" xfId="12" applyNumberFormat="1" applyFont="1" applyBorder="1" applyAlignment="1">
      <alignment horizontal="right"/>
    </xf>
    <xf numFmtId="0" fontId="19" fillId="0" borderId="0" xfId="12" applyNumberFormat="1" applyFont="1" applyBorder="1" applyAlignment="1">
      <alignment horizontal="center" vertical="center"/>
    </xf>
    <xf numFmtId="10" fontId="26" fillId="5" borderId="16" xfId="12" applyNumberFormat="1" applyFont="1" applyFill="1" applyBorder="1" applyAlignment="1">
      <alignment horizontal="center"/>
    </xf>
    <xf numFmtId="4" fontId="46" fillId="0" borderId="5" xfId="12" applyNumberFormat="1" applyFont="1" applyFill="1" applyBorder="1" applyAlignment="1">
      <alignment horizontal="center" vertical="center"/>
    </xf>
    <xf numFmtId="10" fontId="46" fillId="0" borderId="5" xfId="29" applyNumberFormat="1" applyFont="1" applyFill="1" applyBorder="1" applyAlignment="1">
      <alignment horizontal="center" vertical="center"/>
    </xf>
    <xf numFmtId="0" fontId="70" fillId="0" borderId="0" xfId="0" applyFont="1" applyFill="1"/>
    <xf numFmtId="0" fontId="48" fillId="0" borderId="0" xfId="0" applyFont="1" applyFill="1"/>
    <xf numFmtId="0" fontId="48" fillId="0" borderId="0" xfId="0" applyFont="1" applyFill="1" applyBorder="1"/>
    <xf numFmtId="0" fontId="48" fillId="0" borderId="8" xfId="0" applyFont="1" applyFill="1" applyBorder="1"/>
    <xf numFmtId="0" fontId="0" fillId="0" borderId="0" xfId="0" applyAlignment="1">
      <alignment horizontal="center"/>
    </xf>
    <xf numFmtId="0" fontId="49" fillId="0" borderId="0" xfId="0" applyFont="1" applyFill="1"/>
    <xf numFmtId="0" fontId="50" fillId="0" borderId="0" xfId="0" applyFont="1" applyFill="1"/>
    <xf numFmtId="0" fontId="71" fillId="0" borderId="0" xfId="0" applyFont="1" applyFill="1"/>
    <xf numFmtId="0" fontId="51" fillId="0" borderId="0" xfId="0" applyFont="1" applyFill="1"/>
    <xf numFmtId="0" fontId="47" fillId="4" borderId="0" xfId="0" applyFont="1" applyFill="1"/>
    <xf numFmtId="0" fontId="44" fillId="0" borderId="5" xfId="0" applyFont="1" applyBorder="1"/>
    <xf numFmtId="0" fontId="43" fillId="0" borderId="5" xfId="0" applyFont="1" applyBorder="1" applyAlignment="1">
      <alignment horizontal="center"/>
    </xf>
    <xf numFmtId="2" fontId="43" fillId="0" borderId="5" xfId="0" applyNumberFormat="1" applyFont="1" applyFill="1" applyBorder="1"/>
    <xf numFmtId="2" fontId="44" fillId="0" borderId="5" xfId="0" applyNumberFormat="1" applyFont="1" applyFill="1" applyBorder="1"/>
    <xf numFmtId="2" fontId="43" fillId="0" borderId="5" xfId="0" applyNumberFormat="1" applyFont="1" applyFill="1" applyBorder="1" applyAlignment="1">
      <alignment horizontal="right"/>
    </xf>
    <xf numFmtId="4" fontId="16" fillId="0" borderId="0" xfId="23" applyNumberFormat="1" applyFont="1" applyFill="1" applyBorder="1" applyAlignment="1">
      <alignment horizontal="center"/>
    </xf>
    <xf numFmtId="4" fontId="44" fillId="0" borderId="5" xfId="23" applyNumberFormat="1" applyFont="1" applyFill="1" applyBorder="1" applyAlignment="1">
      <alignment horizontal="center"/>
    </xf>
    <xf numFmtId="4" fontId="44" fillId="0" borderId="5" xfId="0" applyNumberFormat="1" applyFont="1" applyBorder="1" applyAlignment="1">
      <alignment horizontal="center"/>
    </xf>
    <xf numFmtId="4" fontId="0" fillId="0" borderId="0" xfId="0" applyNumberFormat="1" applyAlignment="1">
      <alignment horizontal="center"/>
    </xf>
    <xf numFmtId="0" fontId="26" fillId="0" borderId="0" xfId="0" applyFont="1" applyAlignment="1">
      <alignment horizontal="center"/>
    </xf>
    <xf numFmtId="0" fontId="53" fillId="0" borderId="0" xfId="0" applyFont="1"/>
    <xf numFmtId="49" fontId="72" fillId="0" borderId="4" xfId="0" applyNumberFormat="1" applyFont="1" applyBorder="1"/>
    <xf numFmtId="49" fontId="72" fillId="0" borderId="9" xfId="0" applyNumberFormat="1" applyFont="1" applyBorder="1"/>
    <xf numFmtId="49" fontId="20" fillId="0" borderId="4" xfId="0" applyNumberFormat="1" applyFont="1" applyBorder="1"/>
    <xf numFmtId="49" fontId="20" fillId="0" borderId="9" xfId="0" applyNumberFormat="1" applyFont="1" applyBorder="1"/>
    <xf numFmtId="49" fontId="73" fillId="0" borderId="4" xfId="0" applyNumberFormat="1" applyFont="1" applyBorder="1"/>
    <xf numFmtId="49" fontId="73" fillId="0" borderId="9" xfId="0" applyNumberFormat="1" applyFont="1" applyBorder="1"/>
    <xf numFmtId="49" fontId="20" fillId="0" borderId="9" xfId="0" applyNumberFormat="1" applyFont="1" applyBorder="1" applyAlignment="1"/>
    <xf numFmtId="49" fontId="74" fillId="0" borderId="4" xfId="0" applyNumberFormat="1" applyFont="1" applyBorder="1"/>
    <xf numFmtId="49" fontId="74" fillId="0" borderId="9" xfId="0" applyNumberFormat="1" applyFont="1" applyBorder="1"/>
    <xf numFmtId="4" fontId="20" fillId="0" borderId="5" xfId="0" applyNumberFormat="1" applyFont="1" applyBorder="1"/>
    <xf numFmtId="2" fontId="44" fillId="0" borderId="5" xfId="0" applyNumberFormat="1" applyFont="1" applyBorder="1"/>
    <xf numFmtId="2" fontId="44" fillId="0" borderId="5" xfId="2" applyNumberFormat="1" applyFont="1" applyFill="1" applyBorder="1" applyAlignment="1">
      <alignment horizontal="right"/>
    </xf>
    <xf numFmtId="4" fontId="44" fillId="0" borderId="5" xfId="0" applyNumberFormat="1" applyFont="1" applyFill="1" applyBorder="1" applyAlignment="1">
      <alignment horizontal="center"/>
    </xf>
    <xf numFmtId="2" fontId="44" fillId="0" borderId="5" xfId="0" applyNumberFormat="1" applyFont="1" applyFill="1" applyBorder="1" applyAlignment="1">
      <alignment horizontal="center"/>
    </xf>
    <xf numFmtId="0" fontId="43" fillId="0" borderId="5" xfId="0" applyFont="1" applyBorder="1"/>
    <xf numFmtId="0" fontId="22" fillId="0" borderId="5" xfId="12" applyFont="1" applyBorder="1" applyAlignment="1" applyProtection="1">
      <alignment horizontal="center" vertical="center"/>
      <protection locked="0"/>
    </xf>
    <xf numFmtId="2" fontId="43" fillId="0" borderId="24" xfId="23" applyNumberFormat="1" applyFont="1" applyFill="1" applyBorder="1" applyAlignment="1">
      <alignment horizontal="right"/>
    </xf>
    <xf numFmtId="2" fontId="44" fillId="0" borderId="5" xfId="23" applyNumberFormat="1" applyFont="1" applyFill="1" applyBorder="1" applyAlignment="1">
      <alignment horizontal="center"/>
    </xf>
    <xf numFmtId="0" fontId="43" fillId="0" borderId="11" xfId="0" applyFont="1" applyBorder="1" applyAlignment="1">
      <alignment horizontal="center"/>
    </xf>
    <xf numFmtId="2" fontId="19" fillId="0" borderId="0" xfId="8" applyNumberFormat="1" applyFont="1" applyFill="1" applyBorder="1" applyAlignment="1">
      <alignment horizontal="right"/>
    </xf>
    <xf numFmtId="4" fontId="25"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52" fillId="0" borderId="6" xfId="23" applyNumberFormat="1" applyFont="1" applyFill="1" applyBorder="1" applyAlignment="1">
      <alignment horizontal="center"/>
    </xf>
    <xf numFmtId="0" fontId="44" fillId="0" borderId="6" xfId="0" applyFont="1" applyFill="1" applyBorder="1" applyAlignment="1">
      <alignment horizontal="center"/>
    </xf>
    <xf numFmtId="2" fontId="43" fillId="0" borderId="6" xfId="8" applyNumberFormat="1" applyFont="1" applyFill="1" applyBorder="1" applyAlignment="1">
      <alignment horizontal="right"/>
    </xf>
    <xf numFmtId="0" fontId="43" fillId="0" borderId="6" xfId="0" applyFont="1" applyBorder="1"/>
    <xf numFmtId="0" fontId="43" fillId="0" borderId="6" xfId="0" applyFont="1" applyFill="1" applyBorder="1" applyAlignment="1">
      <alignment horizontal="left"/>
    </xf>
    <xf numFmtId="0" fontId="44" fillId="0" borderId="6" xfId="0" applyFont="1" applyBorder="1"/>
    <xf numFmtId="2" fontId="43" fillId="0" borderId="6" xfId="2" applyNumberFormat="1" applyFont="1" applyFill="1" applyBorder="1" applyAlignment="1">
      <alignment horizontal="center" vertical="center"/>
    </xf>
    <xf numFmtId="0" fontId="54" fillId="0" borderId="6" xfId="0" applyFont="1" applyBorder="1"/>
    <xf numFmtId="2" fontId="44" fillId="4" borderId="6" xfId="23" applyNumberFormat="1" applyFont="1" applyFill="1" applyBorder="1" applyAlignment="1">
      <alignment horizontal="right"/>
    </xf>
    <xf numFmtId="2" fontId="76" fillId="0" borderId="6" xfId="2" applyNumberFormat="1" applyFont="1" applyFill="1" applyBorder="1" applyAlignment="1">
      <alignment horizontal="center" vertical="center"/>
    </xf>
    <xf numFmtId="0" fontId="0" fillId="0" borderId="6" xfId="0" applyBorder="1"/>
    <xf numFmtId="0" fontId="0" fillId="0" borderId="35" xfId="0" applyBorder="1"/>
    <xf numFmtId="2" fontId="16" fillId="0" borderId="0" xfId="23" applyNumberFormat="1" applyFont="1" applyFill="1" applyBorder="1" applyAlignment="1">
      <alignment horizontal="left"/>
    </xf>
    <xf numFmtId="2" fontId="29" fillId="0" borderId="0" xfId="23" applyNumberFormat="1" applyFont="1" applyFill="1" applyBorder="1" applyAlignment="1">
      <alignment horizontal="left"/>
    </xf>
    <xf numFmtId="2" fontId="17" fillId="0" borderId="0" xfId="23" applyNumberFormat="1" applyFont="1" applyFill="1" applyBorder="1" applyAlignment="1">
      <alignment horizontal="left"/>
    </xf>
    <xf numFmtId="0" fontId="0" fillId="0" borderId="0" xfId="0" applyAlignment="1">
      <alignment horizontal="left"/>
    </xf>
    <xf numFmtId="4" fontId="53" fillId="0" borderId="0" xfId="0" applyNumberFormat="1" applyFont="1"/>
    <xf numFmtId="0" fontId="16" fillId="0" borderId="0" xfId="12" applyFont="1" applyAlignment="1">
      <alignment vertical="top"/>
    </xf>
    <xf numFmtId="0" fontId="16" fillId="0" borderId="0" xfId="12" applyFont="1"/>
    <xf numFmtId="0" fontId="16" fillId="0" borderId="0" xfId="12" applyFont="1" applyAlignment="1">
      <alignment horizontal="center"/>
    </xf>
    <xf numFmtId="4" fontId="16" fillId="0" borderId="0" xfId="12" applyNumberFormat="1" applyFont="1" applyFill="1" applyAlignment="1">
      <alignment vertical="top"/>
    </xf>
    <xf numFmtId="4" fontId="16" fillId="0" borderId="0" xfId="12" applyNumberFormat="1" applyFont="1" applyFill="1" applyAlignment="1">
      <alignment horizontal="center" vertical="top"/>
    </xf>
    <xf numFmtId="0" fontId="26" fillId="0" borderId="0" xfId="12" applyFont="1"/>
    <xf numFmtId="0" fontId="19" fillId="0" borderId="0" xfId="12" applyFont="1" applyAlignment="1">
      <alignment horizontal="center"/>
    </xf>
    <xf numFmtId="170" fontId="22" fillId="0" borderId="0" xfId="12" applyNumberFormat="1" applyFont="1"/>
    <xf numFmtId="49" fontId="20" fillId="0" borderId="36" xfId="0" applyNumberFormat="1" applyFont="1" applyBorder="1"/>
    <xf numFmtId="49" fontId="72" fillId="0" borderId="36" xfId="0" applyNumberFormat="1" applyFont="1" applyBorder="1"/>
    <xf numFmtId="49" fontId="73" fillId="0" borderId="36" xfId="0" applyNumberFormat="1" applyFont="1" applyBorder="1"/>
    <xf numFmtId="49" fontId="74" fillId="0" borderId="36" xfId="0" applyNumberFormat="1" applyFont="1" applyBorder="1"/>
    <xf numFmtId="49" fontId="20" fillId="0" borderId="37" xfId="0" applyNumberFormat="1" applyFont="1" applyBorder="1"/>
    <xf numFmtId="49" fontId="20" fillId="0" borderId="31" xfId="0" applyNumberFormat="1" applyFont="1" applyBorder="1"/>
    <xf numFmtId="49" fontId="20" fillId="0" borderId="31" xfId="0" applyNumberFormat="1" applyFont="1" applyBorder="1" applyAlignment="1"/>
    <xf numFmtId="49" fontId="73" fillId="0" borderId="31" xfId="0" applyNumberFormat="1" applyFont="1" applyBorder="1" applyAlignment="1"/>
    <xf numFmtId="49" fontId="73" fillId="0" borderId="31" xfId="0" applyNumberFormat="1" applyFont="1" applyBorder="1"/>
    <xf numFmtId="49" fontId="72" fillId="0" borderId="31" xfId="0" applyNumberFormat="1" applyFont="1" applyBorder="1"/>
    <xf numFmtId="49" fontId="74" fillId="0" borderId="31" xfId="0" applyNumberFormat="1" applyFont="1" applyBorder="1"/>
    <xf numFmtId="49" fontId="20" fillId="0" borderId="39" xfId="0" applyNumberFormat="1" applyFont="1" applyBorder="1"/>
    <xf numFmtId="0" fontId="18" fillId="4" borderId="10" xfId="12" applyFont="1" applyFill="1" applyBorder="1" applyAlignment="1">
      <alignment horizontal="center" vertical="center"/>
    </xf>
    <xf numFmtId="0" fontId="22" fillId="0" borderId="10" xfId="12" applyFont="1" applyBorder="1" applyAlignment="1" applyProtection="1">
      <alignment horizontal="center" vertical="center"/>
      <protection locked="0"/>
    </xf>
    <xf numFmtId="0" fontId="24"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20" fillId="4" borderId="10" xfId="12" applyFont="1" applyFill="1" applyBorder="1" applyAlignment="1">
      <alignment horizontal="center" vertical="center"/>
    </xf>
    <xf numFmtId="0" fontId="21" fillId="0" borderId="10" xfId="12" applyFont="1" applyBorder="1" applyAlignment="1" applyProtection="1">
      <alignment vertical="center"/>
      <protection locked="0"/>
    </xf>
    <xf numFmtId="0" fontId="22" fillId="0" borderId="10" xfId="12" applyFont="1" applyBorder="1" applyAlignment="1" applyProtection="1">
      <alignment vertical="center"/>
      <protection locked="0"/>
    </xf>
    <xf numFmtId="0" fontId="24" fillId="0" borderId="10" xfId="12" applyFont="1" applyBorder="1" applyAlignment="1" applyProtection="1">
      <alignment vertical="center"/>
      <protection locked="0"/>
    </xf>
    <xf numFmtId="0" fontId="23" fillId="0" borderId="10" xfId="12" applyFont="1" applyBorder="1" applyAlignment="1" applyProtection="1">
      <alignment horizontal="center" vertical="center"/>
      <protection locked="0"/>
    </xf>
    <xf numFmtId="0" fontId="23" fillId="0" borderId="10" xfId="12" applyFont="1" applyBorder="1" applyAlignment="1" applyProtection="1">
      <alignment vertical="center"/>
      <protection locked="0"/>
    </xf>
    <xf numFmtId="0" fontId="24" fillId="0" borderId="41" xfId="12" applyFont="1" applyBorder="1" applyAlignment="1" applyProtection="1">
      <alignment horizontal="center" vertical="center"/>
      <protection locked="0"/>
    </xf>
    <xf numFmtId="4" fontId="19" fillId="4" borderId="0" xfId="12" applyNumberFormat="1" applyFont="1" applyFill="1"/>
    <xf numFmtId="10" fontId="22" fillId="0" borderId="0" xfId="12" applyNumberFormat="1" applyFont="1"/>
    <xf numFmtId="10" fontId="19" fillId="0" borderId="0" xfId="12" applyNumberFormat="1" applyFont="1" applyFill="1" applyBorder="1"/>
    <xf numFmtId="4" fontId="20" fillId="0" borderId="0" xfId="15" applyNumberFormat="1" applyFont="1" applyBorder="1"/>
    <xf numFmtId="4" fontId="58" fillId="0" borderId="0" xfId="15" applyNumberFormat="1" applyFont="1" applyBorder="1" applyAlignment="1">
      <alignment horizontal="center"/>
    </xf>
    <xf numFmtId="4" fontId="20" fillId="0" borderId="0" xfId="17" applyNumberFormat="1">
      <alignment vertical="center"/>
    </xf>
    <xf numFmtId="4" fontId="20" fillId="0" borderId="0" xfId="15" applyNumberFormat="1" applyFont="1" applyFill="1" applyBorder="1"/>
    <xf numFmtId="4" fontId="18" fillId="0" borderId="0" xfId="15" applyNumberFormat="1" applyFont="1" applyBorder="1"/>
    <xf numFmtId="49" fontId="20" fillId="0" borderId="43" xfId="25" applyNumberFormat="1" applyFont="1" applyBorder="1" applyAlignment="1">
      <alignment horizontal="left" vertical="center"/>
    </xf>
    <xf numFmtId="4" fontId="20" fillId="0" borderId="0" xfId="15" applyNumberFormat="1" applyFont="1" applyBorder="1" applyAlignment="1">
      <alignment horizontal="center"/>
    </xf>
    <xf numFmtId="4" fontId="18" fillId="0" borderId="0" xfId="15" applyNumberFormat="1" applyFont="1" applyFill="1" applyBorder="1"/>
    <xf numFmtId="4" fontId="20" fillId="0" borderId="25" xfId="15" applyNumberFormat="1" applyFont="1" applyFill="1" applyBorder="1"/>
    <xf numFmtId="4" fontId="58" fillId="0" borderId="0" xfId="15" applyNumberFormat="1" applyFont="1" applyFill="1" applyAlignment="1">
      <alignment horizontal="center"/>
    </xf>
    <xf numFmtId="4" fontId="20" fillId="0" borderId="46" xfId="15" applyNumberFormat="1" applyFont="1" applyFill="1" applyBorder="1" applyAlignment="1">
      <alignment horizontal="center"/>
    </xf>
    <xf numFmtId="4" fontId="18" fillId="0" borderId="0" xfId="15" applyNumberFormat="1" applyFont="1" applyFill="1" applyBorder="1" applyAlignment="1">
      <alignment horizontal="center"/>
    </xf>
    <xf numFmtId="4" fontId="20" fillId="0" borderId="0" xfId="15" applyNumberFormat="1" applyFont="1" applyFill="1"/>
    <xf numFmtId="4" fontId="20" fillId="0" borderId="43" xfId="15" applyNumberFormat="1" applyFont="1" applyFill="1" applyBorder="1" applyAlignment="1">
      <alignment horizontal="center"/>
    </xf>
    <xf numFmtId="4" fontId="20" fillId="0" borderId="26" xfId="15" applyNumberFormat="1" applyFont="1" applyFill="1" applyBorder="1" applyAlignment="1">
      <alignment horizontal="center"/>
    </xf>
    <xf numFmtId="4" fontId="20" fillId="0" borderId="4" xfId="15" applyNumberFormat="1" applyFont="1" applyFill="1" applyBorder="1"/>
    <xf numFmtId="4" fontId="18" fillId="0" borderId="5" xfId="15" applyNumberFormat="1" applyFont="1" applyFill="1" applyBorder="1" applyAlignment="1">
      <alignment horizontal="center"/>
    </xf>
    <xf numFmtId="3" fontId="77" fillId="0" borderId="5" xfId="15" applyNumberFormat="1" applyFont="1" applyFill="1" applyBorder="1" applyAlignment="1">
      <alignment horizontal="center"/>
    </xf>
    <xf numFmtId="3" fontId="77" fillId="0" borderId="6" xfId="15" applyNumberFormat="1" applyFont="1" applyFill="1" applyBorder="1" applyAlignment="1">
      <alignment horizontal="center"/>
    </xf>
    <xf numFmtId="4" fontId="59" fillId="0" borderId="0" xfId="15" applyNumberFormat="1" applyFont="1" applyFill="1" applyBorder="1" applyAlignment="1">
      <alignment horizontal="center"/>
    </xf>
    <xf numFmtId="4" fontId="20" fillId="0" borderId="0" xfId="7" applyNumberFormat="1" applyFont="1" applyBorder="1" applyAlignment="1">
      <alignment horizontal="center"/>
    </xf>
    <xf numFmtId="4" fontId="20" fillId="0" borderId="5" xfId="15" applyNumberFormat="1" applyFont="1" applyFill="1" applyBorder="1"/>
    <xf numFmtId="4" fontId="20" fillId="0" borderId="6" xfId="15" applyNumberFormat="1" applyFont="1" applyFill="1" applyBorder="1"/>
    <xf numFmtId="4" fontId="57" fillId="0" borderId="0" xfId="15" applyNumberFormat="1" applyFont="1"/>
    <xf numFmtId="10" fontId="0" fillId="0" borderId="0" xfId="28" applyNumberFormat="1" applyFont="1">
      <alignment vertical="center"/>
    </xf>
    <xf numFmtId="10" fontId="72" fillId="0" borderId="0" xfId="28" applyNumberFormat="1" applyFont="1">
      <alignment vertical="center"/>
    </xf>
    <xf numFmtId="4" fontId="75" fillId="0" borderId="4" xfId="15" applyNumberFormat="1" applyFont="1" applyFill="1" applyBorder="1" applyAlignment="1">
      <alignment horizontal="center"/>
    </xf>
    <xf numFmtId="49" fontId="78" fillId="0" borderId="4" xfId="12" applyNumberFormat="1" applyFont="1" applyBorder="1" applyAlignment="1">
      <alignment horizontal="left"/>
    </xf>
    <xf numFmtId="4" fontId="20" fillId="0" borderId="5" xfId="17" applyNumberFormat="1" applyBorder="1">
      <alignment vertical="center"/>
    </xf>
    <xf numFmtId="4" fontId="20" fillId="0" borderId="4" xfId="15" applyNumberFormat="1" applyFont="1" applyFill="1" applyBorder="1" applyAlignment="1">
      <alignment horizontal="left"/>
    </xf>
    <xf numFmtId="4" fontId="79" fillId="0" borderId="4" xfId="15" applyNumberFormat="1" applyFont="1" applyFill="1" applyBorder="1"/>
    <xf numFmtId="4" fontId="20" fillId="0" borderId="0" xfId="7" applyNumberFormat="1" applyFont="1" applyFill="1" applyBorder="1" applyAlignment="1"/>
    <xf numFmtId="4" fontId="20" fillId="0" borderId="11" xfId="15" applyNumberFormat="1" applyFont="1" applyFill="1" applyBorder="1"/>
    <xf numFmtId="4" fontId="20" fillId="0" borderId="43" xfId="15" applyNumberFormat="1" applyFont="1" applyFill="1" applyBorder="1"/>
    <xf numFmtId="4" fontId="20" fillId="0" borderId="13" xfId="15" applyNumberFormat="1" applyFont="1" applyFill="1" applyBorder="1"/>
    <xf numFmtId="4" fontId="20" fillId="0" borderId="13" xfId="7" applyNumberFormat="1" applyFont="1" applyFill="1" applyBorder="1" applyAlignment="1"/>
    <xf numFmtId="4" fontId="20" fillId="0" borderId="43" xfId="15" applyNumberFormat="1" applyFont="1" applyBorder="1"/>
    <xf numFmtId="4" fontId="20" fillId="0" borderId="11" xfId="15" applyNumberFormat="1" applyFont="1" applyBorder="1"/>
    <xf numFmtId="4" fontId="18" fillId="0" borderId="13" xfId="7" applyNumberFormat="1" applyFont="1" applyFill="1" applyBorder="1" applyAlignment="1"/>
    <xf numFmtId="4" fontId="20" fillId="0" borderId="5" xfId="15" applyNumberFormat="1" applyFont="1" applyFill="1" applyBorder="1" applyAlignment="1">
      <alignment horizontal="center"/>
    </xf>
    <xf numFmtId="4" fontId="20" fillId="0" borderId="0" xfId="17" applyNumberFormat="1" applyAlignment="1">
      <alignment horizontal="center" vertical="center"/>
    </xf>
    <xf numFmtId="49" fontId="20" fillId="0" borderId="49" xfId="26" applyNumberFormat="1" applyFont="1" applyBorder="1" applyAlignment="1">
      <alignment horizontal="left" vertical="center"/>
    </xf>
    <xf numFmtId="49" fontId="20" fillId="0" borderId="21" xfId="26" applyNumberFormat="1" applyFont="1" applyBorder="1" applyAlignment="1">
      <alignment horizontal="left" vertical="center"/>
    </xf>
    <xf numFmtId="14" fontId="18" fillId="0" borderId="0" xfId="24" applyNumberFormat="1" applyFont="1" applyFill="1" applyBorder="1" applyAlignment="1">
      <alignment horizontal="left" vertical="top"/>
    </xf>
    <xf numFmtId="0" fontId="20" fillId="0" borderId="0" xfId="25" applyFont="1" applyBorder="1" applyAlignment="1">
      <alignment horizontal="center" vertical="center"/>
    </xf>
    <xf numFmtId="4" fontId="20" fillId="0" borderId="0" xfId="25" applyNumberFormat="1" applyFont="1" applyBorder="1">
      <alignment vertical="center"/>
    </xf>
    <xf numFmtId="0" fontId="20" fillId="0" borderId="0" xfId="17" applyBorder="1">
      <alignment vertical="center"/>
    </xf>
    <xf numFmtId="49" fontId="20" fillId="0" borderId="50" xfId="26" applyNumberFormat="1" applyFont="1" applyBorder="1" applyAlignment="1">
      <alignment horizontal="left" vertical="center"/>
    </xf>
    <xf numFmtId="171" fontId="18" fillId="0" borderId="51" xfId="26" applyNumberFormat="1" applyFont="1" applyFill="1" applyBorder="1" applyAlignment="1">
      <alignment horizontal="left" vertical="center"/>
    </xf>
    <xf numFmtId="0" fontId="20" fillId="0" borderId="51" xfId="25" applyFont="1" applyBorder="1" applyAlignment="1">
      <alignment horizontal="center" vertical="center"/>
    </xf>
    <xf numFmtId="4" fontId="20" fillId="0" borderId="51" xfId="25" applyNumberFormat="1" applyFont="1" applyBorder="1">
      <alignment vertical="center"/>
    </xf>
    <xf numFmtId="0" fontId="20" fillId="0" borderId="51" xfId="17" applyBorder="1">
      <alignment vertical="center"/>
    </xf>
    <xf numFmtId="4" fontId="75" fillId="0" borderId="1" xfId="15" applyNumberFormat="1" applyFont="1" applyFill="1" applyBorder="1" applyAlignment="1">
      <alignment horizontal="right"/>
    </xf>
    <xf numFmtId="4" fontId="75" fillId="0" borderId="2" xfId="15" applyNumberFormat="1" applyFont="1" applyFill="1" applyBorder="1" applyAlignment="1">
      <alignment horizontal="right"/>
    </xf>
    <xf numFmtId="4" fontId="18" fillId="0" borderId="2" xfId="15" applyNumberFormat="1" applyFont="1" applyFill="1" applyBorder="1" applyAlignment="1">
      <alignment horizontal="center"/>
    </xf>
    <xf numFmtId="4" fontId="18" fillId="0" borderId="3" xfId="15" applyNumberFormat="1" applyFont="1" applyFill="1" applyBorder="1" applyAlignment="1">
      <alignment horizontal="center"/>
    </xf>
    <xf numFmtId="3" fontId="18" fillId="4" borderId="5" xfId="15" applyNumberFormat="1" applyFont="1" applyFill="1" applyBorder="1" applyAlignment="1">
      <alignment horizontal="center"/>
    </xf>
    <xf numFmtId="4" fontId="20" fillId="0" borderId="5" xfId="7" applyNumberFormat="1" applyFont="1" applyFill="1" applyBorder="1" applyAlignment="1"/>
    <xf numFmtId="2" fontId="17" fillId="3" borderId="11" xfId="15" applyNumberFormat="1" applyFont="1" applyFill="1" applyBorder="1" applyAlignment="1">
      <alignment horizontal="center"/>
    </xf>
    <xf numFmtId="4" fontId="75" fillId="0" borderId="5" xfId="15" applyNumberFormat="1" applyFont="1" applyFill="1" applyBorder="1" applyAlignment="1">
      <alignment horizontal="center"/>
    </xf>
    <xf numFmtId="49" fontId="73" fillId="0" borderId="5" xfId="12" applyNumberFormat="1" applyFont="1" applyBorder="1" applyAlignment="1">
      <alignment horizontal="left"/>
    </xf>
    <xf numFmtId="4" fontId="20" fillId="0" borderId="7" xfId="15" applyNumberFormat="1" applyFont="1" applyFill="1" applyBorder="1"/>
    <xf numFmtId="4" fontId="20" fillId="0" borderId="8" xfId="15" applyNumberFormat="1" applyFont="1" applyFill="1" applyBorder="1"/>
    <xf numFmtId="4" fontId="58" fillId="0" borderId="0" xfId="15" applyNumberFormat="1" applyFont="1" applyFill="1" applyBorder="1" applyAlignment="1">
      <alignment horizontal="center"/>
    </xf>
    <xf numFmtId="4" fontId="18" fillId="0" borderId="46" xfId="15" applyNumberFormat="1" applyFont="1" applyFill="1" applyBorder="1"/>
    <xf numFmtId="4" fontId="18" fillId="0" borderId="54" xfId="15" applyNumberFormat="1" applyFont="1" applyFill="1" applyBorder="1"/>
    <xf numFmtId="4" fontId="18" fillId="0" borderId="10" xfId="15" applyNumberFormat="1" applyFont="1" applyFill="1" applyBorder="1"/>
    <xf numFmtId="49" fontId="26" fillId="6" borderId="1" xfId="0" applyNumberFormat="1" applyFont="1" applyFill="1" applyBorder="1" applyAlignment="1">
      <alignment horizontal="right"/>
    </xf>
    <xf numFmtId="2" fontId="26" fillId="6" borderId="2" xfId="0" applyNumberFormat="1" applyFont="1" applyFill="1" applyBorder="1" applyAlignment="1">
      <alignment horizontal="center"/>
    </xf>
    <xf numFmtId="2" fontId="19" fillId="6" borderId="2" xfId="0" applyNumberFormat="1" applyFont="1" applyFill="1" applyBorder="1" applyAlignment="1">
      <alignment horizontal="center"/>
    </xf>
    <xf numFmtId="4" fontId="26" fillId="6" borderId="2" xfId="0" applyNumberFormat="1" applyFont="1" applyFill="1" applyBorder="1" applyAlignment="1">
      <alignment horizontal="center"/>
    </xf>
    <xf numFmtId="2" fontId="26" fillId="6" borderId="3" xfId="0" applyNumberFormat="1" applyFont="1" applyFill="1" applyBorder="1" applyAlignment="1">
      <alignment horizontal="center"/>
    </xf>
    <xf numFmtId="49" fontId="26" fillId="6" borderId="7" xfId="0" applyNumberFormat="1" applyFont="1" applyFill="1" applyBorder="1" applyAlignment="1">
      <alignment horizontal="right"/>
    </xf>
    <xf numFmtId="2" fontId="26" fillId="6" borderId="8" xfId="0" applyNumberFormat="1" applyFont="1" applyFill="1" applyBorder="1" applyAlignment="1">
      <alignment horizontal="center"/>
    </xf>
    <xf numFmtId="2" fontId="19" fillId="6" borderId="8" xfId="0" applyNumberFormat="1" applyFont="1" applyFill="1" applyBorder="1" applyAlignment="1">
      <alignment horizontal="center"/>
    </xf>
    <xf numFmtId="4" fontId="26" fillId="6" borderId="8" xfId="0" applyNumberFormat="1" applyFont="1" applyFill="1" applyBorder="1" applyAlignment="1">
      <alignment horizontal="center"/>
    </xf>
    <xf numFmtId="2" fontId="26" fillId="6" borderId="35" xfId="0" applyNumberFormat="1" applyFont="1" applyFill="1" applyBorder="1" applyAlignment="1">
      <alignment horizontal="center"/>
    </xf>
    <xf numFmtId="2" fontId="19" fillId="0" borderId="13" xfId="0" applyNumberFormat="1" applyFont="1" applyFill="1" applyBorder="1" applyAlignment="1">
      <alignment horizontal="center"/>
    </xf>
    <xf numFmtId="2" fontId="26" fillId="0" borderId="13" xfId="0" applyNumberFormat="1" applyFont="1" applyFill="1" applyBorder="1" applyAlignment="1">
      <alignment horizontal="center"/>
    </xf>
    <xf numFmtId="4" fontId="26" fillId="0" borderId="13" xfId="0" applyNumberFormat="1" applyFont="1" applyFill="1" applyBorder="1" applyAlignment="1">
      <alignment horizontal="center"/>
    </xf>
    <xf numFmtId="2" fontId="26" fillId="0" borderId="48" xfId="0" applyNumberFormat="1" applyFont="1" applyFill="1" applyBorder="1" applyAlignment="1">
      <alignment horizontal="center"/>
    </xf>
    <xf numFmtId="49" fontId="19" fillId="0" borderId="4" xfId="0" applyNumberFormat="1" applyFont="1" applyFill="1" applyBorder="1" applyAlignment="1">
      <alignment horizontal="right"/>
    </xf>
    <xf numFmtId="2" fontId="19" fillId="0" borderId="5" xfId="0" applyNumberFormat="1" applyFont="1" applyFill="1" applyBorder="1" applyAlignment="1">
      <alignment horizontal="left"/>
    </xf>
    <xf numFmtId="2" fontId="19" fillId="0" borderId="5" xfId="0" applyNumberFormat="1" applyFont="1" applyFill="1" applyBorder="1" applyAlignment="1">
      <alignment horizontal="center"/>
    </xf>
    <xf numFmtId="2" fontId="19" fillId="0" borderId="5" xfId="0" applyNumberFormat="1" applyFont="1" applyFill="1" applyBorder="1" applyAlignment="1">
      <alignment horizontal="right"/>
    </xf>
    <xf numFmtId="2" fontId="26" fillId="0" borderId="6" xfId="0" applyNumberFormat="1" applyFont="1" applyFill="1" applyBorder="1" applyAlignment="1">
      <alignment horizontal="right"/>
    </xf>
    <xf numFmtId="49" fontId="26" fillId="0" borderId="4" xfId="0" applyNumberFormat="1" applyFont="1" applyFill="1" applyBorder="1" applyAlignment="1">
      <alignment horizontal="right"/>
    </xf>
    <xf numFmtId="2" fontId="26" fillId="0" borderId="5" xfId="0" applyNumberFormat="1" applyFont="1" applyFill="1" applyBorder="1" applyAlignment="1">
      <alignment horizontal="center"/>
    </xf>
    <xf numFmtId="4" fontId="26" fillId="0" borderId="5" xfId="0" applyNumberFormat="1" applyFont="1" applyFill="1" applyBorder="1" applyAlignment="1">
      <alignment horizontal="center"/>
    </xf>
    <xf numFmtId="0" fontId="26" fillId="0" borderId="5" xfId="0" applyFont="1" applyFill="1" applyBorder="1" applyAlignment="1"/>
    <xf numFmtId="4" fontId="19" fillId="0" borderId="5" xfId="0" applyNumberFormat="1" applyFont="1" applyFill="1" applyBorder="1" applyAlignment="1">
      <alignment horizontal="right"/>
    </xf>
    <xf numFmtId="172" fontId="19" fillId="0" borderId="5" xfId="0" applyNumberFormat="1" applyFont="1" applyFill="1" applyBorder="1" applyAlignment="1">
      <alignment horizontal="center"/>
    </xf>
    <xf numFmtId="4" fontId="26" fillId="0" borderId="6" xfId="0" applyNumberFormat="1" applyFont="1" applyFill="1" applyBorder="1" applyAlignment="1">
      <alignment horizontal="right"/>
    </xf>
    <xf numFmtId="0" fontId="19" fillId="0" borderId="5" xfId="0" applyFont="1" applyFill="1" applyBorder="1" applyAlignment="1"/>
    <xf numFmtId="0" fontId="19" fillId="0" borderId="5" xfId="0" applyFont="1" applyFill="1" applyBorder="1" applyAlignment="1">
      <alignment horizontal="center"/>
    </xf>
    <xf numFmtId="4" fontId="19" fillId="0" borderId="5" xfId="0" applyNumberFormat="1" applyFont="1" applyFill="1" applyBorder="1"/>
    <xf numFmtId="4" fontId="19" fillId="4" borderId="5" xfId="0" applyNumberFormat="1" applyFont="1" applyFill="1" applyBorder="1" applyAlignment="1">
      <alignment horizontal="right"/>
    </xf>
    <xf numFmtId="4" fontId="19" fillId="4" borderId="5" xfId="0" applyNumberFormat="1" applyFont="1" applyFill="1" applyBorder="1"/>
    <xf numFmtId="4" fontId="19" fillId="0" borderId="5" xfId="0" applyNumberFormat="1" applyFont="1" applyFill="1" applyBorder="1" applyAlignment="1">
      <alignment horizontal="left"/>
    </xf>
    <xf numFmtId="49" fontId="81" fillId="0" borderId="4" xfId="0" applyNumberFormat="1" applyFont="1" applyFill="1" applyBorder="1" applyAlignment="1">
      <alignment horizontal="right"/>
    </xf>
    <xf numFmtId="0" fontId="46" fillId="0" borderId="4" xfId="12" applyFont="1" applyFill="1" applyBorder="1" applyAlignment="1">
      <alignment horizontal="center" vertical="center"/>
    </xf>
    <xf numFmtId="0" fontId="19" fillId="0" borderId="0" xfId="14"/>
    <xf numFmtId="2" fontId="19" fillId="0" borderId="0" xfId="14" applyNumberFormat="1"/>
    <xf numFmtId="10" fontId="19" fillId="0" borderId="0" xfId="14" applyNumberFormat="1"/>
    <xf numFmtId="0" fontId="20" fillId="0" borderId="0" xfId="14" applyFont="1"/>
    <xf numFmtId="0" fontId="19" fillId="0" borderId="0" xfId="19"/>
    <xf numFmtId="0" fontId="18" fillId="0" borderId="0" xfId="12" applyFont="1" applyAlignment="1">
      <alignment horizontal="center"/>
    </xf>
    <xf numFmtId="14" fontId="20" fillId="0" borderId="0" xfId="12" applyNumberFormat="1" applyFont="1" applyAlignment="1">
      <alignment horizontal="right"/>
    </xf>
    <xf numFmtId="2" fontId="17" fillId="0" borderId="0" xfId="23" applyNumberFormat="1" applyFont="1" applyFill="1" applyBorder="1" applyAlignment="1">
      <alignment horizontal="center"/>
    </xf>
    <xf numFmtId="2" fontId="17" fillId="5" borderId="2" xfId="23" applyNumberFormat="1" applyFont="1" applyFill="1" applyBorder="1" applyAlignment="1">
      <alignment horizontal="center"/>
    </xf>
    <xf numFmtId="4" fontId="19" fillId="0" borderId="5" xfId="0" applyNumberFormat="1" applyFont="1" applyFill="1" applyBorder="1" applyAlignment="1">
      <alignment horizontal="center"/>
    </xf>
    <xf numFmtId="10" fontId="22" fillId="0" borderId="3" xfId="12" applyNumberFormat="1" applyFont="1" applyBorder="1"/>
    <xf numFmtId="10" fontId="22" fillId="0" borderId="6" xfId="12" applyNumberFormat="1" applyFont="1" applyBorder="1"/>
    <xf numFmtId="4" fontId="24" fillId="0" borderId="5" xfId="12" applyNumberFormat="1" applyFont="1" applyBorder="1" applyAlignment="1" applyProtection="1">
      <alignment vertical="center"/>
      <protection locked="0"/>
    </xf>
    <xf numFmtId="0" fontId="18" fillId="4" borderId="1" xfId="12" applyFont="1" applyFill="1" applyBorder="1" applyAlignment="1">
      <alignment horizontal="center" vertical="center"/>
    </xf>
    <xf numFmtId="0" fontId="18" fillId="4" borderId="3" xfId="12" applyFont="1" applyFill="1" applyBorder="1" applyAlignment="1">
      <alignment horizontal="center" vertical="center"/>
    </xf>
    <xf numFmtId="4" fontId="0" fillId="0" borderId="5" xfId="0" applyNumberFormat="1" applyBorder="1"/>
    <xf numFmtId="4" fontId="73" fillId="0" borderId="5" xfId="0" applyNumberFormat="1" applyFont="1" applyBorder="1"/>
    <xf numFmtId="49" fontId="20" fillId="4" borderId="31" xfId="0" applyNumberFormat="1" applyFont="1" applyFill="1" applyBorder="1"/>
    <xf numFmtId="4" fontId="24" fillId="4" borderId="9" xfId="12" applyNumberFormat="1" applyFont="1" applyFill="1" applyBorder="1" applyAlignment="1" applyProtection="1">
      <alignment vertical="center"/>
      <protection locked="0"/>
    </xf>
    <xf numFmtId="10" fontId="22" fillId="4" borderId="6" xfId="12" applyNumberFormat="1" applyFont="1" applyFill="1" applyBorder="1"/>
    <xf numFmtId="4" fontId="22" fillId="4" borderId="4" xfId="12" applyNumberFormat="1" applyFont="1" applyFill="1" applyBorder="1"/>
    <xf numFmtId="4" fontId="24" fillId="4" borderId="5" xfId="12" applyNumberFormat="1" applyFont="1" applyFill="1" applyBorder="1" applyAlignment="1" applyProtection="1">
      <alignment vertical="center"/>
      <protection locked="0"/>
    </xf>
    <xf numFmtId="49" fontId="20" fillId="4" borderId="31" xfId="0" applyNumberFormat="1" applyFont="1" applyFill="1" applyBorder="1" applyAlignment="1">
      <alignment horizontal="left"/>
    </xf>
    <xf numFmtId="49" fontId="20" fillId="4" borderId="31" xfId="0" applyNumberFormat="1" applyFont="1" applyFill="1" applyBorder="1" applyAlignment="1"/>
    <xf numFmtId="10" fontId="19" fillId="0" borderId="0" xfId="12" applyNumberFormat="1" applyFont="1" applyBorder="1"/>
    <xf numFmtId="4" fontId="26" fillId="0" borderId="6" xfId="12" applyNumberFormat="1" applyFont="1" applyBorder="1"/>
    <xf numFmtId="4" fontId="26" fillId="0" borderId="0" xfId="12" applyNumberFormat="1" applyFont="1" applyFill="1" applyBorder="1"/>
    <xf numFmtId="4" fontId="26" fillId="0" borderId="0" xfId="12" applyNumberFormat="1" applyFont="1" applyFill="1" applyBorder="1" applyAlignment="1">
      <alignment horizontal="right"/>
    </xf>
    <xf numFmtId="4" fontId="26" fillId="0" borderId="0" xfId="12" applyNumberFormat="1" applyFont="1" applyBorder="1" applyAlignment="1">
      <alignment horizontal="right"/>
    </xf>
    <xf numFmtId="0" fontId="16" fillId="0" borderId="0" xfId="37" applyFont="1"/>
    <xf numFmtId="0" fontId="16" fillId="0" borderId="0" xfId="37" applyFont="1" applyFill="1"/>
    <xf numFmtId="0" fontId="16" fillId="0" borderId="21" xfId="37" applyFont="1" applyFill="1" applyBorder="1"/>
    <xf numFmtId="0" fontId="16" fillId="0" borderId="0" xfId="37" applyFont="1" applyFill="1" applyBorder="1"/>
    <xf numFmtId="0" fontId="17" fillId="0" borderId="0" xfId="37" applyFont="1" applyFill="1" applyBorder="1"/>
    <xf numFmtId="0" fontId="30" fillId="0" borderId="0" xfId="37" applyFont="1" applyFill="1" applyBorder="1"/>
    <xf numFmtId="0" fontId="16" fillId="0" borderId="22" xfId="37" applyFont="1" applyFill="1" applyBorder="1"/>
    <xf numFmtId="0" fontId="26" fillId="0" borderId="23" xfId="37" quotePrefix="1" applyFont="1" applyBorder="1" applyAlignment="1" applyProtection="1">
      <alignment vertical="center"/>
      <protection locked="0"/>
    </xf>
    <xf numFmtId="0" fontId="26" fillId="0" borderId="23" xfId="37" applyFont="1" applyBorder="1" applyAlignment="1" applyProtection="1">
      <alignment vertical="center"/>
      <protection locked="0"/>
    </xf>
    <xf numFmtId="0" fontId="26" fillId="0" borderId="23" xfId="37" applyFont="1" applyFill="1" applyBorder="1" applyAlignment="1">
      <alignment horizontal="center"/>
    </xf>
    <xf numFmtId="2" fontId="19" fillId="0" borderId="23" xfId="37" applyNumberFormat="1" applyFont="1" applyFill="1" applyBorder="1"/>
    <xf numFmtId="0" fontId="26" fillId="0" borderId="23" xfId="37" applyFont="1" applyFill="1" applyBorder="1" applyAlignment="1">
      <alignment horizontal="right"/>
    </xf>
    <xf numFmtId="0" fontId="19" fillId="0" borderId="23" xfId="37" applyFont="1" applyBorder="1"/>
    <xf numFmtId="0" fontId="36" fillId="0" borderId="0" xfId="37" applyFont="1" applyFill="1" applyBorder="1"/>
    <xf numFmtId="0" fontId="69" fillId="0" borderId="0" xfId="37" applyFont="1"/>
    <xf numFmtId="0" fontId="20" fillId="0" borderId="0" xfId="37" applyFont="1" applyFill="1" applyBorder="1"/>
    <xf numFmtId="0" fontId="20" fillId="0" borderId="0" xfId="37" applyFont="1" applyFill="1" applyBorder="1" applyAlignment="1">
      <alignment horizontal="center"/>
    </xf>
    <xf numFmtId="0" fontId="37" fillId="0" borderId="0" xfId="37" applyFont="1" applyFill="1" applyBorder="1"/>
    <xf numFmtId="0" fontId="38" fillId="0" borderId="0" xfId="37" applyFont="1" applyFill="1" applyBorder="1" applyAlignment="1">
      <alignment horizontal="center"/>
    </xf>
    <xf numFmtId="0" fontId="26" fillId="0" borderId="24" xfId="37" applyFont="1" applyBorder="1" applyAlignment="1" applyProtection="1">
      <alignment vertical="center"/>
      <protection locked="0"/>
    </xf>
    <xf numFmtId="4" fontId="19" fillId="0" borderId="24" xfId="37" applyNumberFormat="1" applyFont="1" applyBorder="1" applyAlignment="1" applyProtection="1">
      <alignment vertical="center"/>
      <protection locked="0"/>
    </xf>
    <xf numFmtId="0" fontId="26" fillId="0" borderId="24" xfId="37" applyFont="1" applyFill="1" applyBorder="1"/>
    <xf numFmtId="0" fontId="19" fillId="0" borderId="24" xfId="37" applyFont="1" applyFill="1" applyBorder="1"/>
    <xf numFmtId="2" fontId="19" fillId="0" borderId="24" xfId="37" applyNumberFormat="1" applyFont="1" applyFill="1" applyBorder="1"/>
    <xf numFmtId="0" fontId="19" fillId="0" borderId="24" xfId="37" applyFont="1" applyBorder="1"/>
    <xf numFmtId="0" fontId="26" fillId="0" borderId="24" xfId="37" applyFont="1" applyFill="1" applyBorder="1" applyAlignment="1">
      <alignment horizontal="left"/>
    </xf>
    <xf numFmtId="4" fontId="19" fillId="0" borderId="0" xfId="37" applyNumberFormat="1" applyFont="1" applyBorder="1" applyAlignment="1" applyProtection="1">
      <alignment vertical="center"/>
      <protection locked="0"/>
    </xf>
    <xf numFmtId="0" fontId="26" fillId="0" borderId="0" xfId="37" applyFont="1" applyFill="1" applyBorder="1"/>
    <xf numFmtId="0" fontId="19" fillId="0" borderId="0" xfId="37" applyFont="1" applyFill="1" applyBorder="1"/>
    <xf numFmtId="2" fontId="19" fillId="0" borderId="0" xfId="37" applyNumberFormat="1" applyFont="1" applyFill="1" applyBorder="1"/>
    <xf numFmtId="0" fontId="19" fillId="0" borderId="0" xfId="37" applyFont="1" applyBorder="1"/>
    <xf numFmtId="0" fontId="19" fillId="0" borderId="24" xfId="37" applyFont="1" applyBorder="1" applyAlignment="1" applyProtection="1">
      <alignment vertical="center"/>
      <protection locked="0"/>
    </xf>
    <xf numFmtId="2" fontId="44" fillId="0" borderId="24" xfId="37" applyNumberFormat="1" applyFont="1" applyFill="1" applyBorder="1"/>
    <xf numFmtId="0" fontId="19" fillId="0" borderId="24" xfId="37" applyFont="1" applyBorder="1" applyAlignment="1" applyProtection="1">
      <alignment horizontal="left" vertical="center"/>
      <protection locked="0"/>
    </xf>
    <xf numFmtId="0" fontId="26" fillId="0" borderId="33" xfId="37" quotePrefix="1" applyFont="1" applyBorder="1" applyAlignment="1" applyProtection="1">
      <alignment vertical="center"/>
      <protection locked="0"/>
    </xf>
    <xf numFmtId="0" fontId="69" fillId="0" borderId="0" xfId="37" applyFont="1" applyBorder="1"/>
    <xf numFmtId="0" fontId="26" fillId="0" borderId="34" xfId="37" quotePrefix="1" applyFont="1" applyBorder="1" applyAlignment="1" applyProtection="1">
      <alignment vertical="center"/>
      <protection locked="0"/>
    </xf>
    <xf numFmtId="0" fontId="26" fillId="0" borderId="32" xfId="37" applyFont="1" applyBorder="1" applyAlignment="1" applyProtection="1">
      <alignment vertical="center"/>
      <protection locked="0"/>
    </xf>
    <xf numFmtId="0" fontId="26" fillId="0" borderId="6" xfId="37" quotePrefix="1" applyFont="1" applyBorder="1" applyAlignment="1" applyProtection="1">
      <alignment vertical="center"/>
      <protection locked="0"/>
    </xf>
    <xf numFmtId="0" fontId="26" fillId="0" borderId="24" xfId="37" applyFont="1" applyFill="1" applyBorder="1" applyAlignment="1">
      <alignment horizontal="center"/>
    </xf>
    <xf numFmtId="0" fontId="19" fillId="0" borderId="32" xfId="37" applyFont="1" applyBorder="1" applyAlignment="1" applyProtection="1">
      <alignment vertical="center"/>
      <protection locked="0"/>
    </xf>
    <xf numFmtId="2" fontId="26" fillId="0" borderId="24" xfId="37" applyNumberFormat="1" applyFont="1" applyFill="1" applyBorder="1"/>
    <xf numFmtId="0" fontId="26" fillId="0" borderId="31" xfId="37" quotePrefix="1" applyFont="1" applyBorder="1" applyAlignment="1" applyProtection="1">
      <alignment vertical="center"/>
      <protection locked="0"/>
    </xf>
    <xf numFmtId="0" fontId="19" fillId="0" borderId="33" xfId="37" applyFont="1" applyBorder="1" applyAlignment="1" applyProtection="1">
      <alignment vertical="center"/>
      <protection locked="0"/>
    </xf>
    <xf numFmtId="4" fontId="19" fillId="0" borderId="24" xfId="37" applyNumberFormat="1" applyFont="1" applyBorder="1"/>
    <xf numFmtId="0" fontId="22" fillId="0" borderId="0" xfId="37" applyFont="1"/>
    <xf numFmtId="10" fontId="22" fillId="0" borderId="0" xfId="37" applyNumberFormat="1" applyFont="1" applyBorder="1"/>
    <xf numFmtId="4" fontId="22" fillId="0" borderId="0" xfId="37" applyNumberFormat="1" applyFont="1" applyBorder="1"/>
    <xf numFmtId="0" fontId="22" fillId="0" borderId="0" xfId="37" applyFont="1" applyBorder="1"/>
    <xf numFmtId="0" fontId="40" fillId="0" borderId="5" xfId="37" applyFont="1" applyFill="1" applyBorder="1"/>
    <xf numFmtId="0" fontId="41" fillId="0" borderId="5" xfId="37" applyFont="1" applyBorder="1" applyAlignment="1">
      <alignment horizontal="left" vertical="center" shrinkToFit="1"/>
    </xf>
    <xf numFmtId="0" fontId="28" fillId="0" borderId="5" xfId="37" applyFont="1" applyBorder="1" applyAlignment="1">
      <alignment horizontal="center" vertical="center" shrinkToFit="1"/>
    </xf>
    <xf numFmtId="0" fontId="40" fillId="0" borderId="5" xfId="37" applyFont="1" applyBorder="1"/>
    <xf numFmtId="0" fontId="28" fillId="0" borderId="25" xfId="37" applyFont="1" applyBorder="1" applyAlignment="1">
      <alignment horizontal="center" vertical="justify" shrinkToFit="1"/>
    </xf>
    <xf numFmtId="0" fontId="28" fillId="0" borderId="25" xfId="37" applyFont="1" applyBorder="1" applyAlignment="1">
      <alignment horizontal="center"/>
    </xf>
    <xf numFmtId="2" fontId="28" fillId="0" borderId="25" xfId="37" applyNumberFormat="1" applyFont="1" applyBorder="1" applyAlignment="1">
      <alignment horizontal="center" vertical="center" shrinkToFit="1"/>
    </xf>
    <xf numFmtId="2" fontId="18" fillId="0" borderId="26" xfId="37" applyNumberFormat="1" applyFont="1" applyBorder="1" applyAlignment="1">
      <alignment horizontal="center" vertical="center" shrinkToFit="1"/>
    </xf>
    <xf numFmtId="0" fontId="28" fillId="0" borderId="5" xfId="37" applyFont="1" applyBorder="1" applyAlignment="1">
      <alignment horizontal="left" vertical="center" shrinkToFit="1"/>
    </xf>
    <xf numFmtId="0" fontId="18" fillId="0" borderId="26" xfId="37" applyFont="1" applyBorder="1" applyAlignment="1">
      <alignment horizontal="center" vertical="center" shrinkToFit="1"/>
    </xf>
    <xf numFmtId="2" fontId="19" fillId="0" borderId="24" xfId="37" applyNumberFormat="1" applyFont="1" applyBorder="1"/>
    <xf numFmtId="4" fontId="19" fillId="0" borderId="24" xfId="37" applyNumberFormat="1" applyFont="1" applyFill="1" applyBorder="1"/>
    <xf numFmtId="2" fontId="30" fillId="0" borderId="24" xfId="37" applyNumberFormat="1" applyFont="1" applyFill="1" applyBorder="1"/>
    <xf numFmtId="0" fontId="40" fillId="0" borderId="5" xfId="37" applyFont="1" applyBorder="1" applyAlignment="1">
      <alignment horizontal="center" vertical="center"/>
    </xf>
    <xf numFmtId="2" fontId="40" fillId="0" borderId="5" xfId="37" applyNumberFormat="1" applyFont="1" applyFill="1" applyBorder="1" applyAlignment="1">
      <alignment horizontal="center" vertical="center"/>
    </xf>
    <xf numFmtId="0" fontId="19" fillId="0" borderId="24" xfId="37" quotePrefix="1" applyFont="1" applyBorder="1" applyAlignment="1" applyProtection="1">
      <alignment vertical="center"/>
      <protection locked="0"/>
    </xf>
    <xf numFmtId="0" fontId="28" fillId="0" borderId="5" xfId="37" applyFont="1" applyFill="1" applyBorder="1"/>
    <xf numFmtId="2" fontId="28" fillId="0" borderId="5" xfId="37" applyNumberFormat="1" applyFont="1" applyFill="1" applyBorder="1" applyAlignment="1">
      <alignment horizontal="center" vertical="center"/>
    </xf>
    <xf numFmtId="2" fontId="28" fillId="0" borderId="5" xfId="37" applyNumberFormat="1" applyFont="1" applyBorder="1" applyAlignment="1">
      <alignment horizontal="center" vertical="center" shrinkToFit="1"/>
    </xf>
    <xf numFmtId="0" fontId="42" fillId="0" borderId="5" xfId="37" applyFont="1" applyBorder="1"/>
    <xf numFmtId="16" fontId="26" fillId="0" borderId="24" xfId="37" applyNumberFormat="1" applyFont="1" applyBorder="1" applyAlignment="1" applyProtection="1">
      <alignment vertical="center"/>
      <protection locked="0"/>
    </xf>
    <xf numFmtId="2" fontId="39" fillId="0" borderId="24" xfId="37" applyNumberFormat="1" applyFont="1" applyBorder="1"/>
    <xf numFmtId="2" fontId="30" fillId="0" borderId="24" xfId="37" applyNumberFormat="1" applyFont="1" applyBorder="1"/>
    <xf numFmtId="0" fontId="19" fillId="0" borderId="27" xfId="37" quotePrefix="1" applyFont="1" applyBorder="1" applyAlignment="1" applyProtection="1">
      <alignment vertical="center"/>
      <protection locked="0"/>
    </xf>
    <xf numFmtId="0" fontId="19" fillId="0" borderId="27" xfId="37" applyFont="1" applyBorder="1" applyAlignment="1" applyProtection="1">
      <alignment vertical="center"/>
      <protection locked="0"/>
    </xf>
    <xf numFmtId="0" fontId="26" fillId="0" borderId="27" xfId="37" applyFont="1" applyBorder="1" applyAlignment="1" applyProtection="1">
      <alignment vertical="center"/>
      <protection locked="0"/>
    </xf>
    <xf numFmtId="4" fontId="19" fillId="0" borderId="27" xfId="37" applyNumberFormat="1" applyFont="1" applyBorder="1" applyAlignment="1" applyProtection="1">
      <alignment vertical="center"/>
      <protection locked="0"/>
    </xf>
    <xf numFmtId="2" fontId="19" fillId="0" borderId="27" xfId="37" applyNumberFormat="1" applyFont="1" applyBorder="1"/>
    <xf numFmtId="4" fontId="19" fillId="0" borderId="27" xfId="37" applyNumberFormat="1" applyFont="1" applyFill="1" applyBorder="1"/>
    <xf numFmtId="2" fontId="30" fillId="0" borderId="27" xfId="37" applyNumberFormat="1" applyFont="1" applyBorder="1"/>
    <xf numFmtId="0" fontId="17" fillId="0" borderId="0" xfId="37" applyFont="1" applyFill="1"/>
    <xf numFmtId="0" fontId="30" fillId="0" borderId="0" xfId="37" applyFont="1" applyFill="1"/>
    <xf numFmtId="0" fontId="16" fillId="0" borderId="0" xfId="37" applyFont="1" applyBorder="1"/>
    <xf numFmtId="49" fontId="26" fillId="0" borderId="47" xfId="0" applyNumberFormat="1" applyFont="1" applyFill="1" applyBorder="1" applyAlignment="1">
      <alignment horizontal="right"/>
    </xf>
    <xf numFmtId="2" fontId="26" fillId="0" borderId="13" xfId="0" applyNumberFormat="1" applyFont="1" applyFill="1" applyBorder="1" applyAlignment="1">
      <alignment horizontal="left"/>
    </xf>
    <xf numFmtId="2" fontId="26" fillId="0" borderId="5" xfId="0" applyNumberFormat="1" applyFont="1" applyFill="1" applyBorder="1" applyAlignment="1">
      <alignment horizontal="left"/>
    </xf>
    <xf numFmtId="2" fontId="26" fillId="0" borderId="5" xfId="0" applyNumberFormat="1" applyFont="1" applyFill="1" applyBorder="1" applyAlignment="1">
      <alignment horizontal="right"/>
    </xf>
    <xf numFmtId="164" fontId="19" fillId="0" borderId="5" xfId="2" applyFont="1" applyFill="1" applyBorder="1" applyAlignment="1">
      <alignment horizontal="center"/>
    </xf>
    <xf numFmtId="164" fontId="19" fillId="0" borderId="5" xfId="2" applyFont="1" applyFill="1" applyBorder="1" applyAlignment="1">
      <alignment horizontal="right"/>
    </xf>
    <xf numFmtId="164" fontId="19" fillId="0" borderId="5" xfId="2" applyFont="1" applyFill="1" applyBorder="1" applyAlignment="1">
      <alignment horizontal="left"/>
    </xf>
    <xf numFmtId="4" fontId="19" fillId="0" borderId="5" xfId="2" applyNumberFormat="1" applyFont="1" applyFill="1" applyBorder="1" applyAlignment="1">
      <alignment horizontal="right"/>
    </xf>
    <xf numFmtId="4" fontId="19" fillId="4" borderId="5" xfId="2" applyNumberFormat="1" applyFont="1" applyFill="1" applyBorder="1" applyAlignment="1">
      <alignment horizontal="right"/>
    </xf>
    <xf numFmtId="0" fontId="85" fillId="0" borderId="0" xfId="38"/>
    <xf numFmtId="167" fontId="85" fillId="0" borderId="0" xfId="38" applyNumberFormat="1"/>
    <xf numFmtId="167" fontId="86" fillId="0" borderId="0" xfId="38" applyNumberFormat="1" applyFont="1"/>
    <xf numFmtId="167" fontId="87" fillId="0" borderId="0" xfId="38" applyNumberFormat="1" applyFont="1"/>
    <xf numFmtId="4" fontId="85" fillId="0" borderId="0" xfId="38" applyNumberFormat="1"/>
    <xf numFmtId="0" fontId="87" fillId="0" borderId="0" xfId="38" applyFont="1"/>
    <xf numFmtId="0" fontId="88" fillId="0" borderId="0" xfId="38" applyFont="1"/>
    <xf numFmtId="4" fontId="72" fillId="4" borderId="17" xfId="38" applyNumberFormat="1" applyFont="1" applyFill="1" applyBorder="1"/>
    <xf numFmtId="167" fontId="89" fillId="0" borderId="5" xfId="38" applyNumberFormat="1" applyFont="1" applyBorder="1"/>
    <xf numFmtId="10" fontId="89" fillId="0" borderId="5" xfId="38" applyNumberFormat="1" applyFont="1" applyBorder="1" applyAlignment="1">
      <alignment horizontal="center"/>
    </xf>
    <xf numFmtId="0" fontId="89" fillId="0" borderId="4" xfId="38" applyFont="1" applyBorder="1"/>
    <xf numFmtId="167" fontId="90" fillId="0" borderId="5" xfId="38" applyNumberFormat="1" applyFont="1" applyBorder="1"/>
    <xf numFmtId="10" fontId="90" fillId="0" borderId="5" xfId="38" applyNumberFormat="1" applyFont="1" applyBorder="1" applyAlignment="1">
      <alignment horizontal="center"/>
    </xf>
    <xf numFmtId="0" fontId="90" fillId="0" borderId="4" xfId="38" applyFont="1" applyBorder="1"/>
    <xf numFmtId="0" fontId="91" fillId="4" borderId="0" xfId="38" applyFont="1" applyFill="1"/>
    <xf numFmtId="167" fontId="90" fillId="4" borderId="5" xfId="38" applyNumberFormat="1" applyFont="1" applyFill="1" applyBorder="1"/>
    <xf numFmtId="10" fontId="90" fillId="4" borderId="5" xfId="38" applyNumberFormat="1" applyFont="1" applyFill="1" applyBorder="1" applyAlignment="1">
      <alignment horizontal="center"/>
    </xf>
    <xf numFmtId="0" fontId="90" fillId="4" borderId="4" xfId="38" applyFont="1" applyFill="1" applyBorder="1"/>
    <xf numFmtId="0" fontId="89" fillId="4" borderId="0" xfId="38" applyFont="1" applyFill="1"/>
    <xf numFmtId="167" fontId="89" fillId="4" borderId="5" xfId="38" applyNumberFormat="1" applyFont="1" applyFill="1" applyBorder="1"/>
    <xf numFmtId="10" fontId="89" fillId="4" borderId="5" xfId="38" applyNumberFormat="1" applyFont="1" applyFill="1" applyBorder="1" applyAlignment="1">
      <alignment horizontal="center"/>
    </xf>
    <xf numFmtId="0" fontId="89" fillId="4" borderId="4" xfId="38" applyFont="1" applyFill="1" applyBorder="1"/>
    <xf numFmtId="0" fontId="90" fillId="4" borderId="0" xfId="38" applyFont="1" applyFill="1"/>
    <xf numFmtId="167" fontId="90" fillId="4" borderId="13" xfId="38" applyNumberFormat="1" applyFont="1" applyFill="1" applyBorder="1"/>
    <xf numFmtId="10" fontId="90" fillId="4" borderId="13" xfId="38" applyNumberFormat="1" applyFont="1" applyFill="1" applyBorder="1" applyAlignment="1">
      <alignment horizontal="center"/>
    </xf>
    <xf numFmtId="0" fontId="90" fillId="4" borderId="47" xfId="38" applyFont="1" applyFill="1" applyBorder="1"/>
    <xf numFmtId="10" fontId="92" fillId="4" borderId="8" xfId="38" applyNumberFormat="1" applyFont="1" applyFill="1" applyBorder="1" applyAlignment="1">
      <alignment horizontal="center"/>
    </xf>
    <xf numFmtId="0" fontId="92" fillId="4" borderId="7" xfId="38" applyFont="1" applyFill="1" applyBorder="1" applyAlignment="1">
      <alignment horizontal="right"/>
    </xf>
    <xf numFmtId="10" fontId="92" fillId="4" borderId="5" xfId="38" applyNumberFormat="1" applyFont="1" applyFill="1" applyBorder="1" applyAlignment="1">
      <alignment horizontal="center"/>
    </xf>
    <xf numFmtId="0" fontId="92" fillId="4" borderId="4" xfId="38" applyFont="1" applyFill="1" applyBorder="1" applyAlignment="1">
      <alignment horizontal="right"/>
    </xf>
    <xf numFmtId="4" fontId="85" fillId="4" borderId="5" xfId="38" applyNumberFormat="1" applyFill="1" applyBorder="1"/>
    <xf numFmtId="4" fontId="89" fillId="4" borderId="2" xfId="38" applyNumberFormat="1" applyFont="1" applyFill="1" applyBorder="1"/>
    <xf numFmtId="10" fontId="89" fillId="4" borderId="53" xfId="38" applyNumberFormat="1" applyFont="1" applyFill="1" applyBorder="1"/>
    <xf numFmtId="49" fontId="89" fillId="4" borderId="1" xfId="38" applyNumberFormat="1" applyFont="1" applyFill="1" applyBorder="1"/>
    <xf numFmtId="0" fontId="85" fillId="4" borderId="0" xfId="38" applyFill="1"/>
    <xf numFmtId="4" fontId="85" fillId="4" borderId="0" xfId="38" applyNumberFormat="1" applyFill="1"/>
    <xf numFmtId="4" fontId="20" fillId="4" borderId="5" xfId="38" applyNumberFormat="1" applyFont="1" applyFill="1" applyBorder="1"/>
    <xf numFmtId="4" fontId="20" fillId="4" borderId="8" xfId="38" applyNumberFormat="1" applyFont="1" applyFill="1" applyBorder="1"/>
    <xf numFmtId="49" fontId="20" fillId="4" borderId="8" xfId="38" applyNumberFormat="1" applyFont="1" applyFill="1" applyBorder="1"/>
    <xf numFmtId="49" fontId="20" fillId="4" borderId="7" xfId="38" applyNumberFormat="1" applyFont="1" applyFill="1" applyBorder="1"/>
    <xf numFmtId="4" fontId="72" fillId="4" borderId="5" xfId="38" applyNumberFormat="1" applyFont="1" applyFill="1" applyBorder="1"/>
    <xf numFmtId="4" fontId="93" fillId="4" borderId="5" xfId="38" applyNumberFormat="1" applyFont="1" applyFill="1" applyBorder="1"/>
    <xf numFmtId="49" fontId="72" fillId="4" borderId="5" xfId="38" applyNumberFormat="1" applyFont="1" applyFill="1" applyBorder="1"/>
    <xf numFmtId="49" fontId="72" fillId="4" borderId="4" xfId="38" applyNumberFormat="1" applyFont="1" applyFill="1" applyBorder="1"/>
    <xf numFmtId="49" fontId="20" fillId="4" borderId="5" xfId="38" applyNumberFormat="1" applyFont="1" applyFill="1" applyBorder="1"/>
    <xf numFmtId="49" fontId="20" fillId="4" borderId="4" xfId="38" applyNumberFormat="1" applyFont="1" applyFill="1" applyBorder="1"/>
    <xf numFmtId="4" fontId="91" fillId="4" borderId="5" xfId="38" applyNumberFormat="1" applyFont="1" applyFill="1" applyBorder="1"/>
    <xf numFmtId="4" fontId="73" fillId="4" borderId="5" xfId="38" applyNumberFormat="1" applyFont="1" applyFill="1" applyBorder="1"/>
    <xf numFmtId="49" fontId="73" fillId="4" borderId="5" xfId="38" applyNumberFormat="1" applyFont="1" applyFill="1" applyBorder="1"/>
    <xf numFmtId="49" fontId="73" fillId="4" borderId="4" xfId="38" applyNumberFormat="1" applyFont="1" applyFill="1" applyBorder="1"/>
    <xf numFmtId="4" fontId="74" fillId="4" borderId="5" xfId="38" applyNumberFormat="1" applyFont="1" applyFill="1" applyBorder="1"/>
    <xf numFmtId="49" fontId="74" fillId="4" borderId="5" xfId="38" applyNumberFormat="1" applyFont="1" applyFill="1" applyBorder="1"/>
    <xf numFmtId="49" fontId="74" fillId="4" borderId="4" xfId="38" applyNumberFormat="1" applyFont="1" applyFill="1" applyBorder="1"/>
    <xf numFmtId="4" fontId="94" fillId="4" borderId="5" xfId="38" applyNumberFormat="1" applyFont="1" applyFill="1" applyBorder="1"/>
    <xf numFmtId="4" fontId="94" fillId="4" borderId="17" xfId="38" applyNumberFormat="1" applyFont="1" applyFill="1" applyBorder="1"/>
    <xf numFmtId="49" fontId="94" fillId="4" borderId="5" xfId="38" applyNumberFormat="1" applyFont="1" applyFill="1" applyBorder="1"/>
    <xf numFmtId="49" fontId="94" fillId="4" borderId="4" xfId="38" applyNumberFormat="1" applyFont="1" applyFill="1" applyBorder="1"/>
    <xf numFmtId="4" fontId="95" fillId="4" borderId="5" xfId="38" applyNumberFormat="1" applyFont="1" applyFill="1" applyBorder="1"/>
    <xf numFmtId="4" fontId="95" fillId="4" borderId="17" xfId="38" applyNumberFormat="1" applyFont="1" applyFill="1" applyBorder="1"/>
    <xf numFmtId="49" fontId="95" fillId="4" borderId="5" xfId="38" applyNumberFormat="1" applyFont="1" applyFill="1" applyBorder="1" applyAlignment="1">
      <alignment vertical="center" wrapText="1"/>
    </xf>
    <xf numFmtId="49" fontId="95" fillId="4" borderId="4" xfId="38" applyNumberFormat="1" applyFont="1" applyFill="1" applyBorder="1"/>
    <xf numFmtId="0" fontId="19" fillId="0" borderId="0" xfId="38" applyFont="1" applyFill="1" applyAlignment="1">
      <alignment vertical="center"/>
    </xf>
    <xf numFmtId="174" fontId="19" fillId="0" borderId="0" xfId="38" applyNumberFormat="1" applyFont="1" applyFill="1" applyAlignment="1" applyProtection="1">
      <alignment horizontal="left" vertical="center"/>
    </xf>
    <xf numFmtId="174" fontId="26" fillId="0" borderId="0" xfId="38" applyNumberFormat="1" applyFont="1" applyFill="1" applyAlignment="1" applyProtection="1">
      <alignment horizontal="left" vertical="center"/>
    </xf>
    <xf numFmtId="0" fontId="19" fillId="0" borderId="0" xfId="38" applyFont="1" applyFill="1" applyBorder="1" applyAlignment="1">
      <alignment vertical="center"/>
    </xf>
    <xf numFmtId="174" fontId="19" fillId="0" borderId="0" xfId="38" applyNumberFormat="1" applyFont="1" applyFill="1" applyAlignment="1" applyProtection="1">
      <alignment vertical="center"/>
    </xf>
    <xf numFmtId="174" fontId="98" fillId="0" borderId="0" xfId="38" applyNumberFormat="1" applyFont="1" applyFill="1" applyAlignment="1" applyProtection="1">
      <alignment vertical="center"/>
    </xf>
    <xf numFmtId="174" fontId="98" fillId="0" borderId="0" xfId="38" applyNumberFormat="1" applyFont="1" applyFill="1" applyAlignment="1" applyProtection="1">
      <alignment horizontal="center" vertical="center"/>
    </xf>
    <xf numFmtId="4" fontId="78" fillId="0" borderId="5" xfId="0" applyNumberFormat="1" applyFont="1" applyBorder="1"/>
    <xf numFmtId="4" fontId="0" fillId="0" borderId="2" xfId="0" applyNumberFormat="1" applyBorder="1"/>
    <xf numFmtId="4" fontId="73" fillId="0" borderId="2" xfId="0" applyNumberFormat="1" applyFont="1" applyBorder="1"/>
    <xf numFmtId="0" fontId="100" fillId="4" borderId="1" xfId="12" applyFont="1" applyFill="1" applyBorder="1" applyAlignment="1">
      <alignment horizontal="center" vertical="center"/>
    </xf>
    <xf numFmtId="4" fontId="26" fillId="4" borderId="0" xfId="12" applyNumberFormat="1" applyFont="1" applyFill="1"/>
    <xf numFmtId="0" fontId="25" fillId="0" borderId="0" xfId="12" applyFont="1"/>
    <xf numFmtId="0" fontId="26" fillId="4" borderId="0" xfId="12" applyFont="1" applyFill="1"/>
    <xf numFmtId="49" fontId="78" fillId="4" borderId="31" xfId="0" applyNumberFormat="1" applyFont="1" applyFill="1" applyBorder="1" applyAlignment="1"/>
    <xf numFmtId="4" fontId="75" fillId="4" borderId="2" xfId="0" applyNumberFormat="1" applyFont="1" applyFill="1" applyBorder="1"/>
    <xf numFmtId="4" fontId="75" fillId="4" borderId="57" xfId="0" applyNumberFormat="1" applyFont="1" applyFill="1" applyBorder="1"/>
    <xf numFmtId="2" fontId="17" fillId="4" borderId="11" xfId="15" applyNumberFormat="1" applyFont="1" applyFill="1" applyBorder="1" applyAlignment="1">
      <alignment horizontal="center"/>
    </xf>
    <xf numFmtId="4" fontId="20" fillId="4" borderId="5" xfId="15" applyNumberFormat="1" applyFont="1" applyFill="1" applyBorder="1"/>
    <xf numFmtId="3" fontId="77" fillId="4" borderId="5" xfId="15" applyNumberFormat="1" applyFont="1" applyFill="1" applyBorder="1" applyAlignment="1">
      <alignment horizontal="center"/>
    </xf>
    <xf numFmtId="4" fontId="20" fillId="0" borderId="65" xfId="15" applyNumberFormat="1" applyFont="1" applyFill="1" applyBorder="1"/>
    <xf numFmtId="4" fontId="20" fillId="0" borderId="67" xfId="15" applyNumberFormat="1" applyFont="1" applyFill="1" applyBorder="1"/>
    <xf numFmtId="4" fontId="58" fillId="0" borderId="67" xfId="15" applyNumberFormat="1" applyFont="1" applyFill="1" applyBorder="1" applyAlignment="1">
      <alignment horizontal="center"/>
    </xf>
    <xf numFmtId="2" fontId="17" fillId="4" borderId="80" xfId="15" applyNumberFormat="1" applyFont="1" applyFill="1" applyBorder="1" applyAlignment="1">
      <alignment horizontal="center"/>
    </xf>
    <xf numFmtId="2" fontId="17" fillId="3" borderId="80" xfId="15" applyNumberFormat="1" applyFont="1" applyFill="1" applyBorder="1" applyAlignment="1">
      <alignment horizontal="center"/>
    </xf>
    <xf numFmtId="3" fontId="77" fillId="4" borderId="6" xfId="15" applyNumberFormat="1" applyFont="1" applyFill="1" applyBorder="1" applyAlignment="1">
      <alignment horizontal="center"/>
    </xf>
    <xf numFmtId="4" fontId="20" fillId="0" borderId="8" xfId="7" applyNumberFormat="1" applyFont="1" applyFill="1" applyBorder="1" applyAlignment="1"/>
    <xf numFmtId="2" fontId="17" fillId="3" borderId="69" xfId="15" applyNumberFormat="1" applyFont="1" applyFill="1" applyBorder="1" applyAlignment="1">
      <alignment horizontal="center"/>
    </xf>
    <xf numFmtId="174" fontId="99" fillId="0" borderId="0" xfId="38" applyNumberFormat="1" applyFont="1" applyFill="1" applyAlignment="1" applyProtection="1">
      <alignment horizontal="center" vertical="center"/>
    </xf>
    <xf numFmtId="0" fontId="19" fillId="0" borderId="0" xfId="12" applyFont="1" applyFill="1" applyAlignment="1">
      <alignment horizontal="center"/>
    </xf>
    <xf numFmtId="0" fontId="16" fillId="0" borderId="0" xfId="12" applyFont="1" applyAlignment="1">
      <alignment horizontal="center" vertical="top"/>
    </xf>
    <xf numFmtId="0" fontId="20" fillId="0" borderId="0" xfId="12" applyFont="1" applyFill="1" applyAlignment="1">
      <alignment horizontal="center"/>
    </xf>
    <xf numFmtId="0" fontId="22" fillId="0" borderId="0" xfId="12" applyFont="1" applyFill="1" applyAlignment="1">
      <alignment horizontal="center"/>
    </xf>
    <xf numFmtId="4" fontId="75" fillId="4" borderId="3" xfId="0" applyNumberFormat="1" applyFont="1" applyFill="1" applyBorder="1" applyAlignment="1">
      <alignment horizontal="center"/>
    </xf>
    <xf numFmtId="4" fontId="75" fillId="4" borderId="2" xfId="0" applyNumberFormat="1" applyFont="1" applyFill="1" applyBorder="1" applyAlignment="1">
      <alignment horizontal="center"/>
    </xf>
    <xf numFmtId="4" fontId="22" fillId="4" borderId="4" xfId="12" applyNumberFormat="1" applyFont="1" applyFill="1" applyBorder="1" applyAlignment="1">
      <alignment horizontal="center"/>
    </xf>
    <xf numFmtId="4" fontId="24" fillId="4" borderId="6" xfId="12" applyNumberFormat="1" applyFont="1" applyFill="1" applyBorder="1" applyAlignment="1" applyProtection="1">
      <alignment horizontal="center" vertical="center"/>
      <protection locked="0"/>
    </xf>
    <xf numFmtId="4" fontId="24" fillId="4" borderId="5" xfId="12" applyNumberFormat="1" applyFont="1" applyFill="1" applyBorder="1" applyAlignment="1" applyProtection="1">
      <alignment horizontal="center" vertical="center"/>
      <protection locked="0"/>
    </xf>
    <xf numFmtId="10" fontId="22" fillId="4" borderId="6" xfId="12" applyNumberFormat="1" applyFont="1" applyFill="1" applyBorder="1" applyAlignment="1">
      <alignment horizontal="center"/>
    </xf>
    <xf numFmtId="4" fontId="22" fillId="0" borderId="0" xfId="12" applyNumberFormat="1" applyFont="1" applyAlignment="1">
      <alignment horizontal="center"/>
    </xf>
    <xf numFmtId="4" fontId="22" fillId="0" borderId="0" xfId="12" applyNumberFormat="1" applyFont="1" applyFill="1" applyAlignment="1">
      <alignment horizontal="center"/>
    </xf>
    <xf numFmtId="49" fontId="20" fillId="0" borderId="5" xfId="0" applyNumberFormat="1" applyFont="1" applyBorder="1" applyAlignment="1"/>
    <xf numFmtId="0" fontId="24" fillId="0" borderId="5" xfId="12" applyFont="1" applyBorder="1" applyAlignment="1" applyProtection="1">
      <alignment horizontal="center" vertical="center"/>
      <protection locked="0"/>
    </xf>
    <xf numFmtId="4" fontId="22" fillId="0" borderId="5" xfId="12" applyNumberFormat="1" applyFont="1" applyBorder="1"/>
    <xf numFmtId="4" fontId="22" fillId="4" borderId="5" xfId="12" applyNumberFormat="1" applyFont="1" applyFill="1" applyBorder="1"/>
    <xf numFmtId="4" fontId="22" fillId="0" borderId="2" xfId="12" applyNumberFormat="1" applyFont="1" applyBorder="1"/>
    <xf numFmtId="4" fontId="22" fillId="0" borderId="5" xfId="12" applyNumberFormat="1" applyFont="1" applyFill="1" applyBorder="1"/>
    <xf numFmtId="0" fontId="21" fillId="0" borderId="5" xfId="12" applyFont="1" applyBorder="1" applyAlignment="1" applyProtection="1">
      <alignment horizontal="center" vertical="center"/>
      <protection locked="0"/>
    </xf>
    <xf numFmtId="49" fontId="102" fillId="4" borderId="1" xfId="0" applyNumberFormat="1" applyFont="1" applyFill="1" applyBorder="1"/>
    <xf numFmtId="4" fontId="22" fillId="0" borderId="2" xfId="12" applyNumberFormat="1" applyFont="1" applyFill="1" applyBorder="1"/>
    <xf numFmtId="49" fontId="78" fillId="0" borderId="4" xfId="0" applyNumberFormat="1" applyFont="1" applyBorder="1"/>
    <xf numFmtId="10" fontId="22" fillId="0" borderId="5" xfId="12" applyNumberFormat="1" applyFont="1" applyBorder="1"/>
    <xf numFmtId="0" fontId="22" fillId="4" borderId="5" xfId="12" applyFont="1" applyFill="1" applyBorder="1" applyAlignment="1" applyProtection="1">
      <alignment horizontal="center" vertical="center"/>
      <protection locked="0"/>
    </xf>
    <xf numFmtId="49" fontId="75" fillId="4" borderId="2" xfId="0" applyNumberFormat="1" applyFont="1" applyFill="1" applyBorder="1" applyAlignment="1"/>
    <xf numFmtId="0" fontId="21" fillId="0" borderId="2" xfId="12" applyFont="1" applyBorder="1" applyAlignment="1" applyProtection="1">
      <alignment horizontal="center" vertical="center"/>
      <protection locked="0"/>
    </xf>
    <xf numFmtId="4" fontId="75" fillId="0" borderId="2" xfId="0" applyNumberFormat="1" applyFont="1" applyBorder="1"/>
    <xf numFmtId="10" fontId="22" fillId="0" borderId="2" xfId="12" applyNumberFormat="1" applyFont="1" applyBorder="1"/>
    <xf numFmtId="4" fontId="56" fillId="0" borderId="0" xfId="15" applyNumberFormat="1" applyFont="1" applyBorder="1" applyAlignment="1">
      <alignment horizontal="center"/>
    </xf>
    <xf numFmtId="173" fontId="97" fillId="8" borderId="53" xfId="38" applyNumberFormat="1" applyFont="1" applyFill="1" applyBorder="1" applyAlignment="1">
      <alignment horizontal="center" vertical="center" wrapText="1"/>
    </xf>
    <xf numFmtId="167" fontId="90" fillId="4" borderId="55" xfId="38" applyNumberFormat="1" applyFont="1" applyFill="1" applyBorder="1"/>
    <xf numFmtId="167" fontId="90" fillId="4" borderId="17" xfId="38" applyNumberFormat="1" applyFont="1" applyFill="1" applyBorder="1"/>
    <xf numFmtId="167" fontId="89" fillId="4" borderId="17" xfId="38" applyNumberFormat="1" applyFont="1" applyFill="1" applyBorder="1"/>
    <xf numFmtId="167" fontId="90" fillId="0" borderId="17" xfId="38" applyNumberFormat="1" applyFont="1" applyBorder="1"/>
    <xf numFmtId="167" fontId="89" fillId="0" borderId="17" xfId="38" applyNumberFormat="1" applyFont="1" applyBorder="1"/>
    <xf numFmtId="0" fontId="20" fillId="0" borderId="22" xfId="17" applyBorder="1">
      <alignment vertical="center"/>
    </xf>
    <xf numFmtId="0" fontId="20" fillId="0" borderId="52" xfId="17" applyBorder="1">
      <alignment vertical="center"/>
    </xf>
    <xf numFmtId="4" fontId="18" fillId="0" borderId="26" xfId="15" applyNumberFormat="1" applyFont="1" applyFill="1" applyBorder="1" applyAlignment="1">
      <alignment horizontal="center" vertical="center"/>
    </xf>
    <xf numFmtId="4" fontId="60" fillId="0" borderId="53" xfId="15" applyNumberFormat="1" applyFont="1" applyFill="1" applyBorder="1" applyAlignment="1">
      <alignment horizontal="center" vertical="center"/>
    </xf>
    <xf numFmtId="4" fontId="18" fillId="0" borderId="0" xfId="15" applyNumberFormat="1" applyFont="1" applyFill="1" applyBorder="1" applyAlignment="1">
      <alignment horizontal="left" vertical="center"/>
    </xf>
    <xf numFmtId="4" fontId="18" fillId="0" borderId="0" xfId="15" applyNumberFormat="1" applyFont="1" applyFill="1" applyBorder="1" applyAlignment="1">
      <alignment horizontal="right" vertical="center"/>
    </xf>
    <xf numFmtId="4" fontId="58" fillId="0" borderId="0" xfId="15" applyNumberFormat="1" applyFont="1" applyFill="1" applyAlignment="1">
      <alignment horizontal="center" vertical="center"/>
    </xf>
    <xf numFmtId="4" fontId="20" fillId="0" borderId="0" xfId="17" applyNumberFormat="1" applyAlignment="1">
      <alignment vertical="center"/>
    </xf>
    <xf numFmtId="4" fontId="20" fillId="0" borderId="46" xfId="15" applyNumberFormat="1" applyFont="1" applyFill="1" applyBorder="1" applyAlignment="1">
      <alignment horizontal="center" vertical="center"/>
    </xf>
    <xf numFmtId="4" fontId="53" fillId="0" borderId="43" xfId="15" applyNumberFormat="1" applyFont="1" applyFill="1" applyBorder="1" applyAlignment="1">
      <alignment vertical="center"/>
    </xf>
    <xf numFmtId="4" fontId="18" fillId="0" borderId="0" xfId="15" applyNumberFormat="1" applyFont="1" applyFill="1" applyBorder="1" applyAlignment="1">
      <alignment horizontal="center" vertical="center"/>
    </xf>
    <xf numFmtId="4" fontId="20" fillId="0" borderId="0" xfId="15" applyNumberFormat="1" applyFont="1" applyFill="1" applyAlignment="1">
      <alignment vertical="center"/>
    </xf>
    <xf numFmtId="4" fontId="20" fillId="4" borderId="6" xfId="15" applyNumberFormat="1" applyFont="1" applyFill="1" applyBorder="1"/>
    <xf numFmtId="0" fontId="22" fillId="4" borderId="0" xfId="12" applyFont="1" applyFill="1"/>
    <xf numFmtId="4" fontId="22" fillId="4" borderId="0" xfId="12" applyNumberFormat="1" applyFont="1" applyFill="1"/>
    <xf numFmtId="0" fontId="103" fillId="4" borderId="0" xfId="0" applyFont="1" applyFill="1"/>
    <xf numFmtId="0" fontId="104" fillId="4" borderId="0" xfId="0" applyFont="1" applyFill="1"/>
    <xf numFmtId="0" fontId="103" fillId="4" borderId="0" xfId="0" applyFont="1" applyFill="1" applyAlignment="1"/>
    <xf numFmtId="0" fontId="61" fillId="4" borderId="0" xfId="0" applyFont="1" applyFill="1"/>
    <xf numFmtId="0" fontId="61" fillId="4" borderId="0" xfId="0" applyFont="1" applyFill="1" applyBorder="1" applyAlignment="1"/>
    <xf numFmtId="0" fontId="61" fillId="4" borderId="60" xfId="0" applyFont="1" applyFill="1" applyBorder="1" applyAlignment="1">
      <alignment horizontal="center" vertical="center"/>
    </xf>
    <xf numFmtId="0" fontId="103" fillId="4" borderId="18" xfId="0" applyFont="1" applyFill="1" applyBorder="1" applyAlignment="1">
      <alignment horizontal="center"/>
    </xf>
    <xf numFmtId="0" fontId="105" fillId="4" borderId="18" xfId="0" applyFont="1" applyFill="1" applyBorder="1" applyAlignment="1">
      <alignment horizontal="center"/>
    </xf>
    <xf numFmtId="0" fontId="61" fillId="4" borderId="18" xfId="0" applyFont="1" applyFill="1" applyBorder="1"/>
    <xf numFmtId="0" fontId="103" fillId="4" borderId="5" xfId="0" applyFont="1" applyFill="1" applyBorder="1"/>
    <xf numFmtId="0" fontId="61" fillId="4" borderId="7" xfId="0" applyFont="1" applyFill="1" applyBorder="1" applyAlignment="1">
      <alignment vertical="center"/>
    </xf>
    <xf numFmtId="0" fontId="61" fillId="4" borderId="16" xfId="0" applyFont="1" applyFill="1" applyBorder="1" applyAlignment="1">
      <alignment horizontal="center" vertical="top"/>
    </xf>
    <xf numFmtId="0" fontId="106" fillId="4" borderId="16" xfId="0" applyFont="1" applyFill="1" applyBorder="1" applyAlignment="1">
      <alignment horizontal="center" vertical="top"/>
    </xf>
    <xf numFmtId="0" fontId="103" fillId="4" borderId="49" xfId="0" applyFont="1" applyFill="1" applyBorder="1" applyAlignment="1">
      <alignment horizontal="center" vertical="top"/>
    </xf>
    <xf numFmtId="4" fontId="107" fillId="4" borderId="1" xfId="0" applyNumberFormat="1" applyFont="1" applyFill="1" applyBorder="1" applyAlignment="1">
      <alignment horizontal="center"/>
    </xf>
    <xf numFmtId="4" fontId="107" fillId="4" borderId="2" xfId="0" applyNumberFormat="1" applyFont="1" applyFill="1" applyBorder="1" applyAlignment="1">
      <alignment horizontal="center"/>
    </xf>
    <xf numFmtId="4" fontId="104" fillId="4" borderId="2" xfId="0" applyNumberFormat="1" applyFont="1" applyFill="1" applyBorder="1" applyAlignment="1">
      <alignment horizontal="center"/>
    </xf>
    <xf numFmtId="4" fontId="104" fillId="4" borderId="57" xfId="0" applyNumberFormat="1" applyFont="1" applyFill="1" applyBorder="1" applyAlignment="1">
      <alignment horizontal="center"/>
    </xf>
    <xf numFmtId="4" fontId="104" fillId="4" borderId="9" xfId="0" applyNumberFormat="1" applyFont="1" applyFill="1" applyBorder="1" applyAlignment="1">
      <alignment horizontal="center"/>
    </xf>
    <xf numFmtId="4" fontId="103" fillId="4" borderId="31" xfId="0" applyNumberFormat="1" applyFont="1" applyFill="1" applyBorder="1" applyAlignment="1">
      <alignment horizontal="center"/>
    </xf>
    <xf numFmtId="4" fontId="107" fillId="4" borderId="31" xfId="0" applyNumberFormat="1" applyFont="1" applyFill="1" applyBorder="1" applyAlignment="1">
      <alignment horizontal="center"/>
    </xf>
    <xf numFmtId="4" fontId="61" fillId="4" borderId="0" xfId="0" applyNumberFormat="1" applyFont="1" applyFill="1"/>
    <xf numFmtId="0" fontId="107" fillId="4" borderId="0" xfId="0" applyFont="1" applyFill="1"/>
    <xf numFmtId="4" fontId="61" fillId="4" borderId="4" xfId="0" applyNumberFormat="1" applyFont="1" applyFill="1" applyBorder="1" applyAlignment="1">
      <alignment horizontal="center"/>
    </xf>
    <xf numFmtId="4" fontId="61" fillId="4" borderId="5" xfId="0" applyNumberFormat="1" applyFont="1" applyFill="1" applyBorder="1" applyAlignment="1">
      <alignment horizontal="center"/>
    </xf>
    <xf numFmtId="4" fontId="103" fillId="4" borderId="5" xfId="0" applyNumberFormat="1" applyFont="1" applyFill="1" applyBorder="1" applyAlignment="1">
      <alignment horizontal="center"/>
    </xf>
    <xf numFmtId="4" fontId="103" fillId="4" borderId="9" xfId="0" applyNumberFormat="1" applyFont="1" applyFill="1" applyBorder="1" applyAlignment="1">
      <alignment horizontal="center"/>
    </xf>
    <xf numFmtId="4" fontId="61" fillId="4" borderId="31" xfId="0" applyNumberFormat="1" applyFont="1" applyFill="1" applyBorder="1" applyAlignment="1">
      <alignment horizontal="center"/>
    </xf>
    <xf numFmtId="0" fontId="44" fillId="4" borderId="10" xfId="12" applyFont="1" applyFill="1" applyBorder="1" applyAlignment="1" applyProtection="1">
      <alignment horizontal="center" vertical="center"/>
      <protection locked="0"/>
    </xf>
    <xf numFmtId="4" fontId="107" fillId="4" borderId="4" xfId="0" applyNumberFormat="1" applyFont="1" applyFill="1" applyBorder="1" applyAlignment="1">
      <alignment horizontal="center"/>
    </xf>
    <xf numFmtId="4" fontId="107" fillId="4" borderId="5" xfId="0" applyNumberFormat="1" applyFont="1" applyFill="1" applyBorder="1" applyAlignment="1">
      <alignment horizontal="center"/>
    </xf>
    <xf numFmtId="4" fontId="104" fillId="4" borderId="5" xfId="0" applyNumberFormat="1" applyFont="1" applyFill="1" applyBorder="1" applyAlignment="1">
      <alignment horizontal="center"/>
    </xf>
    <xf numFmtId="4" fontId="103" fillId="4" borderId="4" xfId="0" applyNumberFormat="1" applyFont="1" applyFill="1" applyBorder="1" applyAlignment="1">
      <alignment horizontal="center"/>
    </xf>
    <xf numFmtId="0" fontId="19" fillId="4" borderId="10" xfId="12" applyFont="1" applyFill="1" applyBorder="1" applyAlignment="1">
      <alignment horizontal="center" vertical="center"/>
    </xf>
    <xf numFmtId="0" fontId="44" fillId="4" borderId="10" xfId="12" applyFont="1" applyFill="1" applyBorder="1" applyAlignment="1" applyProtection="1">
      <alignment vertical="center"/>
      <protection locked="0"/>
    </xf>
    <xf numFmtId="0" fontId="103" fillId="4" borderId="20" xfId="0" applyFont="1" applyFill="1" applyBorder="1" applyAlignment="1"/>
    <xf numFmtId="0" fontId="104" fillId="4" borderId="19" xfId="0" applyFont="1" applyFill="1" applyBorder="1" applyAlignment="1">
      <alignment horizontal="center"/>
    </xf>
    <xf numFmtId="0" fontId="103" fillId="4" borderId="59" xfId="0" applyFont="1" applyFill="1" applyBorder="1" applyAlignment="1">
      <alignment horizontal="center"/>
    </xf>
    <xf numFmtId="0" fontId="103" fillId="4" borderId="17" xfId="0" applyFont="1" applyFill="1" applyBorder="1" applyAlignment="1">
      <alignment horizontal="center"/>
    </xf>
    <xf numFmtId="0" fontId="103" fillId="4" borderId="0" xfId="0" applyFont="1" applyFill="1" applyBorder="1" applyAlignment="1"/>
    <xf numFmtId="174" fontId="99" fillId="0" borderId="0" xfId="38" applyNumberFormat="1" applyFont="1" applyFill="1" applyAlignment="1" applyProtection="1">
      <alignment horizontal="center" vertical="center"/>
    </xf>
    <xf numFmtId="4" fontId="56" fillId="0" borderId="0" xfId="15" applyNumberFormat="1" applyFont="1" applyBorder="1" applyAlignment="1">
      <alignment horizontal="center"/>
    </xf>
    <xf numFmtId="4" fontId="24" fillId="4" borderId="9" xfId="12" applyNumberFormat="1" applyFont="1" applyFill="1" applyBorder="1" applyAlignment="1" applyProtection="1">
      <alignment horizontal="right" vertical="center"/>
      <protection locked="0"/>
    </xf>
    <xf numFmtId="0" fontId="103" fillId="4" borderId="0" xfId="0" applyFont="1" applyFill="1" applyBorder="1"/>
    <xf numFmtId="39" fontId="33" fillId="0" borderId="0" xfId="26" applyNumberFormat="1" applyFont="1" applyFill="1" applyBorder="1" applyAlignment="1">
      <alignment horizontal="center" vertical="center" wrapText="1"/>
    </xf>
    <xf numFmtId="0" fontId="19" fillId="2" borderId="5" xfId="12" applyNumberFormat="1" applyFont="1" applyFill="1" applyBorder="1" applyAlignment="1">
      <alignment horizontal="center"/>
    </xf>
    <xf numFmtId="4" fontId="22" fillId="4" borderId="6" xfId="12" applyNumberFormat="1" applyFont="1" applyFill="1" applyBorder="1" applyAlignment="1" applyProtection="1">
      <alignment horizontal="center" vertical="center"/>
      <protection locked="0"/>
    </xf>
    <xf numFmtId="49" fontId="20" fillId="4" borderId="36" xfId="0" applyNumberFormat="1" applyFont="1" applyFill="1" applyBorder="1"/>
    <xf numFmtId="4" fontId="20" fillId="0" borderId="0" xfId="12" applyNumberFormat="1" applyFont="1" applyFill="1" applyAlignment="1">
      <alignment vertical="top"/>
    </xf>
    <xf numFmtId="49" fontId="75" fillId="4" borderId="60" xfId="0" applyNumberFormat="1" applyFont="1" applyFill="1" applyBorder="1"/>
    <xf numFmtId="49" fontId="18" fillId="4" borderId="36" xfId="0" applyNumberFormat="1" applyFont="1" applyFill="1" applyBorder="1"/>
    <xf numFmtId="49" fontId="78" fillId="4" borderId="36" xfId="0" applyNumberFormat="1" applyFont="1" applyFill="1" applyBorder="1" applyAlignment="1"/>
    <xf numFmtId="49" fontId="20" fillId="4" borderId="36" xfId="0" applyNumberFormat="1" applyFont="1" applyFill="1" applyBorder="1" applyAlignment="1">
      <alignment horizontal="left"/>
    </xf>
    <xf numFmtId="49" fontId="20" fillId="4" borderId="36" xfId="0" applyNumberFormat="1" applyFont="1" applyFill="1" applyBorder="1" applyAlignment="1"/>
    <xf numFmtId="0" fontId="18" fillId="4" borderId="61" xfId="12" applyFont="1" applyFill="1" applyBorder="1" applyAlignment="1">
      <alignment horizontal="center" vertical="center"/>
    </xf>
    <xf numFmtId="49" fontId="78" fillId="4" borderId="58" xfId="0" applyNumberFormat="1" applyFont="1" applyFill="1" applyBorder="1" applyAlignment="1"/>
    <xf numFmtId="4" fontId="24" fillId="4" borderId="10" xfId="12" applyNumberFormat="1" applyFont="1" applyFill="1" applyBorder="1" applyAlignment="1" applyProtection="1">
      <alignment horizontal="right" vertical="center"/>
      <protection locked="0"/>
    </xf>
    <xf numFmtId="0" fontId="20" fillId="4" borderId="5" xfId="12" applyFont="1" applyFill="1" applyBorder="1" applyAlignment="1">
      <alignment horizontal="center" vertical="center"/>
    </xf>
    <xf numFmtId="0" fontId="63" fillId="4" borderId="0" xfId="0" applyFont="1" applyFill="1" applyAlignment="1">
      <alignment horizontal="center"/>
    </xf>
    <xf numFmtId="0" fontId="62" fillId="4" borderId="0" xfId="0" applyFont="1" applyFill="1" applyAlignment="1">
      <alignment horizontal="left"/>
    </xf>
    <xf numFmtId="0" fontId="63" fillId="4" borderId="0" xfId="0" applyFont="1" applyFill="1"/>
    <xf numFmtId="0" fontId="62" fillId="4" borderId="0" xfId="0" applyFont="1" applyFill="1"/>
    <xf numFmtId="0" fontId="63" fillId="4" borderId="0" xfId="0" applyFont="1" applyFill="1" applyBorder="1" applyAlignment="1">
      <alignment horizontal="left"/>
    </xf>
    <xf numFmtId="49" fontId="20" fillId="4" borderId="42" xfId="0" applyNumberFormat="1" applyFont="1" applyFill="1" applyBorder="1"/>
    <xf numFmtId="49" fontId="20" fillId="4" borderId="64" xfId="0" applyNumberFormat="1" applyFont="1" applyFill="1" applyBorder="1"/>
    <xf numFmtId="0" fontId="62" fillId="4" borderId="14" xfId="0" applyFont="1" applyFill="1" applyBorder="1" applyAlignment="1">
      <alignment horizontal="center"/>
    </xf>
    <xf numFmtId="0" fontId="62" fillId="4" borderId="20" xfId="0" applyFont="1" applyFill="1" applyBorder="1" applyAlignment="1">
      <alignment horizontal="left"/>
    </xf>
    <xf numFmtId="0" fontId="62" fillId="4" borderId="0" xfId="0" applyFont="1" applyFill="1" applyBorder="1" applyAlignment="1">
      <alignment horizontal="left"/>
    </xf>
    <xf numFmtId="0" fontId="19" fillId="4" borderId="40" xfId="12" applyFont="1" applyFill="1" applyBorder="1" applyAlignment="1">
      <alignment horizontal="center" vertical="center"/>
    </xf>
    <xf numFmtId="49" fontId="20" fillId="4" borderId="60" xfId="0" applyNumberFormat="1" applyFont="1" applyFill="1" applyBorder="1"/>
    <xf numFmtId="49" fontId="20" fillId="4" borderId="38" xfId="0" applyNumberFormat="1" applyFont="1" applyFill="1" applyBorder="1"/>
    <xf numFmtId="0" fontId="44" fillId="4" borderId="28" xfId="12" applyFont="1" applyFill="1" applyBorder="1" applyAlignment="1" applyProtection="1">
      <alignment horizontal="center" vertical="center"/>
      <protection locked="0"/>
    </xf>
    <xf numFmtId="4" fontId="20" fillId="0" borderId="0" xfId="12" applyNumberFormat="1" applyFont="1" applyFill="1" applyAlignment="1">
      <alignment horizontal="center"/>
    </xf>
    <xf numFmtId="0" fontId="20" fillId="4" borderId="13" xfId="12" applyFont="1" applyFill="1" applyBorder="1" applyAlignment="1">
      <alignment horizontal="center" vertical="center"/>
    </xf>
    <xf numFmtId="4" fontId="20" fillId="4" borderId="3" xfId="0" applyNumberFormat="1" applyFont="1" applyFill="1" applyBorder="1" applyAlignment="1">
      <alignment horizontal="center"/>
    </xf>
    <xf numFmtId="0" fontId="20" fillId="4" borderId="5" xfId="12" applyNumberFormat="1" applyFont="1" applyFill="1" applyBorder="1" applyAlignment="1">
      <alignment horizontal="center"/>
    </xf>
    <xf numFmtId="4" fontId="101" fillId="4" borderId="44" xfId="12" applyNumberFormat="1" applyFont="1" applyFill="1" applyBorder="1" applyAlignment="1">
      <alignment horizontal="center"/>
    </xf>
    <xf numFmtId="0" fontId="24" fillId="0" borderId="83" xfId="12" applyFont="1" applyBorder="1" applyAlignment="1" applyProtection="1">
      <alignment vertical="center"/>
      <protection locked="0"/>
    </xf>
    <xf numFmtId="0" fontId="22" fillId="0" borderId="83" xfId="12" applyFont="1" applyBorder="1" applyAlignment="1" applyProtection="1">
      <alignment horizontal="center" vertical="center"/>
      <protection locked="0"/>
    </xf>
    <xf numFmtId="4" fontId="24" fillId="0" borderId="83" xfId="12" applyNumberFormat="1" applyFont="1" applyBorder="1" applyAlignment="1" applyProtection="1">
      <alignment vertical="center"/>
      <protection locked="0"/>
    </xf>
    <xf numFmtId="4" fontId="22" fillId="0" borderId="83" xfId="12" applyNumberFormat="1" applyFont="1" applyBorder="1" applyAlignment="1">
      <alignment horizontal="center"/>
    </xf>
    <xf numFmtId="2" fontId="22" fillId="0" borderId="83" xfId="12" applyNumberFormat="1" applyFont="1" applyBorder="1" applyAlignment="1">
      <alignment horizontal="center"/>
    </xf>
    <xf numFmtId="4" fontId="22" fillId="0" borderId="83" xfId="12" applyNumberFormat="1" applyFont="1" applyFill="1" applyBorder="1" applyAlignment="1">
      <alignment horizontal="center"/>
    </xf>
    <xf numFmtId="10" fontId="22" fillId="0" borderId="83" xfId="12" applyNumberFormat="1" applyFont="1" applyBorder="1" applyAlignment="1">
      <alignment horizontal="center"/>
    </xf>
    <xf numFmtId="4" fontId="22" fillId="0" borderId="83" xfId="12" applyNumberFormat="1" applyFont="1" applyBorder="1"/>
    <xf numFmtId="10" fontId="22" fillId="0" borderId="83" xfId="12" applyNumberFormat="1" applyFont="1" applyBorder="1"/>
    <xf numFmtId="0" fontId="24" fillId="0" borderId="5" xfId="12" applyFont="1" applyBorder="1" applyAlignment="1" applyProtection="1">
      <alignment vertical="center"/>
      <protection locked="0"/>
    </xf>
    <xf numFmtId="0" fontId="18" fillId="0" borderId="5" xfId="12" applyNumberFormat="1" applyFont="1" applyBorder="1" applyAlignment="1">
      <alignment horizontal="left"/>
    </xf>
    <xf numFmtId="4" fontId="18" fillId="0" borderId="5" xfId="12" applyNumberFormat="1" applyFont="1" applyBorder="1"/>
    <xf numFmtId="10" fontId="18" fillId="0" borderId="5" xfId="27" applyNumberFormat="1" applyFont="1" applyBorder="1"/>
    <xf numFmtId="4" fontId="20" fillId="0" borderId="5" xfId="12" applyNumberFormat="1" applyFont="1" applyBorder="1" applyAlignment="1">
      <alignment horizontal="center"/>
    </xf>
    <xf numFmtId="0" fontId="18" fillId="0" borderId="5" xfId="12" applyNumberFormat="1" applyFont="1" applyBorder="1" applyAlignment="1">
      <alignment horizontal="right"/>
    </xf>
    <xf numFmtId="4" fontId="17" fillId="0" borderId="5" xfId="12" applyNumberFormat="1" applyFont="1" applyBorder="1"/>
    <xf numFmtId="4" fontId="16" fillId="0" borderId="5" xfId="12" applyNumberFormat="1" applyFont="1" applyBorder="1" applyAlignment="1">
      <alignment horizontal="center"/>
    </xf>
    <xf numFmtId="4" fontId="17" fillId="0" borderId="5" xfId="12" applyNumberFormat="1" applyFont="1" applyBorder="1" applyAlignment="1">
      <alignment horizontal="center"/>
    </xf>
    <xf numFmtId="0" fontId="20" fillId="0" borderId="5" xfId="12" applyNumberFormat="1" applyFont="1" applyBorder="1" applyAlignment="1">
      <alignment horizontal="center"/>
    </xf>
    <xf numFmtId="0" fontId="20" fillId="0" borderId="5" xfId="12" applyNumberFormat="1" applyFont="1" applyBorder="1" applyAlignment="1">
      <alignment horizontal="center" vertical="center"/>
    </xf>
    <xf numFmtId="0" fontId="20" fillId="0" borderId="5" xfId="12" applyNumberFormat="1" applyFont="1" applyBorder="1"/>
    <xf numFmtId="0" fontId="18" fillId="0" borderId="5" xfId="12" applyNumberFormat="1" applyFont="1" applyBorder="1"/>
    <xf numFmtId="0" fontId="20" fillId="0" borderId="5" xfId="12" applyNumberFormat="1" applyFont="1" applyFill="1" applyBorder="1" applyAlignment="1">
      <alignment horizontal="center"/>
    </xf>
    <xf numFmtId="0" fontId="18" fillId="0" borderId="5" xfId="12" applyNumberFormat="1" applyFont="1" applyBorder="1" applyAlignment="1">
      <alignment horizontal="center"/>
    </xf>
    <xf numFmtId="0" fontId="18" fillId="0" borderId="5" xfId="12" applyNumberFormat="1" applyFont="1" applyFill="1" applyBorder="1" applyAlignment="1">
      <alignment horizontal="right"/>
    </xf>
    <xf numFmtId="0" fontId="21" fillId="0" borderId="5" xfId="12" applyFont="1" applyBorder="1" applyAlignment="1" applyProtection="1">
      <alignment vertical="center"/>
      <protection locked="0"/>
    </xf>
    <xf numFmtId="4" fontId="18" fillId="0" borderId="5" xfId="12" applyNumberFormat="1" applyFont="1" applyBorder="1" applyAlignment="1">
      <alignment horizontal="right"/>
    </xf>
    <xf numFmtId="10" fontId="19" fillId="0" borderId="5" xfId="12" applyNumberFormat="1" applyFont="1" applyFill="1" applyBorder="1" applyAlignment="1">
      <alignment horizontal="center"/>
    </xf>
    <xf numFmtId="10" fontId="26" fillId="0" borderId="5" xfId="12" applyNumberFormat="1" applyFont="1" applyFill="1" applyBorder="1" applyAlignment="1">
      <alignment horizontal="center"/>
    </xf>
    <xf numFmtId="0" fontId="0" fillId="2" borderId="5" xfId="12" applyNumberFormat="1" applyFont="1" applyFill="1" applyBorder="1"/>
    <xf numFmtId="0" fontId="26" fillId="2" borderId="5" xfId="12" applyNumberFormat="1" applyFont="1" applyFill="1" applyBorder="1" applyAlignment="1">
      <alignment horizontal="right"/>
    </xf>
    <xf numFmtId="10" fontId="26" fillId="0" borderId="5" xfId="12" applyNumberFormat="1" applyFont="1" applyFill="1" applyBorder="1" applyAlignment="1">
      <alignment horizontal="right"/>
    </xf>
    <xf numFmtId="0" fontId="19" fillId="0" borderId="5" xfId="12" applyNumberFormat="1" applyFont="1" applyBorder="1" applyAlignment="1">
      <alignment horizontal="center"/>
    </xf>
    <xf numFmtId="0" fontId="19" fillId="0" borderId="5" xfId="12" applyNumberFormat="1" applyFont="1" applyBorder="1" applyAlignment="1">
      <alignment horizontal="center" vertical="center"/>
    </xf>
    <xf numFmtId="0" fontId="19" fillId="0" borderId="5" xfId="12" applyNumberFormat="1" applyFont="1" applyBorder="1"/>
    <xf numFmtId="0" fontId="26" fillId="0" borderId="5" xfId="12" applyNumberFormat="1" applyFont="1" applyBorder="1"/>
    <xf numFmtId="0" fontId="19" fillId="0" borderId="5" xfId="12" applyNumberFormat="1" applyFont="1" applyFill="1" applyBorder="1" applyAlignment="1">
      <alignment horizontal="center"/>
    </xf>
    <xf numFmtId="0" fontId="0" fillId="0" borderId="5" xfId="12" applyNumberFormat="1" applyFont="1" applyBorder="1"/>
    <xf numFmtId="0" fontId="26"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8" fillId="6" borderId="5" xfId="12" applyNumberFormat="1" applyFont="1" applyFill="1" applyBorder="1" applyAlignment="1">
      <alignment horizontal="left"/>
    </xf>
    <xf numFmtId="0" fontId="18" fillId="0" borderId="5" xfId="12" applyNumberFormat="1" applyFont="1" applyFill="1" applyBorder="1" applyAlignment="1"/>
    <xf numFmtId="0" fontId="109" fillId="4" borderId="5" xfId="12" applyNumberFormat="1" applyFont="1" applyFill="1" applyBorder="1" applyAlignment="1">
      <alignment horizontal="center"/>
    </xf>
    <xf numFmtId="0" fontId="19" fillId="4" borderId="5" xfId="12" applyNumberFormat="1" applyFont="1" applyFill="1" applyBorder="1" applyAlignment="1">
      <alignment horizontal="center"/>
    </xf>
    <xf numFmtId="0" fontId="17" fillId="4" borderId="5" xfId="12" applyNumberFormat="1" applyFont="1" applyFill="1" applyBorder="1" applyAlignment="1"/>
    <xf numFmtId="0" fontId="110" fillId="4" borderId="5" xfId="12" applyFont="1" applyFill="1" applyBorder="1" applyAlignment="1" applyProtection="1">
      <alignment horizontal="center" vertical="center"/>
      <protection locked="0"/>
    </xf>
    <xf numFmtId="4" fontId="110" fillId="4" borderId="10" xfId="12" applyNumberFormat="1" applyFont="1" applyFill="1" applyBorder="1" applyAlignment="1" applyProtection="1">
      <alignment horizontal="right" vertical="center"/>
      <protection locked="0"/>
    </xf>
    <xf numFmtId="4" fontId="110" fillId="4" borderId="9" xfId="12" applyNumberFormat="1" applyFont="1" applyFill="1" applyBorder="1" applyAlignment="1" applyProtection="1">
      <alignment horizontal="right" vertical="center"/>
      <protection locked="0"/>
    </xf>
    <xf numFmtId="4" fontId="110" fillId="4" borderId="9" xfId="12" applyNumberFormat="1" applyFont="1" applyFill="1" applyBorder="1" applyAlignment="1" applyProtection="1">
      <alignment vertical="center"/>
      <protection locked="0"/>
    </xf>
    <xf numFmtId="4" fontId="110" fillId="4" borderId="4" xfId="12" applyNumberFormat="1" applyFont="1" applyFill="1" applyBorder="1" applyAlignment="1">
      <alignment horizontal="center"/>
    </xf>
    <xf numFmtId="4" fontId="110" fillId="4" borderId="6" xfId="12" applyNumberFormat="1" applyFont="1" applyFill="1" applyBorder="1" applyAlignment="1" applyProtection="1">
      <alignment horizontal="center" vertical="center"/>
      <protection locked="0"/>
    </xf>
    <xf numFmtId="4" fontId="110" fillId="4" borderId="5" xfId="12" applyNumberFormat="1" applyFont="1" applyFill="1" applyBorder="1" applyAlignment="1" applyProtection="1">
      <alignment horizontal="center" vertical="center"/>
      <protection locked="0"/>
    </xf>
    <xf numFmtId="10" fontId="110" fillId="4" borderId="6" xfId="12" applyNumberFormat="1" applyFont="1" applyFill="1" applyBorder="1" applyAlignment="1">
      <alignment horizontal="center"/>
    </xf>
    <xf numFmtId="4" fontId="110" fillId="4" borderId="4" xfId="12" applyNumberFormat="1" applyFont="1" applyFill="1" applyBorder="1"/>
    <xf numFmtId="4" fontId="110" fillId="4" borderId="5" xfId="12" applyNumberFormat="1" applyFont="1" applyFill="1" applyBorder="1" applyAlignment="1" applyProtection="1">
      <alignment vertical="center"/>
      <protection locked="0"/>
    </xf>
    <xf numFmtId="10" fontId="110" fillId="4" borderId="6" xfId="12" applyNumberFormat="1" applyFont="1" applyFill="1" applyBorder="1"/>
    <xf numFmtId="0" fontId="77" fillId="4" borderId="5" xfId="12" applyFont="1" applyFill="1" applyBorder="1" applyAlignment="1">
      <alignment horizontal="center" vertical="center"/>
    </xf>
    <xf numFmtId="4" fontId="20" fillId="4" borderId="5" xfId="12" applyNumberFormat="1" applyFont="1" applyFill="1" applyBorder="1" applyAlignment="1">
      <alignment horizontal="center"/>
    </xf>
    <xf numFmtId="0" fontId="108" fillId="5" borderId="5" xfId="0" applyFont="1" applyFill="1" applyBorder="1" applyAlignment="1">
      <alignment horizontal="left"/>
    </xf>
    <xf numFmtId="10" fontId="18" fillId="4" borderId="5" xfId="27" applyNumberFormat="1" applyFont="1" applyFill="1" applyBorder="1" applyAlignment="1">
      <alignment horizontal="center"/>
    </xf>
    <xf numFmtId="0" fontId="19" fillId="4" borderId="5" xfId="12" applyNumberFormat="1" applyFont="1" applyFill="1" applyBorder="1" applyAlignment="1"/>
    <xf numFmtId="0" fontId="46" fillId="0" borderId="47" xfId="12" applyFont="1" applyFill="1" applyBorder="1" applyAlignment="1">
      <alignment horizontal="center" vertical="center"/>
    </xf>
    <xf numFmtId="0" fontId="46" fillId="0" borderId="55" xfId="12" applyFont="1" applyFill="1" applyBorder="1" applyAlignment="1">
      <alignment horizontal="left" vertical="center"/>
    </xf>
    <xf numFmtId="49" fontId="46" fillId="0" borderId="46" xfId="12" applyNumberFormat="1" applyFont="1" applyFill="1" applyBorder="1" applyAlignment="1">
      <alignment horizontal="left" vertical="center"/>
    </xf>
    <xf numFmtId="0" fontId="26" fillId="5" borderId="5" xfId="12" applyFont="1" applyFill="1" applyBorder="1" applyAlignment="1">
      <alignment horizontal="center"/>
    </xf>
    <xf numFmtId="4" fontId="46" fillId="0" borderId="25" xfId="12" applyNumberFormat="1" applyFont="1" applyFill="1" applyBorder="1" applyAlignment="1">
      <alignment vertical="center"/>
    </xf>
    <xf numFmtId="10" fontId="26" fillId="0" borderId="69" xfId="29" applyNumberFormat="1" applyFont="1" applyFill="1" applyBorder="1" applyAlignment="1">
      <alignment horizontal="center" vertical="center"/>
    </xf>
    <xf numFmtId="4" fontId="26" fillId="0" borderId="67" xfId="12" applyNumberFormat="1" applyFont="1" applyBorder="1"/>
    <xf numFmtId="4" fontId="26" fillId="0" borderId="67" xfId="12" applyNumberFormat="1" applyFont="1" applyFill="1" applyBorder="1" applyAlignment="1">
      <alignment horizontal="center"/>
    </xf>
    <xf numFmtId="10" fontId="26" fillId="0" borderId="67" xfId="12" applyNumberFormat="1" applyFont="1" applyBorder="1" applyAlignment="1">
      <alignment horizontal="center"/>
    </xf>
    <xf numFmtId="4" fontId="26" fillId="0" borderId="67" xfId="12" applyNumberFormat="1" applyFont="1" applyBorder="1" applyAlignment="1">
      <alignment horizontal="center"/>
    </xf>
    <xf numFmtId="4" fontId="46" fillId="0" borderId="5" xfId="12" applyNumberFormat="1" applyFont="1" applyFill="1" applyBorder="1" applyAlignment="1">
      <alignment vertical="center"/>
    </xf>
    <xf numFmtId="0" fontId="46" fillId="0" borderId="47" xfId="12" applyFont="1" applyFill="1" applyBorder="1" applyAlignment="1">
      <alignment horizontal="center" vertical="center"/>
    </xf>
    <xf numFmtId="0" fontId="26" fillId="5" borderId="5" xfId="12" applyFont="1" applyFill="1" applyBorder="1" applyAlignment="1">
      <alignment horizontal="center"/>
    </xf>
    <xf numFmtId="4" fontId="26" fillId="0" borderId="5" xfId="12" applyNumberFormat="1" applyFont="1" applyBorder="1" applyAlignment="1">
      <alignment horizontal="center"/>
    </xf>
    <xf numFmtId="0" fontId="46" fillId="0" borderId="5" xfId="12" applyNumberFormat="1" applyFont="1" applyBorder="1" applyAlignment="1">
      <alignment horizontal="left"/>
    </xf>
    <xf numFmtId="10" fontId="46" fillId="0" borderId="5" xfId="12" applyNumberFormat="1" applyFont="1" applyBorder="1" applyAlignment="1">
      <alignment horizontal="left"/>
    </xf>
    <xf numFmtId="4" fontId="46" fillId="0" borderId="5" xfId="12" applyNumberFormat="1" applyFont="1" applyBorder="1"/>
    <xf numFmtId="0" fontId="46" fillId="0" borderId="4" xfId="12" applyNumberFormat="1" applyFont="1" applyBorder="1" applyAlignment="1">
      <alignment horizontal="left"/>
    </xf>
    <xf numFmtId="10" fontId="26" fillId="0" borderId="0" xfId="27" applyNumberFormat="1" applyFont="1" applyBorder="1"/>
    <xf numFmtId="0" fontId="46" fillId="0" borderId="44" xfId="12" applyNumberFormat="1" applyFont="1" applyBorder="1" applyAlignment="1">
      <alignment horizontal="left"/>
    </xf>
    <xf numFmtId="0" fontId="46" fillId="0" borderId="25" xfId="12" applyNumberFormat="1" applyFont="1" applyBorder="1" applyAlignment="1">
      <alignment horizontal="left"/>
    </xf>
    <xf numFmtId="10" fontId="46" fillId="0" borderId="25" xfId="12" applyNumberFormat="1" applyFont="1" applyBorder="1" applyAlignment="1">
      <alignment horizontal="left"/>
    </xf>
    <xf numFmtId="4" fontId="46" fillId="0" borderId="25" xfId="12" applyNumberFormat="1" applyFont="1" applyBorder="1"/>
    <xf numFmtId="10" fontId="26" fillId="0" borderId="25" xfId="12" applyNumberFormat="1" applyFont="1" applyBorder="1" applyAlignment="1">
      <alignment horizontal="center"/>
    </xf>
    <xf numFmtId="4" fontId="26" fillId="0" borderId="25" xfId="12" applyNumberFormat="1" applyFont="1" applyBorder="1" applyAlignment="1">
      <alignment horizontal="center"/>
    </xf>
    <xf numFmtId="4" fontId="26" fillId="0" borderId="45" xfId="12" applyNumberFormat="1" applyFont="1" applyBorder="1"/>
    <xf numFmtId="4" fontId="26" fillId="0" borderId="15" xfId="12" applyNumberFormat="1" applyFont="1" applyBorder="1"/>
    <xf numFmtId="10" fontId="26" fillId="0" borderId="15" xfId="27" applyNumberFormat="1" applyFont="1" applyBorder="1"/>
    <xf numFmtId="10" fontId="26" fillId="0" borderId="59" xfId="27" applyNumberFormat="1" applyFont="1" applyBorder="1"/>
    <xf numFmtId="0" fontId="46" fillId="0" borderId="44" xfId="12" applyFont="1" applyFill="1" applyBorder="1" applyAlignment="1">
      <alignment horizontal="center" vertical="center"/>
    </xf>
    <xf numFmtId="0" fontId="46" fillId="0" borderId="25" xfId="12" applyFont="1" applyFill="1" applyBorder="1" applyAlignment="1">
      <alignment horizontal="center" vertical="center"/>
    </xf>
    <xf numFmtId="4" fontId="46" fillId="0" borderId="25" xfId="12" applyNumberFormat="1" applyFont="1" applyFill="1" applyBorder="1" applyAlignment="1">
      <alignment horizontal="center" vertical="center"/>
    </xf>
    <xf numFmtId="10" fontId="46" fillId="0" borderId="25" xfId="29" applyNumberFormat="1" applyFont="1" applyFill="1" applyBorder="1" applyAlignment="1">
      <alignment horizontal="center" vertical="center"/>
    </xf>
    <xf numFmtId="10" fontId="19" fillId="0" borderId="45" xfId="29" applyNumberFormat="1" applyFont="1" applyFill="1" applyBorder="1" applyAlignment="1">
      <alignment horizontal="center" vertical="center"/>
    </xf>
    <xf numFmtId="0" fontId="46" fillId="0" borderId="13" xfId="12" applyNumberFormat="1" applyFont="1" applyBorder="1" applyAlignment="1">
      <alignment horizontal="left"/>
    </xf>
    <xf numFmtId="4" fontId="46" fillId="0" borderId="13" xfId="12" applyNumberFormat="1" applyFont="1" applyBorder="1"/>
    <xf numFmtId="10" fontId="26" fillId="0" borderId="13" xfId="12" applyNumberFormat="1" applyFont="1" applyBorder="1" applyAlignment="1">
      <alignment horizontal="center"/>
    </xf>
    <xf numFmtId="4" fontId="26" fillId="0" borderId="13" xfId="12" applyNumberFormat="1" applyFont="1" applyBorder="1" applyAlignment="1">
      <alignment horizontal="center"/>
    </xf>
    <xf numFmtId="4" fontId="26" fillId="0" borderId="15" xfId="12" applyNumberFormat="1" applyFont="1" applyFill="1" applyBorder="1" applyAlignment="1">
      <alignment horizontal="center"/>
    </xf>
    <xf numFmtId="10" fontId="26" fillId="0" borderId="15" xfId="12" applyNumberFormat="1" applyFont="1" applyBorder="1" applyAlignment="1">
      <alignment horizontal="center"/>
    </xf>
    <xf numFmtId="4" fontId="26" fillId="0" borderId="15" xfId="12" applyNumberFormat="1" applyFont="1" applyBorder="1" applyAlignment="1">
      <alignment horizontal="center"/>
    </xf>
    <xf numFmtId="10" fontId="26" fillId="0" borderId="59" xfId="29" applyNumberFormat="1" applyFont="1" applyFill="1" applyBorder="1" applyAlignment="1">
      <alignment horizontal="center" vertical="center"/>
    </xf>
    <xf numFmtId="49" fontId="20" fillId="7" borderId="31" xfId="0" applyNumberFormat="1" applyFont="1" applyFill="1" applyBorder="1" applyAlignment="1"/>
    <xf numFmtId="0" fontId="44" fillId="7" borderId="10" xfId="12" applyFont="1" applyFill="1" applyBorder="1" applyAlignment="1" applyProtection="1">
      <alignment horizontal="center" vertical="center"/>
      <protection locked="0"/>
    </xf>
    <xf numFmtId="4" fontId="63" fillId="4" borderId="5" xfId="0" applyNumberFormat="1" applyFont="1" applyFill="1" applyBorder="1" applyAlignment="1">
      <alignment horizontal="center"/>
    </xf>
    <xf numFmtId="2" fontId="63" fillId="4" borderId="0" xfId="0" applyNumberFormat="1" applyFont="1" applyFill="1"/>
    <xf numFmtId="4" fontId="62" fillId="4" borderId="5" xfId="0" applyNumberFormat="1" applyFont="1" applyFill="1" applyBorder="1" applyAlignment="1">
      <alignment horizontal="center"/>
    </xf>
    <xf numFmtId="4" fontId="103" fillId="4" borderId="36" xfId="0" applyNumberFormat="1" applyFont="1" applyFill="1" applyBorder="1" applyAlignment="1">
      <alignment horizontal="center"/>
    </xf>
    <xf numFmtId="0" fontId="103" fillId="4" borderId="84" xfId="0" applyFont="1" applyFill="1" applyBorder="1" applyAlignment="1">
      <alignment horizontal="center"/>
    </xf>
    <xf numFmtId="4" fontId="62" fillId="4" borderId="17" xfId="0" applyNumberFormat="1" applyFont="1" applyFill="1" applyBorder="1" applyAlignment="1">
      <alignment horizontal="center"/>
    </xf>
    <xf numFmtId="0" fontId="61" fillId="4" borderId="5" xfId="0" applyFont="1" applyFill="1" applyBorder="1"/>
    <xf numFmtId="0" fontId="103" fillId="4" borderId="5" xfId="0" applyFont="1" applyFill="1" applyBorder="1" applyAlignment="1">
      <alignment horizontal="center" vertical="top"/>
    </xf>
    <xf numFmtId="4" fontId="61" fillId="4" borderId="5" xfId="0" applyNumberFormat="1" applyFont="1" applyFill="1" applyBorder="1"/>
    <xf numFmtId="0" fontId="107" fillId="4" borderId="5" xfId="0" applyFont="1" applyFill="1" applyBorder="1"/>
    <xf numFmtId="0" fontId="103" fillId="4" borderId="5" xfId="0" applyFont="1" applyFill="1" applyBorder="1" applyAlignment="1">
      <alignment horizontal="center"/>
    </xf>
    <xf numFmtId="0" fontId="61" fillId="4" borderId="5" xfId="0" applyFont="1" applyFill="1" applyBorder="1" applyAlignment="1">
      <alignment horizontal="center"/>
    </xf>
    <xf numFmtId="0" fontId="107" fillId="4" borderId="5" xfId="0" applyFont="1" applyFill="1" applyBorder="1" applyAlignment="1">
      <alignment horizontal="center"/>
    </xf>
    <xf numFmtId="0" fontId="112" fillId="0" borderId="0" xfId="12" applyFont="1" applyAlignment="1">
      <alignment horizontal="center" vertical="center"/>
    </xf>
    <xf numFmtId="0" fontId="112" fillId="0" borderId="4" xfId="12" applyFont="1" applyBorder="1" applyAlignment="1">
      <alignment horizontal="center" vertical="center"/>
    </xf>
    <xf numFmtId="0" fontId="112" fillId="0" borderId="5" xfId="12" applyFont="1" applyBorder="1" applyAlignment="1">
      <alignment horizontal="center" vertical="center"/>
    </xf>
    <xf numFmtId="0" fontId="112" fillId="0" borderId="6" xfId="12" applyFont="1" applyBorder="1" applyAlignment="1">
      <alignment horizontal="center" vertical="center"/>
    </xf>
    <xf numFmtId="0" fontId="112" fillId="0" borderId="4" xfId="12" applyFont="1" applyFill="1" applyBorder="1" applyAlignment="1">
      <alignment horizontal="center" vertical="center"/>
    </xf>
    <xf numFmtId="0" fontId="112" fillId="0" borderId="5" xfId="12" applyFont="1" applyFill="1" applyBorder="1" applyAlignment="1">
      <alignment horizontal="center" vertical="center"/>
    </xf>
    <xf numFmtId="167" fontId="112" fillId="0" borderId="6" xfId="12" applyNumberFormat="1" applyFont="1" applyBorder="1" applyAlignment="1">
      <alignment horizontal="center" vertical="center"/>
    </xf>
    <xf numFmtId="0" fontId="112" fillId="0" borderId="6" xfId="12" applyFont="1" applyBorder="1" applyAlignment="1">
      <alignment horizontal="center" vertical="center" wrapText="1"/>
    </xf>
    <xf numFmtId="0" fontId="80" fillId="4" borderId="0" xfId="12" applyFont="1" applyFill="1" applyBorder="1" applyAlignment="1">
      <alignment vertical="top" wrapText="1"/>
    </xf>
    <xf numFmtId="0" fontId="116" fillId="0" borderId="0" xfId="12" applyFont="1" applyFill="1" applyAlignment="1">
      <alignment horizontal="center" vertical="center"/>
    </xf>
    <xf numFmtId="0" fontId="117" fillId="0" borderId="0" xfId="12" applyFont="1" applyAlignment="1">
      <alignment vertical="center"/>
    </xf>
    <xf numFmtId="0" fontId="116" fillId="0" borderId="0" xfId="12" applyFont="1" applyBorder="1" applyAlignment="1">
      <alignment horizontal="right" vertical="center"/>
    </xf>
    <xf numFmtId="0" fontId="116" fillId="0" borderId="0" xfId="12" applyFont="1" applyFill="1" applyBorder="1" applyAlignment="1">
      <alignment horizontal="center" vertical="center"/>
    </xf>
    <xf numFmtId="0" fontId="116" fillId="0" borderId="0" xfId="12" applyFont="1" applyFill="1" applyAlignment="1">
      <alignment horizontal="right" vertical="center"/>
    </xf>
    <xf numFmtId="0" fontId="116" fillId="0" borderId="0" xfId="12" applyFont="1" applyAlignment="1">
      <alignment horizontal="right" vertical="center"/>
    </xf>
    <xf numFmtId="0" fontId="116" fillId="0" borderId="0" xfId="12" applyFont="1" applyFill="1" applyAlignment="1">
      <alignment vertical="center"/>
    </xf>
    <xf numFmtId="0" fontId="117" fillId="0" borderId="0" xfId="12" applyFont="1" applyFill="1" applyAlignment="1">
      <alignment horizontal="center" vertical="center"/>
    </xf>
    <xf numFmtId="0" fontId="116" fillId="0" borderId="0" xfId="12" applyFont="1" applyFill="1"/>
    <xf numFmtId="0" fontId="116" fillId="0" borderId="0" xfId="12" applyFont="1" applyAlignment="1">
      <alignment horizontal="left" vertical="center"/>
    </xf>
    <xf numFmtId="0" fontId="116" fillId="0" borderId="0" xfId="12" quotePrefix="1" applyFont="1" applyAlignment="1">
      <alignment horizontal="center" vertical="center"/>
    </xf>
    <xf numFmtId="0" fontId="116" fillId="9" borderId="0" xfId="12" applyFont="1" applyFill="1" applyBorder="1" applyAlignment="1">
      <alignment vertical="center"/>
    </xf>
    <xf numFmtId="0" fontId="116" fillId="9" borderId="0" xfId="12" applyFont="1" applyFill="1" applyBorder="1" applyAlignment="1">
      <alignment horizontal="center" vertical="center"/>
    </xf>
    <xf numFmtId="166" fontId="116" fillId="9" borderId="0" xfId="12" applyNumberFormat="1" applyFont="1" applyFill="1" applyBorder="1" applyAlignment="1">
      <alignment horizontal="center" vertical="center"/>
    </xf>
    <xf numFmtId="0" fontId="116" fillId="0" borderId="0" xfId="12" applyFont="1" applyFill="1" applyBorder="1" applyAlignment="1">
      <alignment vertical="center"/>
    </xf>
    <xf numFmtId="166" fontId="116" fillId="0" borderId="0" xfId="12" applyNumberFormat="1" applyFont="1" applyFill="1" applyBorder="1" applyAlignment="1">
      <alignment horizontal="center" vertical="center"/>
    </xf>
    <xf numFmtId="0" fontId="116" fillId="9" borderId="0" xfId="12" applyFont="1" applyFill="1" applyBorder="1"/>
    <xf numFmtId="0" fontId="117" fillId="0" borderId="0" xfId="12" applyFont="1" applyFill="1" applyBorder="1" applyAlignment="1">
      <alignment horizontal="center" vertical="center"/>
    </xf>
    <xf numFmtId="49" fontId="20" fillId="7" borderId="31" xfId="0" applyNumberFormat="1" applyFont="1" applyFill="1" applyBorder="1"/>
    <xf numFmtId="49" fontId="20" fillId="7" borderId="64" xfId="0" applyNumberFormat="1" applyFont="1" applyFill="1" applyBorder="1"/>
    <xf numFmtId="0" fontId="63" fillId="4" borderId="5" xfId="0" applyFont="1" applyFill="1" applyBorder="1" applyAlignment="1">
      <alignment horizontal="center"/>
    </xf>
    <xf numFmtId="0" fontId="62" fillId="4" borderId="5" xfId="0" applyFont="1" applyFill="1" applyBorder="1" applyAlignment="1">
      <alignment horizontal="center"/>
    </xf>
    <xf numFmtId="49" fontId="20" fillId="6" borderId="31" xfId="0" applyNumberFormat="1" applyFont="1" applyFill="1" applyBorder="1" applyAlignment="1"/>
    <xf numFmtId="4" fontId="105" fillId="4" borderId="9" xfId="0" applyNumberFormat="1" applyFont="1" applyFill="1" applyBorder="1" applyAlignment="1">
      <alignment horizontal="center"/>
    </xf>
    <xf numFmtId="0" fontId="104" fillId="4" borderId="5" xfId="0" applyFont="1" applyFill="1" applyBorder="1" applyAlignment="1">
      <alignment horizontal="center"/>
    </xf>
    <xf numFmtId="4" fontId="46" fillId="0" borderId="13" xfId="12" applyNumberFormat="1" applyFont="1" applyFill="1" applyBorder="1" applyAlignment="1">
      <alignment horizontal="center" vertical="center"/>
    </xf>
    <xf numFmtId="0" fontId="20" fillId="4" borderId="1" xfId="12" applyFont="1" applyFill="1" applyBorder="1" applyAlignment="1">
      <alignment horizontal="center" vertical="center"/>
    </xf>
    <xf numFmtId="49" fontId="73" fillId="4" borderId="31" xfId="0" applyNumberFormat="1" applyFont="1" applyFill="1" applyBorder="1" applyAlignment="1"/>
    <xf numFmtId="2" fontId="20" fillId="4" borderId="4" xfId="12" applyNumberFormat="1" applyFont="1" applyFill="1" applyBorder="1" applyAlignment="1">
      <alignment horizontal="center" vertical="center"/>
    </xf>
    <xf numFmtId="10" fontId="46" fillId="0" borderId="13" xfId="29" applyNumberFormat="1" applyFont="1" applyFill="1" applyBorder="1" applyAlignment="1">
      <alignment horizontal="center" vertical="center"/>
    </xf>
    <xf numFmtId="10" fontId="19" fillId="0" borderId="48" xfId="29" applyNumberFormat="1" applyFont="1" applyFill="1" applyBorder="1" applyAlignment="1">
      <alignment horizontal="center" vertical="center"/>
    </xf>
    <xf numFmtId="4" fontId="46" fillId="0" borderId="9" xfId="12" applyNumberFormat="1" applyFont="1" applyFill="1" applyBorder="1" applyAlignment="1">
      <alignment vertical="center"/>
    </xf>
    <xf numFmtId="10" fontId="19" fillId="0" borderId="6" xfId="29" applyNumberFormat="1" applyFont="1" applyFill="1" applyBorder="1" applyAlignment="1">
      <alignment vertical="center"/>
    </xf>
    <xf numFmtId="0" fontId="26" fillId="4" borderId="0" xfId="12" applyNumberFormat="1" applyFont="1" applyFill="1" applyBorder="1" applyAlignment="1">
      <alignment horizontal="left"/>
    </xf>
    <xf numFmtId="10" fontId="26" fillId="4" borderId="0" xfId="12" applyNumberFormat="1" applyFont="1" applyFill="1" applyBorder="1" applyAlignment="1">
      <alignment horizontal="center"/>
    </xf>
    <xf numFmtId="4" fontId="26" fillId="5" borderId="16" xfId="12" applyNumberFormat="1" applyFont="1" applyFill="1" applyBorder="1" applyAlignment="1">
      <alignment horizontal="center" vertical="center"/>
    </xf>
    <xf numFmtId="4" fontId="26" fillId="5" borderId="68" xfId="12" applyNumberFormat="1" applyFont="1" applyFill="1" applyBorder="1" applyAlignment="1">
      <alignment horizontal="center"/>
    </xf>
    <xf numFmtId="10" fontId="46" fillId="4" borderId="13" xfId="12" applyNumberFormat="1" applyFont="1" applyFill="1" applyBorder="1" applyAlignment="1">
      <alignment horizontal="left"/>
    </xf>
    <xf numFmtId="10" fontId="46" fillId="4" borderId="5" xfId="12" applyNumberFormat="1" applyFont="1" applyFill="1" applyBorder="1" applyAlignment="1">
      <alignment horizontal="left"/>
    </xf>
    <xf numFmtId="10" fontId="19" fillId="0" borderId="0" xfId="12" applyNumberFormat="1" applyFont="1" applyFill="1"/>
    <xf numFmtId="166" fontId="117" fillId="4" borderId="0" xfId="12" applyNumberFormat="1" applyFont="1" applyFill="1" applyBorder="1" applyAlignment="1">
      <alignment horizontal="center" vertical="center"/>
    </xf>
    <xf numFmtId="164" fontId="117" fillId="4" borderId="0" xfId="12" applyNumberFormat="1" applyFont="1" applyFill="1" applyBorder="1" applyAlignment="1">
      <alignment horizontal="center" vertical="center"/>
    </xf>
    <xf numFmtId="49" fontId="20" fillId="14" borderId="60" xfId="0" applyNumberFormat="1" applyFont="1" applyFill="1" applyBorder="1"/>
    <xf numFmtId="49" fontId="20" fillId="14" borderId="38" xfId="0" applyNumberFormat="1" applyFont="1" applyFill="1" applyBorder="1"/>
    <xf numFmtId="49" fontId="20" fillId="14" borderId="36" xfId="0" applyNumberFormat="1" applyFont="1" applyFill="1" applyBorder="1"/>
    <xf numFmtId="49" fontId="20" fillId="14" borderId="31" xfId="0" applyNumberFormat="1" applyFont="1" applyFill="1" applyBorder="1"/>
    <xf numFmtId="49" fontId="20" fillId="14" borderId="31" xfId="0" applyNumberFormat="1" applyFont="1" applyFill="1" applyBorder="1" applyAlignment="1"/>
    <xf numFmtId="49" fontId="20" fillId="7" borderId="36" xfId="0" applyNumberFormat="1" applyFont="1" applyFill="1" applyBorder="1"/>
    <xf numFmtId="49" fontId="20" fillId="7" borderId="31" xfId="0" applyNumberFormat="1" applyFont="1" applyFill="1" applyBorder="1" applyAlignment="1">
      <alignment horizontal="left"/>
    </xf>
    <xf numFmtId="49" fontId="20" fillId="7" borderId="42" xfId="0" applyNumberFormat="1" applyFont="1" applyFill="1" applyBorder="1"/>
    <xf numFmtId="49" fontId="20" fillId="14" borderId="42" xfId="0" applyNumberFormat="1" applyFont="1" applyFill="1" applyBorder="1"/>
    <xf numFmtId="49" fontId="20" fillId="14" borderId="64" xfId="0" applyNumberFormat="1" applyFont="1" applyFill="1" applyBorder="1"/>
    <xf numFmtId="4" fontId="103" fillId="7" borderId="5" xfId="0" applyNumberFormat="1" applyFont="1" applyFill="1" applyBorder="1" applyAlignment="1">
      <alignment horizontal="center"/>
    </xf>
    <xf numFmtId="4" fontId="61" fillId="7" borderId="5" xfId="0" applyNumberFormat="1" applyFont="1" applyFill="1" applyBorder="1" applyAlignment="1">
      <alignment horizontal="center"/>
    </xf>
    <xf numFmtId="4" fontId="104" fillId="7" borderId="5" xfId="0" applyNumberFormat="1" applyFont="1" applyFill="1" applyBorder="1" applyAlignment="1">
      <alignment horizontal="center"/>
    </xf>
    <xf numFmtId="0" fontId="61" fillId="7" borderId="5" xfId="0" applyFont="1" applyFill="1" applyBorder="1" applyAlignment="1">
      <alignment horizontal="center"/>
    </xf>
    <xf numFmtId="4" fontId="61" fillId="7" borderId="5" xfId="0" applyNumberFormat="1" applyFont="1" applyFill="1" applyBorder="1"/>
    <xf numFmtId="0" fontId="61" fillId="7" borderId="0" xfId="0" applyFont="1" applyFill="1"/>
    <xf numFmtId="4" fontId="107" fillId="7" borderId="5" xfId="0" applyNumberFormat="1" applyFont="1" applyFill="1" applyBorder="1" applyAlignment="1">
      <alignment horizontal="center"/>
    </xf>
    <xf numFmtId="0" fontId="107" fillId="7" borderId="5" xfId="0" applyFont="1" applyFill="1" applyBorder="1" applyAlignment="1">
      <alignment horizontal="center"/>
    </xf>
    <xf numFmtId="0" fontId="107" fillId="7" borderId="0" xfId="0" applyFont="1" applyFill="1"/>
    <xf numFmtId="4" fontId="103" fillId="4" borderId="0" xfId="0" applyNumberFormat="1" applyFont="1" applyFill="1" applyBorder="1" applyAlignment="1">
      <alignment horizontal="center"/>
    </xf>
    <xf numFmtId="0" fontId="103" fillId="7" borderId="0" xfId="0" applyFont="1" applyFill="1"/>
    <xf numFmtId="0" fontId="103" fillId="7" borderId="18" xfId="0" applyFont="1" applyFill="1" applyBorder="1" applyAlignment="1">
      <alignment horizontal="center"/>
    </xf>
    <xf numFmtId="0" fontId="61" fillId="7" borderId="16" xfId="0" applyFont="1" applyFill="1" applyBorder="1" applyAlignment="1">
      <alignment horizontal="center" vertical="top"/>
    </xf>
    <xf numFmtId="4" fontId="107" fillId="7" borderId="2" xfId="0" applyNumberFormat="1" applyFont="1" applyFill="1" applyBorder="1" applyAlignment="1">
      <alignment horizontal="center"/>
    </xf>
    <xf numFmtId="4" fontId="63" fillId="7" borderId="5" xfId="0" applyNumberFormat="1" applyFont="1" applyFill="1" applyBorder="1" applyAlignment="1">
      <alignment horizontal="center"/>
    </xf>
    <xf numFmtId="4" fontId="104" fillId="7" borderId="2" xfId="0" applyNumberFormat="1" applyFont="1" applyFill="1" applyBorder="1" applyAlignment="1">
      <alignment horizontal="center"/>
    </xf>
    <xf numFmtId="4" fontId="62" fillId="7" borderId="5" xfId="0" applyNumberFormat="1" applyFont="1" applyFill="1" applyBorder="1" applyAlignment="1">
      <alignment horizontal="center"/>
    </xf>
    <xf numFmtId="4" fontId="119" fillId="4" borderId="4" xfId="0" applyNumberFormat="1" applyFont="1" applyFill="1" applyBorder="1" applyAlignment="1">
      <alignment horizontal="center"/>
    </xf>
    <xf numFmtId="4" fontId="61" fillId="7" borderId="4" xfId="0" applyNumberFormat="1" applyFont="1" applyFill="1" applyBorder="1" applyAlignment="1">
      <alignment horizontal="center"/>
    </xf>
    <xf numFmtId="4" fontId="104" fillId="7" borderId="57" xfId="0" applyNumberFormat="1" applyFont="1" applyFill="1" applyBorder="1" applyAlignment="1">
      <alignment horizontal="center"/>
    </xf>
    <xf numFmtId="4" fontId="103" fillId="7" borderId="9" xfId="0" applyNumberFormat="1" applyFont="1" applyFill="1" applyBorder="1" applyAlignment="1">
      <alignment horizontal="center"/>
    </xf>
    <xf numFmtId="0" fontId="44" fillId="4" borderId="5" xfId="12" applyFont="1" applyFill="1" applyBorder="1" applyAlignment="1" applyProtection="1">
      <alignment horizontal="center" vertical="center"/>
      <protection locked="0"/>
    </xf>
    <xf numFmtId="0" fontId="44" fillId="4" borderId="25" xfId="12" applyFont="1" applyFill="1" applyBorder="1" applyAlignment="1" applyProtection="1">
      <alignment horizontal="center" vertical="center"/>
      <protection locked="0"/>
    </xf>
    <xf numFmtId="4" fontId="61" fillId="4" borderId="25" xfId="0" applyNumberFormat="1" applyFont="1" applyFill="1" applyBorder="1" applyAlignment="1">
      <alignment horizontal="center"/>
    </xf>
    <xf numFmtId="4" fontId="61" fillId="7" borderId="25" xfId="0" applyNumberFormat="1" applyFont="1" applyFill="1" applyBorder="1" applyAlignment="1">
      <alignment horizontal="center"/>
    </xf>
    <xf numFmtId="4" fontId="103" fillId="4" borderId="25" xfId="0" applyNumberFormat="1" applyFont="1" applyFill="1" applyBorder="1" applyAlignment="1">
      <alignment horizontal="center"/>
    </xf>
    <xf numFmtId="4" fontId="103" fillId="7" borderId="25" xfId="0" applyNumberFormat="1" applyFont="1" applyFill="1" applyBorder="1" applyAlignment="1">
      <alignment horizontal="center"/>
    </xf>
    <xf numFmtId="49" fontId="20" fillId="4" borderId="5" xfId="0" applyNumberFormat="1" applyFont="1" applyFill="1" applyBorder="1" applyAlignment="1"/>
    <xf numFmtId="0" fontId="62" fillId="4" borderId="5" xfId="0" applyFont="1" applyFill="1" applyBorder="1" applyAlignment="1">
      <alignment horizontal="left"/>
    </xf>
    <xf numFmtId="0" fontId="103" fillId="4" borderId="5" xfId="0" applyFont="1" applyFill="1" applyBorder="1" applyAlignment="1"/>
    <xf numFmtId="4" fontId="106" fillId="4" borderId="5" xfId="0" applyNumberFormat="1" applyFont="1" applyFill="1" applyBorder="1" applyAlignment="1">
      <alignment horizontal="center"/>
    </xf>
    <xf numFmtId="0" fontId="104" fillId="7" borderId="0" xfId="0" applyFont="1" applyFill="1"/>
    <xf numFmtId="4" fontId="104" fillId="7" borderId="9" xfId="0" applyNumberFormat="1" applyFont="1" applyFill="1" applyBorder="1" applyAlignment="1">
      <alignment horizontal="center"/>
    </xf>
    <xf numFmtId="4" fontId="61" fillId="4" borderId="9" xfId="0" applyNumberFormat="1" applyFont="1" applyFill="1" applyBorder="1" applyAlignment="1">
      <alignment horizontal="center"/>
    </xf>
    <xf numFmtId="4" fontId="61" fillId="4" borderId="10" xfId="0" applyNumberFormat="1" applyFont="1" applyFill="1" applyBorder="1" applyAlignment="1">
      <alignment horizontal="center"/>
    </xf>
    <xf numFmtId="49" fontId="20" fillId="4" borderId="10" xfId="0" applyNumberFormat="1" applyFont="1" applyFill="1" applyBorder="1"/>
    <xf numFmtId="4" fontId="61" fillId="4" borderId="9" xfId="0" applyNumberFormat="1" applyFont="1" applyFill="1" applyBorder="1" applyAlignment="1">
      <alignment horizontal="center" vertical="center"/>
    </xf>
    <xf numFmtId="0" fontId="104" fillId="15" borderId="0" xfId="0" applyFont="1" applyFill="1"/>
    <xf numFmtId="0" fontId="103" fillId="15" borderId="18" xfId="0" applyFont="1" applyFill="1" applyBorder="1" applyAlignment="1">
      <alignment horizontal="center"/>
    </xf>
    <xf numFmtId="0" fontId="61" fillId="15" borderId="16" xfId="0" applyFont="1" applyFill="1" applyBorder="1" applyAlignment="1">
      <alignment horizontal="center" vertical="top"/>
    </xf>
    <xf numFmtId="4" fontId="104" fillId="15" borderId="9" xfId="0" applyNumberFormat="1" applyFont="1" applyFill="1" applyBorder="1" applyAlignment="1">
      <alignment horizontal="center"/>
    </xf>
    <xf numFmtId="4" fontId="62" fillId="15" borderId="5" xfId="0" applyNumberFormat="1" applyFont="1" applyFill="1" applyBorder="1" applyAlignment="1">
      <alignment horizontal="center"/>
    </xf>
    <xf numFmtId="4" fontId="61" fillId="15" borderId="9" xfId="0" applyNumberFormat="1" applyFont="1" applyFill="1" applyBorder="1" applyAlignment="1">
      <alignment horizontal="center"/>
    </xf>
    <xf numFmtId="49" fontId="20" fillId="7" borderId="10" xfId="0" applyNumberFormat="1" applyFont="1" applyFill="1" applyBorder="1"/>
    <xf numFmtId="0" fontId="103" fillId="4" borderId="5" xfId="0" applyFont="1" applyFill="1" applyBorder="1" applyAlignment="1">
      <alignment horizontal="center" vertical="center"/>
    </xf>
    <xf numFmtId="0" fontId="105" fillId="15" borderId="18" xfId="0" applyFont="1" applyFill="1" applyBorder="1" applyAlignment="1">
      <alignment horizontal="center"/>
    </xf>
    <xf numFmtId="0" fontId="106" fillId="15" borderId="16" xfId="0" applyFont="1" applyFill="1" applyBorder="1" applyAlignment="1">
      <alignment horizontal="center" vertical="top"/>
    </xf>
    <xf numFmtId="4" fontId="61" fillId="15" borderId="4" xfId="0" applyNumberFormat="1" applyFont="1" applyFill="1" applyBorder="1" applyAlignment="1">
      <alignment horizontal="center"/>
    </xf>
    <xf numFmtId="4" fontId="103" fillId="15" borderId="5" xfId="0" applyNumberFormat="1" applyFont="1" applyFill="1" applyBorder="1" applyAlignment="1">
      <alignment horizontal="center"/>
    </xf>
    <xf numFmtId="4" fontId="103" fillId="15" borderId="25" xfId="0" applyNumberFormat="1" applyFont="1" applyFill="1" applyBorder="1" applyAlignment="1">
      <alignment horizontal="center"/>
    </xf>
    <xf numFmtId="4" fontId="105" fillId="15" borderId="9" xfId="0" applyNumberFormat="1" applyFont="1" applyFill="1" applyBorder="1" applyAlignment="1">
      <alignment horizontal="center"/>
    </xf>
    <xf numFmtId="0" fontId="61" fillId="7" borderId="5" xfId="0" applyFont="1" applyFill="1" applyBorder="1"/>
    <xf numFmtId="0" fontId="62" fillId="4" borderId="0" xfId="0" applyFont="1" applyFill="1" applyAlignment="1">
      <alignment horizontal="center"/>
    </xf>
    <xf numFmtId="49" fontId="20" fillId="12" borderId="60" xfId="0" applyNumberFormat="1" applyFont="1" applyFill="1" applyBorder="1"/>
    <xf numFmtId="49" fontId="20" fillId="12" borderId="38" xfId="0" applyNumberFormat="1" applyFont="1" applyFill="1" applyBorder="1"/>
    <xf numFmtId="0" fontId="19" fillId="12" borderId="40" xfId="12" applyFont="1" applyFill="1" applyBorder="1" applyAlignment="1">
      <alignment horizontal="center" vertical="center"/>
    </xf>
    <xf numFmtId="4" fontId="107" fillId="12" borderId="1" xfId="0" applyNumberFormat="1" applyFont="1" applyFill="1" applyBorder="1" applyAlignment="1">
      <alignment horizontal="center"/>
    </xf>
    <xf numFmtId="4" fontId="107" fillId="12" borderId="2" xfId="0" applyNumberFormat="1" applyFont="1" applyFill="1" applyBorder="1" applyAlignment="1">
      <alignment horizontal="center"/>
    </xf>
    <xf numFmtId="4" fontId="104" fillId="12" borderId="2" xfId="0" applyNumberFormat="1" applyFont="1" applyFill="1" applyBorder="1" applyAlignment="1">
      <alignment horizontal="center"/>
    </xf>
    <xf numFmtId="4" fontId="104" fillId="12" borderId="57" xfId="0" applyNumberFormat="1" applyFont="1" applyFill="1" applyBorder="1" applyAlignment="1">
      <alignment horizontal="center"/>
    </xf>
    <xf numFmtId="4" fontId="104" fillId="12" borderId="9" xfId="0" applyNumberFormat="1" applyFont="1" applyFill="1" applyBorder="1" applyAlignment="1">
      <alignment horizontal="center"/>
    </xf>
    <xf numFmtId="4" fontId="103" fillId="12" borderId="31" xfId="0" applyNumberFormat="1" applyFont="1" applyFill="1" applyBorder="1" applyAlignment="1">
      <alignment horizontal="center"/>
    </xf>
    <xf numFmtId="4" fontId="103" fillId="7" borderId="36" xfId="0" applyNumberFormat="1" applyFont="1" applyFill="1" applyBorder="1" applyAlignment="1">
      <alignment horizontal="center"/>
    </xf>
    <xf numFmtId="4" fontId="103" fillId="7" borderId="31" xfId="0" applyNumberFormat="1" applyFont="1" applyFill="1" applyBorder="1" applyAlignment="1">
      <alignment horizontal="center"/>
    </xf>
    <xf numFmtId="49" fontId="20" fillId="0" borderId="17" xfId="0" applyNumberFormat="1" applyFont="1" applyBorder="1"/>
    <xf numFmtId="4" fontId="104" fillId="4" borderId="10" xfId="0" applyNumberFormat="1" applyFont="1" applyFill="1" applyBorder="1" applyAlignment="1">
      <alignment horizontal="center"/>
    </xf>
    <xf numFmtId="4" fontId="103" fillId="4" borderId="10" xfId="0" applyNumberFormat="1" applyFont="1" applyFill="1" applyBorder="1" applyAlignment="1">
      <alignment horizontal="center"/>
    </xf>
    <xf numFmtId="0" fontId="104" fillId="4" borderId="51" xfId="0" applyFont="1" applyFill="1" applyBorder="1" applyAlignment="1">
      <alignment horizontal="center"/>
    </xf>
    <xf numFmtId="0" fontId="77" fillId="4" borderId="9" xfId="12" applyFont="1" applyFill="1" applyBorder="1" applyAlignment="1">
      <alignment horizontal="center" vertical="center"/>
    </xf>
    <xf numFmtId="0" fontId="20" fillId="4" borderId="26" xfId="12" applyFont="1" applyFill="1" applyBorder="1" applyAlignment="1">
      <alignment horizontal="center" vertical="center"/>
    </xf>
    <xf numFmtId="0" fontId="103" fillId="4" borderId="68" xfId="0" applyFont="1" applyFill="1" applyBorder="1" applyAlignment="1">
      <alignment horizontal="center"/>
    </xf>
    <xf numFmtId="0" fontId="103" fillId="4" borderId="52" xfId="0" applyFont="1" applyFill="1" applyBorder="1" applyAlignment="1">
      <alignment horizontal="center"/>
    </xf>
    <xf numFmtId="0" fontId="103" fillId="7" borderId="68" xfId="0" applyFont="1" applyFill="1" applyBorder="1" applyAlignment="1">
      <alignment horizontal="center"/>
    </xf>
    <xf numFmtId="4" fontId="61" fillId="7" borderId="9" xfId="0" applyNumberFormat="1" applyFont="1" applyFill="1" applyBorder="1" applyAlignment="1">
      <alignment horizontal="center"/>
    </xf>
    <xf numFmtId="0" fontId="104" fillId="7" borderId="51" xfId="0" applyFont="1" applyFill="1" applyBorder="1" applyAlignment="1">
      <alignment horizontal="center"/>
    </xf>
    <xf numFmtId="0" fontId="104" fillId="7" borderId="5" xfId="0" applyFont="1" applyFill="1" applyBorder="1" applyAlignment="1">
      <alignment horizontal="center"/>
    </xf>
    <xf numFmtId="0" fontId="105" fillId="15" borderId="0" xfId="0" applyFont="1" applyFill="1"/>
    <xf numFmtId="0" fontId="106" fillId="15" borderId="0" xfId="0" applyFont="1" applyFill="1"/>
    <xf numFmtId="4" fontId="106" fillId="15" borderId="9" xfId="0" applyNumberFormat="1" applyFont="1" applyFill="1" applyBorder="1" applyAlignment="1">
      <alignment horizontal="center"/>
    </xf>
    <xf numFmtId="4" fontId="105" fillId="15" borderId="5" xfId="0" applyNumberFormat="1" applyFont="1" applyFill="1" applyBorder="1" applyAlignment="1">
      <alignment horizontal="center"/>
    </xf>
    <xf numFmtId="0" fontId="105" fillId="15" borderId="51" xfId="0" applyFont="1" applyFill="1" applyBorder="1" applyAlignment="1">
      <alignment horizontal="center"/>
    </xf>
    <xf numFmtId="0" fontId="105" fillId="15" borderId="5" xfId="0" applyFont="1" applyFill="1" applyBorder="1" applyAlignment="1">
      <alignment horizontal="center"/>
    </xf>
    <xf numFmtId="0" fontId="103" fillId="7" borderId="5" xfId="0" applyFont="1" applyFill="1" applyBorder="1" applyAlignment="1">
      <alignment horizontal="center"/>
    </xf>
    <xf numFmtId="0" fontId="103" fillId="7" borderId="5" xfId="0" applyFont="1" applyFill="1" applyBorder="1"/>
    <xf numFmtId="0" fontId="104" fillId="7" borderId="5" xfId="0" applyFont="1" applyFill="1" applyBorder="1"/>
    <xf numFmtId="4" fontId="104" fillId="15" borderId="57" xfId="0" applyNumberFormat="1" applyFont="1" applyFill="1" applyBorder="1" applyAlignment="1">
      <alignment horizontal="center"/>
    </xf>
    <xf numFmtId="0" fontId="61" fillId="15" borderId="0" xfId="0" applyFont="1" applyFill="1"/>
    <xf numFmtId="0" fontId="104" fillId="15" borderId="5" xfId="0" applyFont="1" applyFill="1" applyBorder="1" applyAlignment="1">
      <alignment horizontal="center"/>
    </xf>
    <xf numFmtId="4" fontId="104" fillId="15" borderId="5" xfId="0" applyNumberFormat="1" applyFont="1" applyFill="1" applyBorder="1" applyAlignment="1">
      <alignment horizontal="center"/>
    </xf>
    <xf numFmtId="49" fontId="20" fillId="7" borderId="36" xfId="0" applyNumberFormat="1" applyFont="1" applyFill="1" applyBorder="1" applyAlignment="1">
      <alignment horizontal="left"/>
    </xf>
    <xf numFmtId="49" fontId="20" fillId="7" borderId="36" xfId="0" applyNumberFormat="1" applyFont="1" applyFill="1" applyBorder="1" applyAlignment="1"/>
    <xf numFmtId="49" fontId="78" fillId="7" borderId="31" xfId="0" applyNumberFormat="1" applyFont="1" applyFill="1" applyBorder="1" applyAlignment="1"/>
    <xf numFmtId="49" fontId="78" fillId="7" borderId="36" xfId="0" applyNumberFormat="1" applyFont="1" applyFill="1" applyBorder="1" applyAlignment="1"/>
    <xf numFmtId="49" fontId="75" fillId="7" borderId="60" xfId="0" applyNumberFormat="1" applyFont="1" applyFill="1" applyBorder="1"/>
    <xf numFmtId="0" fontId="20" fillId="7" borderId="13" xfId="12" applyFont="1" applyFill="1" applyBorder="1" applyAlignment="1">
      <alignment horizontal="center" vertical="center"/>
    </xf>
    <xf numFmtId="4" fontId="107" fillId="7" borderId="1" xfId="0" applyNumberFormat="1" applyFont="1" applyFill="1" applyBorder="1" applyAlignment="1">
      <alignment horizontal="center"/>
    </xf>
    <xf numFmtId="4" fontId="104" fillId="7" borderId="10" xfId="0" applyNumberFormat="1" applyFont="1" applyFill="1" applyBorder="1" applyAlignment="1">
      <alignment horizontal="center"/>
    </xf>
    <xf numFmtId="0" fontId="107" fillId="7" borderId="5" xfId="0" applyFont="1" applyFill="1" applyBorder="1"/>
    <xf numFmtId="49" fontId="20" fillId="7" borderId="5" xfId="0" applyNumberFormat="1" applyFont="1" applyFill="1" applyBorder="1" applyAlignment="1">
      <alignment horizontal="center"/>
    </xf>
    <xf numFmtId="0" fontId="22" fillId="7" borderId="5" xfId="12" applyFont="1" applyFill="1" applyBorder="1" applyAlignment="1" applyProtection="1">
      <alignment horizontal="center" vertical="center"/>
      <protection locked="0"/>
    </xf>
    <xf numFmtId="0" fontId="20" fillId="7" borderId="5" xfId="12" applyFont="1" applyFill="1" applyBorder="1" applyAlignment="1">
      <alignment horizontal="center" vertical="center"/>
    </xf>
    <xf numFmtId="4" fontId="62" fillId="7" borderId="10" xfId="0" applyNumberFormat="1" applyFont="1" applyFill="1" applyBorder="1" applyAlignment="1">
      <alignment horizontal="center"/>
    </xf>
    <xf numFmtId="4" fontId="62" fillId="7" borderId="17" xfId="0" applyNumberFormat="1" applyFont="1" applyFill="1" applyBorder="1" applyAlignment="1">
      <alignment horizontal="center"/>
    </xf>
    <xf numFmtId="0" fontId="110" fillId="7" borderId="5" xfId="12" applyFont="1" applyFill="1" applyBorder="1" applyAlignment="1" applyProtection="1">
      <alignment horizontal="center" vertical="center"/>
      <protection locked="0"/>
    </xf>
    <xf numFmtId="4" fontId="107" fillId="7" borderId="4" xfId="0" applyNumberFormat="1" applyFont="1" applyFill="1" applyBorder="1" applyAlignment="1">
      <alignment horizontal="center"/>
    </xf>
    <xf numFmtId="2" fontId="63" fillId="7" borderId="0" xfId="0" applyNumberFormat="1" applyFont="1" applyFill="1"/>
    <xf numFmtId="4" fontId="106" fillId="7" borderId="5" xfId="0" applyNumberFormat="1" applyFont="1" applyFill="1" applyBorder="1" applyAlignment="1">
      <alignment horizontal="center"/>
    </xf>
    <xf numFmtId="4" fontId="103" fillId="7" borderId="4" xfId="0" applyNumberFormat="1" applyFont="1" applyFill="1" applyBorder="1" applyAlignment="1">
      <alignment horizontal="center"/>
    </xf>
    <xf numFmtId="49" fontId="18" fillId="7" borderId="36" xfId="0" applyNumberFormat="1" applyFont="1" applyFill="1" applyBorder="1"/>
    <xf numFmtId="49" fontId="20" fillId="16" borderId="36" xfId="0" applyNumberFormat="1" applyFont="1" applyFill="1" applyBorder="1"/>
    <xf numFmtId="0" fontId="22" fillId="16" borderId="5" xfId="12" applyFont="1" applyFill="1" applyBorder="1" applyAlignment="1" applyProtection="1">
      <alignment horizontal="center" vertical="center"/>
      <protection locked="0"/>
    </xf>
    <xf numFmtId="4" fontId="61" fillId="16" borderId="4" xfId="0" applyNumberFormat="1" applyFont="1" applyFill="1" applyBorder="1" applyAlignment="1">
      <alignment horizontal="center"/>
    </xf>
    <xf numFmtId="4" fontId="61" fillId="16" borderId="5" xfId="0" applyNumberFormat="1" applyFont="1" applyFill="1" applyBorder="1" applyAlignment="1">
      <alignment horizontal="center"/>
    </xf>
    <xf numFmtId="4" fontId="103" fillId="16" borderId="5" xfId="0" applyNumberFormat="1" applyFont="1" applyFill="1" applyBorder="1" applyAlignment="1">
      <alignment horizontal="center"/>
    </xf>
    <xf numFmtId="4" fontId="104" fillId="16" borderId="9" xfId="0" applyNumberFormat="1" applyFont="1" applyFill="1" applyBorder="1" applyAlignment="1">
      <alignment horizontal="center"/>
    </xf>
    <xf numFmtId="4" fontId="105" fillId="16" borderId="9" xfId="0" applyNumberFormat="1" applyFont="1" applyFill="1" applyBorder="1" applyAlignment="1">
      <alignment horizontal="center"/>
    </xf>
    <xf numFmtId="4" fontId="104" fillId="16" borderId="10" xfId="0" applyNumberFormat="1" applyFont="1" applyFill="1" applyBorder="1" applyAlignment="1">
      <alignment horizontal="center"/>
    </xf>
    <xf numFmtId="4" fontId="103" fillId="16" borderId="36" xfId="0" applyNumberFormat="1" applyFont="1" applyFill="1" applyBorder="1" applyAlignment="1">
      <alignment horizontal="center"/>
    </xf>
    <xf numFmtId="0" fontId="61" fillId="16" borderId="5" xfId="0" applyFont="1" applyFill="1" applyBorder="1" applyAlignment="1">
      <alignment horizontal="center"/>
    </xf>
    <xf numFmtId="4" fontId="61" fillId="16" borderId="5" xfId="0" applyNumberFormat="1" applyFont="1" applyFill="1" applyBorder="1"/>
    <xf numFmtId="0" fontId="61" fillId="16" borderId="0" xfId="0" applyFont="1" applyFill="1"/>
    <xf numFmtId="0" fontId="77" fillId="7" borderId="5" xfId="12" applyFont="1" applyFill="1" applyBorder="1" applyAlignment="1">
      <alignment horizontal="center" vertical="center"/>
    </xf>
    <xf numFmtId="4" fontId="103" fillId="7" borderId="10" xfId="0" applyNumberFormat="1" applyFont="1" applyFill="1" applyBorder="1" applyAlignment="1">
      <alignment horizontal="center"/>
    </xf>
    <xf numFmtId="0" fontId="20" fillId="16" borderId="5" xfId="12" applyFont="1" applyFill="1" applyBorder="1" applyAlignment="1">
      <alignment horizontal="center" vertical="center"/>
    </xf>
    <xf numFmtId="0" fontId="63" fillId="7" borderId="5" xfId="0" applyFont="1" applyFill="1" applyBorder="1" applyAlignment="1">
      <alignment horizontal="center"/>
    </xf>
    <xf numFmtId="0" fontId="63" fillId="16" borderId="5" xfId="0" applyFont="1" applyFill="1" applyBorder="1" applyAlignment="1">
      <alignment horizontal="center"/>
    </xf>
    <xf numFmtId="0" fontId="19" fillId="0" borderId="5" xfId="0" applyFont="1" applyBorder="1"/>
    <xf numFmtId="0" fontId="19" fillId="0" borderId="5" xfId="0" applyFont="1" applyBorder="1" applyAlignment="1">
      <alignment horizontal="center"/>
    </xf>
    <xf numFmtId="0" fontId="19" fillId="0" borderId="5" xfId="0" applyFont="1" applyBorder="1" applyAlignment="1">
      <alignment vertical="center" wrapText="1"/>
    </xf>
    <xf numFmtId="0" fontId="19" fillId="0" borderId="5" xfId="0" applyFont="1" applyBorder="1" applyAlignment="1">
      <alignment vertical="center"/>
    </xf>
    <xf numFmtId="0" fontId="19" fillId="0" borderId="5" xfId="0" applyFont="1" applyBorder="1" applyAlignment="1">
      <alignment horizontal="center" vertical="center" wrapText="1"/>
    </xf>
    <xf numFmtId="0" fontId="0" fillId="7" borderId="5" xfId="0" applyFill="1" applyBorder="1"/>
    <xf numFmtId="0" fontId="19" fillId="7" borderId="5" xfId="0" applyFont="1" applyFill="1" applyBorder="1" applyAlignment="1">
      <alignment vertical="center"/>
    </xf>
    <xf numFmtId="0" fontId="19" fillId="0" borderId="5" xfId="0" applyFont="1" applyBorder="1" applyAlignment="1">
      <alignment horizontal="center" wrapText="1"/>
    </xf>
    <xf numFmtId="16" fontId="19" fillId="0" borderId="5" xfId="0" quotePrefix="1" applyNumberFormat="1" applyFont="1" applyBorder="1" applyAlignment="1">
      <alignment horizontal="center" vertical="center"/>
    </xf>
    <xf numFmtId="16" fontId="19" fillId="7" borderId="5" xfId="0" quotePrefix="1" applyNumberFormat="1" applyFont="1" applyFill="1" applyBorder="1" applyAlignment="1">
      <alignment horizontal="center" vertical="center"/>
    </xf>
    <xf numFmtId="16" fontId="19"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9" fillId="0" borderId="5" xfId="0" applyFont="1" applyFill="1" applyBorder="1" applyAlignment="1">
      <alignment horizontal="center" vertical="center" wrapText="1"/>
    </xf>
    <xf numFmtId="4" fontId="103" fillId="4" borderId="4" xfId="0" applyNumberFormat="1" applyFont="1" applyFill="1" applyBorder="1" applyAlignment="1">
      <alignment horizontal="center"/>
    </xf>
    <xf numFmtId="4" fontId="61" fillId="16" borderId="25" xfId="0" applyNumberFormat="1" applyFont="1" applyFill="1" applyBorder="1" applyAlignment="1">
      <alignment horizontal="center"/>
    </xf>
    <xf numFmtId="4" fontId="61" fillId="15" borderId="5" xfId="0" applyNumberFormat="1" applyFont="1" applyFill="1" applyBorder="1" applyAlignment="1">
      <alignment horizontal="center"/>
    </xf>
    <xf numFmtId="0" fontId="61" fillId="4" borderId="13" xfId="0" applyFont="1" applyFill="1" applyBorder="1" applyAlignment="1">
      <alignment horizontal="center"/>
    </xf>
    <xf numFmtId="0" fontId="103" fillId="4" borderId="13" xfId="0" applyFont="1" applyFill="1" applyBorder="1" applyAlignment="1">
      <alignment horizontal="center"/>
    </xf>
    <xf numFmtId="0" fontId="103" fillId="4" borderId="13" xfId="0" applyFont="1" applyFill="1" applyBorder="1"/>
    <xf numFmtId="4" fontId="105" fillId="4" borderId="5" xfId="0" applyNumberFormat="1" applyFont="1" applyFill="1" applyBorder="1" applyAlignment="1">
      <alignment horizontal="center"/>
    </xf>
    <xf numFmtId="0" fontId="106" fillId="4" borderId="0" xfId="0" applyFont="1" applyFill="1"/>
    <xf numFmtId="4" fontId="106" fillId="4" borderId="9" xfId="0" applyNumberFormat="1" applyFont="1" applyFill="1" applyBorder="1" applyAlignment="1">
      <alignment horizontal="center"/>
    </xf>
    <xf numFmtId="0" fontId="103" fillId="4" borderId="51" xfId="0" applyFont="1" applyFill="1" applyBorder="1" applyAlignment="1"/>
    <xf numFmtId="4" fontId="107" fillId="15" borderId="5" xfId="0" applyNumberFormat="1" applyFont="1" applyFill="1" applyBorder="1" applyAlignment="1">
      <alignment horizontal="center"/>
    </xf>
    <xf numFmtId="4" fontId="103" fillId="16" borderId="25" xfId="0" applyNumberFormat="1" applyFont="1" applyFill="1" applyBorder="1" applyAlignment="1">
      <alignment horizontal="center"/>
    </xf>
    <xf numFmtId="4" fontId="61" fillId="15" borderId="25" xfId="0" applyNumberFormat="1" applyFont="1" applyFill="1" applyBorder="1" applyAlignment="1">
      <alignment horizontal="center"/>
    </xf>
    <xf numFmtId="4" fontId="103" fillId="4" borderId="22" xfId="0" applyNumberFormat="1" applyFont="1" applyFill="1" applyBorder="1" applyAlignment="1">
      <alignment horizontal="center"/>
    </xf>
    <xf numFmtId="0" fontId="61" fillId="15" borderId="5" xfId="0" applyFont="1" applyFill="1" applyBorder="1"/>
    <xf numFmtId="4" fontId="103" fillId="4" borderId="5" xfId="0" applyNumberFormat="1" applyFont="1" applyFill="1" applyBorder="1" applyAlignment="1">
      <alignment horizontal="center"/>
    </xf>
    <xf numFmtId="49" fontId="78" fillId="0" borderId="5" xfId="0" applyNumberFormat="1" applyFont="1" applyBorder="1" applyAlignment="1">
      <alignment horizontal="left"/>
    </xf>
    <xf numFmtId="0" fontId="18" fillId="0" borderId="0" xfId="12" applyFont="1" applyAlignment="1">
      <alignment horizontal="center"/>
    </xf>
    <xf numFmtId="0" fontId="103" fillId="4" borderId="18" xfId="0" applyFont="1" applyFill="1" applyBorder="1" applyAlignment="1">
      <alignment horizontal="center"/>
    </xf>
    <xf numFmtId="49" fontId="20" fillId="7" borderId="10" xfId="0" quotePrefix="1" applyNumberFormat="1" applyFont="1" applyFill="1" applyBorder="1"/>
    <xf numFmtId="49" fontId="20" fillId="4" borderId="10" xfId="0" quotePrefix="1" applyNumberFormat="1" applyFont="1" applyFill="1" applyBorder="1"/>
    <xf numFmtId="2" fontId="22" fillId="4" borderId="0" xfId="12" applyNumberFormat="1" applyFont="1" applyFill="1" applyAlignment="1">
      <alignment horizontal="center"/>
    </xf>
    <xf numFmtId="2" fontId="22" fillId="0" borderId="0" xfId="12" applyNumberFormat="1" applyFont="1" applyAlignment="1">
      <alignment horizontal="center"/>
    </xf>
    <xf numFmtId="2" fontId="22" fillId="0" borderId="0" xfId="12" applyNumberFormat="1" applyFont="1"/>
    <xf numFmtId="0" fontId="22" fillId="15" borderId="0" xfId="12" applyFont="1" applyFill="1"/>
    <xf numFmtId="4" fontId="103" fillId="15" borderId="9" xfId="0" applyNumberFormat="1" applyFont="1" applyFill="1" applyBorder="1" applyAlignment="1">
      <alignment horizontal="center"/>
    </xf>
    <xf numFmtId="2" fontId="22" fillId="7" borderId="0" xfId="12" applyNumberFormat="1" applyFont="1" applyFill="1" applyAlignment="1">
      <alignment horizontal="center"/>
    </xf>
    <xf numFmtId="4" fontId="22" fillId="7" borderId="5" xfId="12" applyNumberFormat="1" applyFont="1" applyFill="1" applyBorder="1"/>
    <xf numFmtId="2" fontId="61" fillId="15" borderId="5" xfId="0" applyNumberFormat="1" applyFont="1" applyFill="1" applyBorder="1" applyAlignment="1">
      <alignment horizontal="center"/>
    </xf>
    <xf numFmtId="4" fontId="103" fillId="4" borderId="5" xfId="0" applyNumberFormat="1" applyFont="1" applyFill="1" applyBorder="1" applyAlignment="1">
      <alignment horizontal="center"/>
    </xf>
    <xf numFmtId="0" fontId="103" fillId="4" borderId="18" xfId="0" applyFont="1" applyFill="1" applyBorder="1" applyAlignment="1">
      <alignment horizontal="center"/>
    </xf>
    <xf numFmtId="0" fontId="61" fillId="4" borderId="7" xfId="0" applyFont="1" applyFill="1" applyBorder="1" applyAlignment="1">
      <alignment horizontal="center" vertical="center"/>
    </xf>
    <xf numFmtId="4" fontId="104" fillId="7" borderId="17" xfId="0" applyNumberFormat="1" applyFont="1" applyFill="1" applyBorder="1" applyAlignment="1">
      <alignment horizontal="center"/>
    </xf>
    <xf numFmtId="4" fontId="104" fillId="4" borderId="17" xfId="0" applyNumberFormat="1" applyFont="1" applyFill="1" applyBorder="1" applyAlignment="1">
      <alignment horizontal="center"/>
    </xf>
    <xf numFmtId="0" fontId="103" fillId="15" borderId="51" xfId="0" applyFont="1" applyFill="1" applyBorder="1" applyAlignment="1"/>
    <xf numFmtId="4" fontId="122" fillId="15" borderId="5" xfId="0" applyNumberFormat="1" applyFont="1" applyFill="1" applyBorder="1" applyAlignment="1">
      <alignment horizontal="center"/>
    </xf>
    <xf numFmtId="0" fontId="104" fillId="11" borderId="0" xfId="0" applyFont="1" applyFill="1"/>
    <xf numFmtId="0" fontId="103" fillId="11" borderId="51" xfId="0" applyFont="1" applyFill="1" applyBorder="1" applyAlignment="1"/>
    <xf numFmtId="0" fontId="103" fillId="11" borderId="18" xfId="0" applyFont="1" applyFill="1" applyBorder="1" applyAlignment="1">
      <alignment horizontal="center"/>
    </xf>
    <xf numFmtId="0" fontId="61" fillId="11" borderId="56" xfId="0" applyFont="1" applyFill="1" applyBorder="1" applyAlignment="1">
      <alignment horizontal="center" vertical="top"/>
    </xf>
    <xf numFmtId="4" fontId="104" fillId="11" borderId="5" xfId="0" applyNumberFormat="1" applyFont="1" applyFill="1" applyBorder="1" applyAlignment="1">
      <alignment horizontal="center"/>
    </xf>
    <xf numFmtId="4" fontId="62" fillId="11" borderId="5" xfId="0" applyNumberFormat="1" applyFont="1" applyFill="1" applyBorder="1" applyAlignment="1">
      <alignment horizontal="center"/>
    </xf>
    <xf numFmtId="4" fontId="103" fillId="11" borderId="5" xfId="0" applyNumberFormat="1" applyFont="1" applyFill="1" applyBorder="1" applyAlignment="1">
      <alignment horizontal="center"/>
    </xf>
    <xf numFmtId="0" fontId="104" fillId="11" borderId="51" xfId="0" applyFont="1" applyFill="1" applyBorder="1" applyAlignment="1">
      <alignment horizontal="center"/>
    </xf>
    <xf numFmtId="0" fontId="104" fillId="11" borderId="5" xfId="0" applyFont="1" applyFill="1" applyBorder="1" applyAlignment="1">
      <alignment horizontal="center"/>
    </xf>
    <xf numFmtId="4" fontId="24" fillId="15" borderId="10" xfId="12" applyNumberFormat="1" applyFont="1" applyFill="1" applyBorder="1" applyAlignment="1" applyProtection="1">
      <alignment horizontal="center" vertical="center"/>
      <protection locked="0"/>
    </xf>
    <xf numFmtId="4" fontId="103" fillId="15" borderId="36" xfId="0" applyNumberFormat="1" applyFont="1" applyFill="1" applyBorder="1" applyAlignment="1">
      <alignment horizontal="center"/>
    </xf>
    <xf numFmtId="49" fontId="20" fillId="11" borderId="5" xfId="0" applyNumberFormat="1" applyFont="1" applyFill="1" applyBorder="1" applyAlignment="1"/>
    <xf numFmtId="49" fontId="20" fillId="4" borderId="5" xfId="0" applyNumberFormat="1" applyFont="1" applyFill="1" applyBorder="1" applyAlignment="1">
      <alignment horizontal="center"/>
    </xf>
    <xf numFmtId="0" fontId="18" fillId="0" borderId="0" xfId="12" applyFont="1" applyAlignment="1">
      <alignment horizontal="center"/>
    </xf>
    <xf numFmtId="0" fontId="26" fillId="2" borderId="5" xfId="12" applyNumberFormat="1" applyFont="1" applyFill="1" applyBorder="1" applyAlignment="1">
      <alignment horizontal="center"/>
    </xf>
    <xf numFmtId="0" fontId="18" fillId="0" borderId="5" xfId="12" applyNumberFormat="1" applyFont="1" applyFill="1" applyBorder="1" applyAlignment="1">
      <alignment horizontal="center"/>
    </xf>
    <xf numFmtId="0" fontId="26" fillId="0" borderId="5" xfId="12" applyNumberFormat="1" applyFont="1" applyFill="1" applyBorder="1" applyAlignment="1">
      <alignment horizontal="center"/>
    </xf>
    <xf numFmtId="4" fontId="107" fillId="15" borderId="5" xfId="0" applyNumberFormat="1" applyFont="1" applyFill="1" applyBorder="1"/>
    <xf numFmtId="4" fontId="103" fillId="15" borderId="10" xfId="0" applyNumberFormat="1" applyFont="1" applyFill="1" applyBorder="1" applyAlignment="1">
      <alignment horizontal="center"/>
    </xf>
    <xf numFmtId="0" fontId="103" fillId="4" borderId="18" xfId="0" applyFont="1" applyFill="1" applyBorder="1" applyAlignment="1">
      <alignment horizontal="center"/>
    </xf>
    <xf numFmtId="4" fontId="63" fillId="15" borderId="5" xfId="0" applyNumberFormat="1" applyFont="1" applyFill="1" applyBorder="1" applyAlignment="1">
      <alignment horizontal="center"/>
    </xf>
    <xf numFmtId="2" fontId="63" fillId="15" borderId="0" xfId="0" applyNumberFormat="1" applyFont="1" applyFill="1"/>
    <xf numFmtId="4" fontId="119" fillId="15" borderId="4" xfId="0" applyNumberFormat="1" applyFont="1" applyFill="1" applyBorder="1" applyAlignment="1">
      <alignment horizontal="center"/>
    </xf>
    <xf numFmtId="2" fontId="22" fillId="15" borderId="0" xfId="12" applyNumberFormat="1" applyFont="1" applyFill="1" applyAlignment="1">
      <alignment horizontal="center"/>
    </xf>
    <xf numFmtId="4" fontId="107" fillId="11" borderId="2" xfId="0" applyNumberFormat="1" applyFont="1" applyFill="1" applyBorder="1" applyAlignment="1">
      <alignment horizontal="center"/>
    </xf>
    <xf numFmtId="4" fontId="61" fillId="11" borderId="5" xfId="0" applyNumberFormat="1" applyFont="1" applyFill="1" applyBorder="1" applyAlignment="1">
      <alignment horizontal="center"/>
    </xf>
    <xf numFmtId="4" fontId="107" fillId="11" borderId="5" xfId="0" applyNumberFormat="1" applyFont="1" applyFill="1" applyBorder="1" applyAlignment="1">
      <alignment horizontal="center"/>
    </xf>
    <xf numFmtId="4" fontId="63" fillId="11" borderId="5" xfId="0" applyNumberFormat="1" applyFont="1" applyFill="1" applyBorder="1" applyAlignment="1">
      <alignment horizontal="center"/>
    </xf>
    <xf numFmtId="0" fontId="103" fillId="11" borderId="68" xfId="0" applyFont="1" applyFill="1" applyBorder="1" applyAlignment="1">
      <alignment horizontal="center"/>
    </xf>
    <xf numFmtId="0" fontId="103" fillId="11" borderId="0" xfId="0" applyFont="1" applyFill="1"/>
    <xf numFmtId="4" fontId="110" fillId="11" borderId="9" xfId="12" applyNumberFormat="1" applyFont="1" applyFill="1" applyBorder="1" applyAlignment="1" applyProtection="1">
      <alignment horizontal="right" vertical="center"/>
      <protection locked="0"/>
    </xf>
    <xf numFmtId="4" fontId="61" fillId="11" borderId="4" xfId="0" applyNumberFormat="1" applyFont="1" applyFill="1" applyBorder="1" applyAlignment="1">
      <alignment horizontal="center"/>
    </xf>
    <xf numFmtId="4" fontId="61" fillId="11" borderId="25" xfId="0" applyNumberFormat="1" applyFont="1" applyFill="1" applyBorder="1" applyAlignment="1">
      <alignment horizontal="center"/>
    </xf>
    <xf numFmtId="4" fontId="104" fillId="11" borderId="9" xfId="0" applyNumberFormat="1" applyFont="1" applyFill="1" applyBorder="1" applyAlignment="1">
      <alignment horizontal="center"/>
    </xf>
    <xf numFmtId="0" fontId="22" fillId="11" borderId="0" xfId="12" applyFont="1" applyFill="1"/>
    <xf numFmtId="4" fontId="103" fillId="11" borderId="9" xfId="0" applyNumberFormat="1" applyFont="1" applyFill="1" applyBorder="1" applyAlignment="1">
      <alignment horizontal="center"/>
    </xf>
    <xf numFmtId="4" fontId="103" fillId="11" borderId="25" xfId="0" applyNumberFormat="1" applyFont="1" applyFill="1" applyBorder="1" applyAlignment="1">
      <alignment horizontal="center"/>
    </xf>
    <xf numFmtId="0" fontId="61" fillId="11" borderId="16" xfId="0" applyFont="1" applyFill="1" applyBorder="1" applyAlignment="1">
      <alignment horizontal="center" vertical="top"/>
    </xf>
    <xf numFmtId="0" fontId="61" fillId="11" borderId="5" xfId="0" applyFont="1" applyFill="1" applyBorder="1"/>
    <xf numFmtId="4" fontId="61" fillId="11" borderId="9" xfId="0" applyNumberFormat="1" applyFont="1" applyFill="1" applyBorder="1" applyAlignment="1">
      <alignment horizontal="center"/>
    </xf>
    <xf numFmtId="4" fontId="104" fillId="11" borderId="2" xfId="0" applyNumberFormat="1" applyFont="1" applyFill="1" applyBorder="1" applyAlignment="1">
      <alignment horizontal="center"/>
    </xf>
    <xf numFmtId="0" fontId="103" fillId="11" borderId="5" xfId="0" applyFont="1" applyFill="1" applyBorder="1"/>
    <xf numFmtId="4" fontId="110" fillId="11" borderId="5" xfId="12" applyNumberFormat="1" applyFont="1" applyFill="1" applyBorder="1" applyAlignment="1" applyProtection="1">
      <alignment horizontal="center" vertical="center"/>
      <protection locked="0"/>
    </xf>
    <xf numFmtId="0" fontId="62" fillId="17" borderId="0" xfId="0" applyFont="1" applyFill="1"/>
    <xf numFmtId="0" fontId="103" fillId="17" borderId="0" xfId="0" applyFont="1" applyFill="1"/>
    <xf numFmtId="0" fontId="104" fillId="17" borderId="0" xfId="0" applyFont="1" applyFill="1"/>
    <xf numFmtId="0" fontId="105" fillId="17" borderId="0" xfId="0" applyFont="1" applyFill="1"/>
    <xf numFmtId="0" fontId="62" fillId="17" borderId="0" xfId="0" applyFont="1" applyFill="1" applyAlignment="1">
      <alignment horizontal="left"/>
    </xf>
    <xf numFmtId="0" fontId="103" fillId="17" borderId="0" xfId="0" applyFont="1" applyFill="1" applyAlignment="1"/>
    <xf numFmtId="0" fontId="123" fillId="17" borderId="0" xfId="0" applyFont="1" applyFill="1" applyAlignment="1">
      <alignment horizontal="left"/>
    </xf>
    <xf numFmtId="2" fontId="61" fillId="4" borderId="5" xfId="0" applyNumberFormat="1" applyFont="1" applyFill="1" applyBorder="1" applyAlignment="1">
      <alignment horizontal="center"/>
    </xf>
    <xf numFmtId="0" fontId="105" fillId="4" borderId="0" xfId="0" applyFont="1" applyFill="1"/>
    <xf numFmtId="0" fontId="105" fillId="4" borderId="51" xfId="0" applyFont="1" applyFill="1" applyBorder="1" applyAlignment="1">
      <alignment horizontal="center"/>
    </xf>
    <xf numFmtId="0" fontId="105" fillId="4" borderId="5" xfId="0" applyFont="1" applyFill="1" applyBorder="1" applyAlignment="1">
      <alignment horizontal="center"/>
    </xf>
    <xf numFmtId="0" fontId="125" fillId="4" borderId="51" xfId="0" applyFont="1" applyFill="1" applyBorder="1" applyAlignment="1"/>
    <xf numFmtId="4" fontId="61" fillId="4" borderId="17" xfId="0" applyNumberFormat="1" applyFont="1" applyFill="1" applyBorder="1" applyAlignment="1">
      <alignment horizontal="center"/>
    </xf>
    <xf numFmtId="4" fontId="61" fillId="4" borderId="29" xfId="0" applyNumberFormat="1" applyFont="1" applyFill="1" applyBorder="1" applyAlignment="1">
      <alignment horizontal="center"/>
    </xf>
    <xf numFmtId="4" fontId="61" fillId="4" borderId="36" xfId="0" applyNumberFormat="1" applyFont="1" applyFill="1" applyBorder="1" applyAlignment="1">
      <alignment horizontal="center"/>
    </xf>
    <xf numFmtId="4" fontId="61" fillId="4" borderId="26" xfId="0" applyNumberFormat="1" applyFont="1" applyFill="1" applyBorder="1" applyAlignment="1">
      <alignment horizontal="center"/>
    </xf>
    <xf numFmtId="4" fontId="105" fillId="7" borderId="9" xfId="0" applyNumberFormat="1" applyFont="1" applyFill="1" applyBorder="1" applyAlignment="1">
      <alignment horizontal="center"/>
    </xf>
    <xf numFmtId="49" fontId="75" fillId="16" borderId="60" xfId="0" applyNumberFormat="1" applyFont="1" applyFill="1" applyBorder="1"/>
    <xf numFmtId="0" fontId="110" fillId="16" borderId="5" xfId="12" applyFont="1" applyFill="1" applyBorder="1" applyAlignment="1" applyProtection="1">
      <alignment horizontal="center" vertical="center"/>
      <protection locked="0"/>
    </xf>
    <xf numFmtId="0" fontId="77" fillId="16" borderId="5" xfId="12" applyFont="1" applyFill="1" applyBorder="1" applyAlignment="1">
      <alignment horizontal="center" vertical="center"/>
    </xf>
    <xf numFmtId="0" fontId="61" fillId="4" borderId="51" xfId="0" applyFont="1" applyFill="1" applyBorder="1" applyAlignment="1"/>
    <xf numFmtId="0" fontId="61" fillId="4" borderId="49" xfId="0" applyFont="1" applyFill="1" applyBorder="1" applyAlignment="1">
      <alignment horizontal="center" vertical="top"/>
    </xf>
    <xf numFmtId="0" fontId="61" fillId="4" borderId="84" xfId="0" applyFont="1" applyFill="1" applyBorder="1" applyAlignment="1">
      <alignment horizontal="center"/>
    </xf>
    <xf numFmtId="4" fontId="61" fillId="4" borderId="1" xfId="0" applyNumberFormat="1" applyFont="1" applyFill="1" applyBorder="1" applyAlignment="1">
      <alignment horizontal="center"/>
    </xf>
    <xf numFmtId="4" fontId="105" fillId="4" borderId="10" xfId="0" applyNumberFormat="1" applyFont="1" applyFill="1" applyBorder="1" applyAlignment="1">
      <alignment horizontal="center"/>
    </xf>
    <xf numFmtId="0" fontId="61" fillId="4" borderId="56" xfId="0" applyFont="1" applyFill="1" applyBorder="1" applyAlignment="1">
      <alignment horizontal="center" vertical="top"/>
    </xf>
    <xf numFmtId="4" fontId="106" fillId="4" borderId="25" xfId="0" applyNumberFormat="1" applyFont="1" applyFill="1" applyBorder="1" applyAlignment="1">
      <alignment horizontal="center"/>
    </xf>
    <xf numFmtId="4" fontId="105" fillId="4" borderId="25" xfId="0" applyNumberFormat="1" applyFont="1" applyFill="1" applyBorder="1" applyAlignment="1">
      <alignment horizontal="center"/>
    </xf>
    <xf numFmtId="0" fontId="104" fillId="4" borderId="5" xfId="0" applyFont="1" applyFill="1" applyBorder="1"/>
    <xf numFmtId="4" fontId="110" fillId="7" borderId="9" xfId="12" applyNumberFormat="1" applyFont="1" applyFill="1" applyBorder="1" applyAlignment="1" applyProtection="1">
      <alignment vertical="center"/>
      <protection locked="0"/>
    </xf>
    <xf numFmtId="4" fontId="61" fillId="14" borderId="4" xfId="0" applyNumberFormat="1" applyFont="1" applyFill="1" applyBorder="1" applyAlignment="1">
      <alignment horizontal="center"/>
    </xf>
    <xf numFmtId="4" fontId="61" fillId="18" borderId="4" xfId="0" applyNumberFormat="1" applyFont="1" applyFill="1" applyBorder="1" applyAlignment="1">
      <alignment horizontal="center"/>
    </xf>
    <xf numFmtId="4" fontId="61" fillId="18" borderId="17" xfId="0" applyNumberFormat="1" applyFont="1" applyFill="1" applyBorder="1" applyAlignment="1">
      <alignment horizontal="center"/>
    </xf>
    <xf numFmtId="4" fontId="61" fillId="18" borderId="5" xfId="0" applyNumberFormat="1" applyFont="1" applyFill="1" applyBorder="1" applyAlignment="1">
      <alignment horizontal="center"/>
    </xf>
    <xf numFmtId="4" fontId="61" fillId="14" borderId="25" xfId="0" applyNumberFormat="1" applyFont="1" applyFill="1" applyBorder="1" applyAlignment="1">
      <alignment horizontal="center"/>
    </xf>
    <xf numFmtId="4" fontId="103" fillId="14" borderId="5" xfId="0" applyNumberFormat="1" applyFont="1" applyFill="1" applyBorder="1" applyAlignment="1">
      <alignment horizontal="center"/>
    </xf>
    <xf numFmtId="4" fontId="61" fillId="14" borderId="5" xfId="0" applyNumberFormat="1" applyFont="1" applyFill="1" applyBorder="1" applyAlignment="1">
      <alignment horizontal="center"/>
    </xf>
    <xf numFmtId="0" fontId="61" fillId="14" borderId="5" xfId="0" applyFont="1" applyFill="1" applyBorder="1" applyAlignment="1">
      <alignment horizontal="center"/>
    </xf>
    <xf numFmtId="4" fontId="103" fillId="14" borderId="25" xfId="0" applyNumberFormat="1" applyFont="1" applyFill="1" applyBorder="1" applyAlignment="1">
      <alignment horizontal="center"/>
    </xf>
    <xf numFmtId="4" fontId="103" fillId="18" borderId="5" xfId="0" applyNumberFormat="1" applyFont="1" applyFill="1" applyBorder="1" applyAlignment="1">
      <alignment horizontal="center"/>
    </xf>
    <xf numFmtId="4" fontId="103" fillId="14" borderId="9" xfId="0" applyNumberFormat="1" applyFont="1" applyFill="1" applyBorder="1" applyAlignment="1">
      <alignment horizontal="center"/>
    </xf>
    <xf numFmtId="0" fontId="22" fillId="4" borderId="9" xfId="12" applyFont="1" applyFill="1" applyBorder="1" applyAlignment="1" applyProtection="1">
      <alignment horizontal="center" vertical="center"/>
      <protection locked="0"/>
    </xf>
    <xf numFmtId="0" fontId="20" fillId="4" borderId="9" xfId="12" applyFont="1" applyFill="1" applyBorder="1" applyAlignment="1">
      <alignment horizontal="center" vertical="center"/>
    </xf>
    <xf numFmtId="0" fontId="110" fillId="4" borderId="9" xfId="12" applyFont="1" applyFill="1" applyBorder="1" applyAlignment="1" applyProtection="1">
      <alignment horizontal="center" vertical="center"/>
      <protection locked="0"/>
    </xf>
    <xf numFmtId="4" fontId="103" fillId="18" borderId="9" xfId="0" applyNumberFormat="1" applyFont="1" applyFill="1" applyBorder="1" applyAlignment="1">
      <alignment horizontal="center"/>
    </xf>
    <xf numFmtId="2" fontId="126" fillId="14" borderId="0" xfId="0" applyNumberFormat="1" applyFont="1" applyFill="1" applyAlignment="1">
      <alignment horizontal="center"/>
    </xf>
    <xf numFmtId="0" fontId="103" fillId="16" borderId="0" xfId="0" applyFont="1" applyFill="1"/>
    <xf numFmtId="4" fontId="61" fillId="14" borderId="9" xfId="0" applyNumberFormat="1" applyFont="1" applyFill="1" applyBorder="1" applyAlignment="1">
      <alignment horizontal="center"/>
    </xf>
    <xf numFmtId="4" fontId="103" fillId="19" borderId="9" xfId="0" applyNumberFormat="1" applyFont="1" applyFill="1" applyBorder="1" applyAlignment="1">
      <alignment horizontal="center"/>
    </xf>
    <xf numFmtId="4" fontId="61" fillId="18" borderId="9" xfId="0" applyNumberFormat="1" applyFont="1" applyFill="1" applyBorder="1" applyAlignment="1">
      <alignment horizontal="center"/>
    </xf>
    <xf numFmtId="4" fontId="22" fillId="18" borderId="4" xfId="12" applyNumberFormat="1" applyFont="1" applyFill="1" applyBorder="1" applyAlignment="1">
      <alignment horizontal="center"/>
    </xf>
    <xf numFmtId="0" fontId="103" fillId="4" borderId="18" xfId="0" applyFont="1" applyFill="1" applyBorder="1" applyAlignment="1">
      <alignment horizontal="center"/>
    </xf>
    <xf numFmtId="0" fontId="103" fillId="4" borderId="51" xfId="0" applyFont="1" applyFill="1" applyBorder="1" applyAlignment="1">
      <alignment horizontal="center"/>
    </xf>
    <xf numFmtId="4" fontId="105" fillId="18" borderId="9" xfId="0" applyNumberFormat="1" applyFont="1" applyFill="1" applyBorder="1" applyAlignment="1">
      <alignment horizontal="center"/>
    </xf>
    <xf numFmtId="0" fontId="61" fillId="4" borderId="25" xfId="0" applyFont="1" applyFill="1" applyBorder="1"/>
    <xf numFmtId="4" fontId="103" fillId="18" borderId="25" xfId="0" applyNumberFormat="1" applyFont="1" applyFill="1" applyBorder="1" applyAlignment="1">
      <alignment horizontal="center"/>
    </xf>
    <xf numFmtId="49" fontId="18" fillId="4" borderId="10" xfId="0" quotePrefix="1" applyNumberFormat="1" applyFont="1" applyFill="1" applyBorder="1"/>
    <xf numFmtId="49" fontId="18" fillId="4" borderId="5" xfId="0" applyNumberFormat="1" applyFont="1" applyFill="1" applyBorder="1" applyAlignment="1"/>
    <xf numFmtId="49" fontId="18" fillId="4" borderId="36" xfId="0" applyNumberFormat="1" applyFont="1" applyFill="1" applyBorder="1" applyAlignment="1"/>
    <xf numFmtId="4" fontId="61" fillId="18" borderId="36" xfId="0" applyNumberFormat="1" applyFont="1" applyFill="1" applyBorder="1" applyAlignment="1">
      <alignment horizontal="center"/>
    </xf>
    <xf numFmtId="4" fontId="61" fillId="14" borderId="36" xfId="0" applyNumberFormat="1" applyFont="1" applyFill="1" applyBorder="1" applyAlignment="1">
      <alignment horizontal="center"/>
    </xf>
    <xf numFmtId="4" fontId="103" fillId="14" borderId="31" xfId="0" applyNumberFormat="1" applyFont="1" applyFill="1" applyBorder="1" applyAlignment="1">
      <alignment horizontal="center"/>
    </xf>
    <xf numFmtId="4" fontId="103" fillId="13" borderId="31" xfId="0" applyNumberFormat="1" applyFont="1" applyFill="1" applyBorder="1" applyAlignment="1">
      <alignment horizontal="center"/>
    </xf>
    <xf numFmtId="4" fontId="103" fillId="20" borderId="25" xfId="0" applyNumberFormat="1" applyFont="1" applyFill="1" applyBorder="1" applyAlignment="1">
      <alignment horizontal="center"/>
    </xf>
    <xf numFmtId="4" fontId="61" fillId="18" borderId="25" xfId="0" applyNumberFormat="1" applyFont="1" applyFill="1" applyBorder="1" applyAlignment="1">
      <alignment horizontal="center"/>
    </xf>
    <xf numFmtId="4" fontId="103" fillId="18" borderId="31" xfId="0" applyNumberFormat="1" applyFont="1" applyFill="1" applyBorder="1" applyAlignment="1">
      <alignment horizontal="center"/>
    </xf>
    <xf numFmtId="4" fontId="103" fillId="13" borderId="36" xfId="0" applyNumberFormat="1" applyFont="1" applyFill="1" applyBorder="1" applyAlignment="1">
      <alignment horizontal="center"/>
    </xf>
    <xf numFmtId="2" fontId="126" fillId="4" borderId="0" xfId="0" applyNumberFormat="1" applyFont="1" applyFill="1" applyAlignment="1">
      <alignment horizontal="center"/>
    </xf>
    <xf numFmtId="0" fontId="103" fillId="7" borderId="51" xfId="0" applyFont="1" applyFill="1" applyBorder="1" applyAlignment="1"/>
    <xf numFmtId="0" fontId="105" fillId="7" borderId="18" xfId="0" applyFont="1" applyFill="1" applyBorder="1" applyAlignment="1">
      <alignment horizontal="center"/>
    </xf>
    <xf numFmtId="0" fontId="106" fillId="7" borderId="16" xfId="0" applyFont="1" applyFill="1" applyBorder="1" applyAlignment="1">
      <alignment horizontal="center" vertical="top"/>
    </xf>
    <xf numFmtId="0" fontId="127" fillId="7" borderId="51" xfId="0" applyFont="1" applyFill="1" applyBorder="1" applyAlignment="1"/>
    <xf numFmtId="0" fontId="127" fillId="4" borderId="51" xfId="0" applyFont="1" applyFill="1" applyBorder="1" applyAlignment="1"/>
    <xf numFmtId="2" fontId="61" fillId="18" borderId="0" xfId="0" applyNumberFormat="1" applyFont="1" applyFill="1"/>
    <xf numFmtId="3" fontId="61" fillId="4" borderId="5" xfId="0" applyNumberFormat="1" applyFont="1" applyFill="1" applyBorder="1" applyAlignment="1">
      <alignment horizontal="center"/>
    </xf>
    <xf numFmtId="4" fontId="103" fillId="21" borderId="25" xfId="0" applyNumberFormat="1" applyFont="1" applyFill="1" applyBorder="1" applyAlignment="1">
      <alignment horizontal="center"/>
    </xf>
    <xf numFmtId="4" fontId="103" fillId="21" borderId="9" xfId="0" applyNumberFormat="1" applyFont="1" applyFill="1" applyBorder="1" applyAlignment="1">
      <alignment horizontal="center"/>
    </xf>
    <xf numFmtId="4" fontId="61" fillId="21" borderId="4" xfId="0" applyNumberFormat="1" applyFont="1" applyFill="1" applyBorder="1" applyAlignment="1">
      <alignment horizontal="center"/>
    </xf>
    <xf numFmtId="0" fontId="61" fillId="21" borderId="5" xfId="0" applyFont="1" applyFill="1" applyBorder="1"/>
    <xf numFmtId="4" fontId="105" fillId="21" borderId="25" xfId="0" applyNumberFormat="1" applyFont="1" applyFill="1" applyBorder="1" applyAlignment="1">
      <alignment horizontal="center"/>
    </xf>
    <xf numFmtId="4" fontId="61" fillId="21" borderId="25" xfId="0" applyNumberFormat="1" applyFont="1" applyFill="1" applyBorder="1" applyAlignment="1">
      <alignment horizontal="center"/>
    </xf>
    <xf numFmtId="4" fontId="61" fillId="21" borderId="5" xfId="0" applyNumberFormat="1" applyFont="1" applyFill="1" applyBorder="1" applyAlignment="1">
      <alignment horizontal="center"/>
    </xf>
    <xf numFmtId="4" fontId="106" fillId="14" borderId="25" xfId="0" applyNumberFormat="1" applyFont="1" applyFill="1" applyBorder="1" applyAlignment="1">
      <alignment horizontal="center"/>
    </xf>
    <xf numFmtId="2" fontId="61" fillId="14" borderId="0" xfId="0" applyNumberFormat="1" applyFont="1" applyFill="1" applyAlignment="1">
      <alignment horizontal="center"/>
    </xf>
    <xf numFmtId="4" fontId="22" fillId="14" borderId="4" xfId="12" applyNumberFormat="1" applyFont="1" applyFill="1" applyBorder="1"/>
    <xf numFmtId="4" fontId="103" fillId="14" borderId="10" xfId="0" applyNumberFormat="1" applyFont="1" applyFill="1" applyBorder="1" applyAlignment="1">
      <alignment horizontal="center"/>
    </xf>
    <xf numFmtId="0" fontId="61" fillId="4" borderId="0" xfId="0" applyFont="1" applyFill="1" applyBorder="1"/>
    <xf numFmtId="0" fontId="103" fillId="4" borderId="0" xfId="0" applyFont="1" applyFill="1" applyBorder="1" applyAlignment="1">
      <alignment horizontal="center" vertical="top"/>
    </xf>
    <xf numFmtId="4" fontId="105" fillId="13" borderId="9" xfId="0" applyNumberFormat="1" applyFont="1" applyFill="1" applyBorder="1" applyAlignment="1">
      <alignment horizontal="center"/>
    </xf>
    <xf numFmtId="4" fontId="103" fillId="13" borderId="25" xfId="0" applyNumberFormat="1" applyFont="1" applyFill="1" applyBorder="1" applyAlignment="1">
      <alignment horizontal="center"/>
    </xf>
    <xf numFmtId="4" fontId="103" fillId="12" borderId="25" xfId="0" applyNumberFormat="1" applyFont="1" applyFill="1" applyBorder="1" applyAlignment="1">
      <alignment horizontal="center"/>
    </xf>
    <xf numFmtId="4" fontId="103" fillId="12" borderId="9" xfId="0" applyNumberFormat="1" applyFont="1" applyFill="1" applyBorder="1" applyAlignment="1">
      <alignment horizontal="center"/>
    </xf>
    <xf numFmtId="4" fontId="61" fillId="12" borderId="5" xfId="0" applyNumberFormat="1" applyFont="1" applyFill="1" applyBorder="1" applyAlignment="1">
      <alignment horizontal="center"/>
    </xf>
    <xf numFmtId="4" fontId="103" fillId="13" borderId="5" xfId="0" applyNumberFormat="1" applyFont="1" applyFill="1" applyBorder="1" applyAlignment="1">
      <alignment horizontal="center"/>
    </xf>
    <xf numFmtId="4" fontId="103" fillId="13" borderId="10" xfId="0" applyNumberFormat="1" applyFont="1" applyFill="1" applyBorder="1" applyAlignment="1">
      <alignment horizontal="center"/>
    </xf>
    <xf numFmtId="4" fontId="105" fillId="6" borderId="9" xfId="0" applyNumberFormat="1" applyFont="1" applyFill="1" applyBorder="1" applyAlignment="1">
      <alignment horizontal="center"/>
    </xf>
    <xf numFmtId="4" fontId="105" fillId="14" borderId="9" xfId="0" applyNumberFormat="1" applyFont="1" applyFill="1" applyBorder="1" applyAlignment="1">
      <alignment horizontal="center"/>
    </xf>
    <xf numFmtId="4" fontId="103" fillId="13" borderId="9" xfId="0" applyNumberFormat="1" applyFont="1" applyFill="1" applyBorder="1" applyAlignment="1">
      <alignment horizontal="center"/>
    </xf>
    <xf numFmtId="4" fontId="105" fillId="14" borderId="10" xfId="0" applyNumberFormat="1" applyFont="1" applyFill="1" applyBorder="1" applyAlignment="1">
      <alignment horizontal="center"/>
    </xf>
    <xf numFmtId="4" fontId="103" fillId="14" borderId="0" xfId="0" applyNumberFormat="1" applyFont="1" applyFill="1" applyBorder="1" applyAlignment="1">
      <alignment horizontal="center"/>
    </xf>
    <xf numFmtId="49" fontId="20" fillId="14" borderId="10" xfId="0" quotePrefix="1" applyNumberFormat="1" applyFont="1" applyFill="1" applyBorder="1"/>
    <xf numFmtId="4" fontId="103" fillId="14" borderId="36" xfId="0" applyNumberFormat="1" applyFont="1" applyFill="1" applyBorder="1" applyAlignment="1">
      <alignment horizontal="center"/>
    </xf>
    <xf numFmtId="0" fontId="44" fillId="4" borderId="10" xfId="12" applyFont="1" applyFill="1" applyBorder="1" applyAlignment="1" applyProtection="1">
      <alignment horizontal="center" vertical="center"/>
      <protection locked="0"/>
    </xf>
    <xf numFmtId="0" fontId="103" fillId="4" borderId="18" xfId="0" applyFont="1" applyFill="1" applyBorder="1" applyAlignment="1">
      <alignment horizontal="center"/>
    </xf>
    <xf numFmtId="0" fontId="117" fillId="0" borderId="0" xfId="12" applyFont="1" applyAlignment="1">
      <alignment horizontal="center" vertical="center"/>
    </xf>
    <xf numFmtId="0" fontId="116" fillId="9" borderId="0" xfId="12" applyFont="1" applyFill="1" applyAlignment="1">
      <alignment horizontal="center" vertical="center"/>
    </xf>
    <xf numFmtId="0" fontId="116" fillId="0" borderId="0" xfId="12" applyFont="1" applyFill="1" applyBorder="1" applyAlignment="1">
      <alignment horizontal="center" vertical="center" wrapText="1"/>
    </xf>
    <xf numFmtId="0" fontId="116" fillId="0" borderId="0" xfId="12" applyFont="1" applyFill="1" applyBorder="1" applyAlignment="1">
      <alignment horizontal="center"/>
    </xf>
    <xf numFmtId="0" fontId="130" fillId="0" borderId="0" xfId="12" applyFont="1" applyFill="1" applyBorder="1" applyAlignment="1">
      <alignment horizontal="center" vertical="center"/>
    </xf>
    <xf numFmtId="2" fontId="61" fillId="4" borderId="0" xfId="0" applyNumberFormat="1" applyFont="1" applyFill="1" applyAlignment="1">
      <alignment horizontal="center"/>
    </xf>
    <xf numFmtId="0" fontId="20" fillId="4" borderId="46" xfId="12" applyFont="1" applyFill="1" applyBorder="1" applyAlignment="1">
      <alignment horizontal="center" vertical="center"/>
    </xf>
    <xf numFmtId="49" fontId="20" fillId="4" borderId="9" xfId="0" applyNumberFormat="1" applyFont="1" applyFill="1" applyBorder="1" applyAlignment="1">
      <alignment horizontal="center"/>
    </xf>
    <xf numFmtId="4" fontId="107" fillId="4" borderId="61" xfId="0" applyNumberFormat="1" applyFont="1" applyFill="1" applyBorder="1" applyAlignment="1">
      <alignment horizontal="center"/>
    </xf>
    <xf numFmtId="4" fontId="107" fillId="4" borderId="17" xfId="0" applyNumberFormat="1" applyFont="1" applyFill="1" applyBorder="1" applyAlignment="1">
      <alignment horizontal="center"/>
    </xf>
    <xf numFmtId="0" fontId="61" fillId="4" borderId="17" xfId="0" applyFont="1" applyFill="1" applyBorder="1"/>
    <xf numFmtId="4" fontId="61" fillId="12" borderId="17" xfId="0" applyNumberFormat="1" applyFont="1" applyFill="1" applyBorder="1" applyAlignment="1">
      <alignment horizontal="center"/>
    </xf>
    <xf numFmtId="4" fontId="61" fillId="13" borderId="5" xfId="0" applyNumberFormat="1" applyFont="1" applyFill="1" applyBorder="1" applyAlignment="1">
      <alignment horizontal="center"/>
    </xf>
    <xf numFmtId="0" fontId="103" fillId="7" borderId="51" xfId="0" applyFont="1" applyFill="1" applyBorder="1" applyAlignment="1">
      <alignment horizontal="center"/>
    </xf>
    <xf numFmtId="4" fontId="103" fillId="13" borderId="17" xfId="0" applyNumberFormat="1" applyFont="1" applyFill="1" applyBorder="1" applyAlignment="1">
      <alignment horizontal="center"/>
    </xf>
    <xf numFmtId="4" fontId="61" fillId="13" borderId="17" xfId="0" applyNumberFormat="1" applyFont="1" applyFill="1" applyBorder="1" applyAlignment="1">
      <alignment horizontal="center"/>
    </xf>
    <xf numFmtId="0" fontId="61" fillId="13" borderId="0" xfId="0" applyFont="1" applyFill="1"/>
    <xf numFmtId="0" fontId="20" fillId="13" borderId="9" xfId="12" applyFont="1" applyFill="1" applyBorder="1" applyAlignment="1">
      <alignment horizontal="center" vertical="center"/>
    </xf>
    <xf numFmtId="4" fontId="61" fillId="13" borderId="9" xfId="0" applyNumberFormat="1" applyFont="1" applyFill="1" applyBorder="1" applyAlignment="1">
      <alignment horizontal="center"/>
    </xf>
    <xf numFmtId="2" fontId="61" fillId="13" borderId="5" xfId="0" applyNumberFormat="1" applyFont="1" applyFill="1" applyBorder="1" applyAlignment="1">
      <alignment horizontal="center"/>
    </xf>
    <xf numFmtId="0" fontId="103" fillId="4" borderId="18" xfId="0" applyFont="1" applyFill="1" applyBorder="1" applyAlignment="1">
      <alignment horizontal="center"/>
    </xf>
    <xf numFmtId="0" fontId="103" fillId="4" borderId="51" xfId="0" applyFont="1" applyFill="1" applyBorder="1" applyAlignment="1">
      <alignment horizontal="center"/>
    </xf>
    <xf numFmtId="0" fontId="103" fillId="15" borderId="0" xfId="0" applyFont="1" applyFill="1"/>
    <xf numFmtId="0" fontId="103" fillId="15" borderId="5" xfId="0" applyFont="1" applyFill="1" applyBorder="1" applyAlignment="1">
      <alignment horizontal="center"/>
    </xf>
    <xf numFmtId="2" fontId="61" fillId="13" borderId="0" xfId="0" applyNumberFormat="1" applyFont="1" applyFill="1"/>
    <xf numFmtId="2" fontId="61" fillId="13" borderId="0" xfId="0" applyNumberFormat="1" applyFont="1" applyFill="1" applyAlignment="1">
      <alignment horizontal="center"/>
    </xf>
    <xf numFmtId="0" fontId="61" fillId="13" borderId="17" xfId="0" applyFont="1" applyFill="1" applyBorder="1"/>
    <xf numFmtId="170" fontId="22" fillId="4" borderId="0" xfId="12" applyNumberFormat="1" applyFont="1" applyFill="1"/>
    <xf numFmtId="0" fontId="22" fillId="4" borderId="0" xfId="12" applyFont="1" applyFill="1" applyAlignment="1">
      <alignment horizontal="center"/>
    </xf>
    <xf numFmtId="10" fontId="19" fillId="0" borderId="48" xfId="29" applyNumberFormat="1" applyFont="1" applyFill="1" applyBorder="1" applyAlignment="1">
      <alignment horizontal="center" vertical="center"/>
    </xf>
    <xf numFmtId="0" fontId="18" fillId="0" borderId="0" xfId="12" applyFont="1" applyAlignment="1">
      <alignment horizontal="center"/>
    </xf>
    <xf numFmtId="10" fontId="19" fillId="0" borderId="6" xfId="29" applyNumberFormat="1" applyFont="1" applyFill="1" applyBorder="1" applyAlignment="1">
      <alignment horizontal="center" vertical="center"/>
    </xf>
    <xf numFmtId="4" fontId="46" fillId="0" borderId="13" xfId="12" applyNumberFormat="1" applyFont="1" applyFill="1" applyBorder="1" applyAlignment="1">
      <alignment horizontal="center" vertical="center"/>
    </xf>
    <xf numFmtId="10" fontId="46" fillId="0" borderId="13" xfId="29" applyNumberFormat="1" applyFont="1" applyFill="1" applyBorder="1" applyAlignment="1">
      <alignment horizontal="center" vertical="center"/>
    </xf>
    <xf numFmtId="0" fontId="46" fillId="0" borderId="47" xfId="12" applyFont="1" applyFill="1" applyBorder="1" applyAlignment="1">
      <alignment horizontal="center" vertical="center"/>
    </xf>
    <xf numFmtId="0" fontId="26" fillId="5" borderId="5" xfId="12" applyFont="1" applyFill="1" applyBorder="1" applyAlignment="1">
      <alignment horizontal="center"/>
    </xf>
    <xf numFmtId="4" fontId="104" fillId="15" borderId="2" xfId="0" applyNumberFormat="1" applyFont="1" applyFill="1" applyBorder="1" applyAlignment="1">
      <alignment horizontal="center"/>
    </xf>
    <xf numFmtId="0" fontId="103" fillId="15" borderId="52" xfId="0" applyFont="1" applyFill="1" applyBorder="1" applyAlignment="1">
      <alignment horizontal="center"/>
    </xf>
    <xf numFmtId="4" fontId="110" fillId="15" borderId="4" xfId="12" applyNumberFormat="1" applyFont="1" applyFill="1" applyBorder="1" applyAlignment="1">
      <alignment horizontal="center"/>
    </xf>
    <xf numFmtId="2" fontId="126" fillId="15" borderId="0" xfId="0" applyNumberFormat="1" applyFont="1" applyFill="1" applyAlignment="1">
      <alignment horizontal="center"/>
    </xf>
    <xf numFmtId="4" fontId="61" fillId="13" borderId="25" xfId="0" applyNumberFormat="1" applyFont="1" applyFill="1" applyBorder="1" applyAlignment="1">
      <alignment horizontal="center"/>
    </xf>
    <xf numFmtId="4" fontId="61" fillId="13" borderId="4" xfId="0" applyNumberFormat="1" applyFont="1" applyFill="1" applyBorder="1" applyAlignment="1">
      <alignment horizontal="center"/>
    </xf>
    <xf numFmtId="49" fontId="78" fillId="4" borderId="10" xfId="0" applyNumberFormat="1" applyFont="1" applyFill="1" applyBorder="1" applyAlignment="1"/>
    <xf numFmtId="49" fontId="18" fillId="4" borderId="10" xfId="0" applyNumberFormat="1" applyFont="1" applyFill="1" applyBorder="1"/>
    <xf numFmtId="0" fontId="44" fillId="4" borderId="10" xfId="12" applyFont="1" applyFill="1" applyBorder="1" applyAlignment="1" applyProtection="1">
      <alignment horizontal="center" vertical="center"/>
      <protection locked="0"/>
    </xf>
    <xf numFmtId="0" fontId="19" fillId="4" borderId="10" xfId="12" applyFont="1" applyFill="1" applyBorder="1" applyAlignment="1">
      <alignment horizontal="center" vertical="center"/>
    </xf>
    <xf numFmtId="0" fontId="103" fillId="4" borderId="18" xfId="0" applyFont="1" applyFill="1" applyBorder="1" applyAlignment="1">
      <alignment horizontal="center"/>
    </xf>
    <xf numFmtId="4" fontId="104" fillId="13" borderId="9" xfId="0" applyNumberFormat="1" applyFont="1" applyFill="1" applyBorder="1" applyAlignment="1">
      <alignment horizontal="center"/>
    </xf>
    <xf numFmtId="0" fontId="61" fillId="13" borderId="5" xfId="0" applyFont="1" applyFill="1" applyBorder="1"/>
    <xf numFmtId="4" fontId="107" fillId="13" borderId="9" xfId="0" applyNumberFormat="1" applyFont="1" applyFill="1" applyBorder="1" applyAlignment="1">
      <alignment horizontal="center"/>
    </xf>
    <xf numFmtId="0" fontId="104" fillId="15" borderId="51" xfId="0" applyFont="1" applyFill="1" applyBorder="1" applyAlignment="1">
      <alignment horizontal="center"/>
    </xf>
    <xf numFmtId="0" fontId="127" fillId="15" borderId="51" xfId="0" applyFont="1" applyFill="1" applyBorder="1" applyAlignment="1"/>
    <xf numFmtId="49" fontId="20" fillId="14" borderId="10" xfId="0" applyNumberFormat="1" applyFont="1" applyFill="1" applyBorder="1"/>
    <xf numFmtId="0" fontId="61" fillId="15" borderId="25" xfId="0" applyFont="1" applyFill="1" applyBorder="1"/>
    <xf numFmtId="2" fontId="61" fillId="13" borderId="5" xfId="0" applyNumberFormat="1" applyFont="1" applyFill="1" applyBorder="1"/>
    <xf numFmtId="4" fontId="103" fillId="5" borderId="5" xfId="0" applyNumberFormat="1" applyFont="1" applyFill="1" applyBorder="1" applyAlignment="1">
      <alignment horizontal="center"/>
    </xf>
    <xf numFmtId="0" fontId="103" fillId="13" borderId="5" xfId="0" applyFont="1" applyFill="1" applyBorder="1" applyAlignment="1">
      <alignment horizontal="center"/>
    </xf>
    <xf numFmtId="0" fontId="104" fillId="4" borderId="0" xfId="0" applyFont="1" applyFill="1" applyBorder="1"/>
    <xf numFmtId="0" fontId="104" fillId="4" borderId="0" xfId="0" applyFont="1" applyFill="1" applyBorder="1" applyAlignment="1">
      <alignment horizontal="center"/>
    </xf>
    <xf numFmtId="0" fontId="103" fillId="4" borderId="0" xfId="0" applyFont="1" applyFill="1" applyBorder="1" applyAlignment="1">
      <alignment horizontal="center"/>
    </xf>
    <xf numFmtId="4" fontId="61" fillId="6" borderId="36" xfId="0" applyNumberFormat="1" applyFont="1" applyFill="1" applyBorder="1" applyAlignment="1">
      <alignment horizontal="center"/>
    </xf>
    <xf numFmtId="0" fontId="103" fillId="13" borderId="5" xfId="0" applyFont="1" applyFill="1" applyBorder="1"/>
    <xf numFmtId="4" fontId="46" fillId="13" borderId="13" xfId="12" applyNumberFormat="1" applyFont="1" applyFill="1" applyBorder="1" applyAlignment="1">
      <alignment horizontal="center" vertical="center"/>
    </xf>
    <xf numFmtId="4" fontId="22" fillId="0" borderId="0" xfId="12" applyNumberFormat="1" applyFont="1" applyAlignment="1">
      <alignment horizontal="left"/>
    </xf>
    <xf numFmtId="0" fontId="22" fillId="0" borderId="0" xfId="12" applyFont="1" applyAlignment="1">
      <alignment horizontal="left"/>
    </xf>
    <xf numFmtId="2" fontId="112" fillId="0" borderId="5" xfId="12" applyNumberFormat="1" applyFont="1" applyFill="1" applyBorder="1" applyAlignment="1">
      <alignment horizontal="center" vertical="center"/>
    </xf>
    <xf numFmtId="0" fontId="131" fillId="0" borderId="6" xfId="12" applyFont="1" applyBorder="1" applyAlignment="1">
      <alignment horizontal="left" vertical="center" wrapText="1"/>
    </xf>
    <xf numFmtId="0" fontId="112" fillId="0" borderId="6" xfId="12" applyFont="1" applyFill="1" applyBorder="1" applyAlignment="1">
      <alignment horizontal="center" vertical="center"/>
    </xf>
    <xf numFmtId="0" fontId="116" fillId="0" borderId="0" xfId="12" applyFont="1" applyFill="1" applyAlignment="1">
      <alignment horizontal="left" vertical="center"/>
    </xf>
    <xf numFmtId="0" fontId="117" fillId="0" borderId="0" xfId="12" applyFont="1" applyFill="1" applyAlignment="1">
      <alignment vertical="center"/>
    </xf>
    <xf numFmtId="0" fontId="45" fillId="0" borderId="0" xfId="12" applyFont="1"/>
    <xf numFmtId="0" fontId="22" fillId="0" borderId="0" xfId="12" applyFont="1" applyAlignment="1"/>
    <xf numFmtId="0" fontId="45" fillId="0" borderId="0" xfId="12" applyFont="1" applyAlignment="1">
      <alignment vertical="top"/>
    </xf>
    <xf numFmtId="0" fontId="45" fillId="0" borderId="0" xfId="12" applyFont="1" applyAlignment="1">
      <alignment horizontal="center"/>
    </xf>
    <xf numFmtId="0" fontId="132" fillId="0" borderId="0" xfId="12" applyFont="1" applyAlignment="1">
      <alignment horizontal="center"/>
    </xf>
    <xf numFmtId="4" fontId="132" fillId="0" borderId="0" xfId="12" applyNumberFormat="1" applyFont="1" applyFill="1" applyAlignment="1">
      <alignment horizontal="left" vertical="top"/>
    </xf>
    <xf numFmtId="4" fontId="45" fillId="0" borderId="0" xfId="12" applyNumberFormat="1" applyFont="1" applyFill="1" applyAlignment="1">
      <alignment horizontal="center"/>
    </xf>
    <xf numFmtId="14" fontId="45" fillId="0" borderId="0" xfId="12" applyNumberFormat="1" applyFont="1" applyAlignment="1">
      <alignment horizontal="left"/>
    </xf>
    <xf numFmtId="49" fontId="45" fillId="0" borderId="0" xfId="12" applyNumberFormat="1" applyFont="1"/>
    <xf numFmtId="1" fontId="45" fillId="0" borderId="0" xfId="12" applyNumberFormat="1" applyFont="1" applyAlignment="1">
      <alignment horizontal="left"/>
    </xf>
    <xf numFmtId="0" fontId="45" fillId="0" borderId="0" xfId="12" applyFont="1" applyAlignment="1">
      <alignment horizontal="left" vertical="top"/>
    </xf>
    <xf numFmtId="4" fontId="45" fillId="0" borderId="0" xfId="12" applyNumberFormat="1" applyFont="1"/>
    <xf numFmtId="0" fontId="132" fillId="4" borderId="1" xfId="12" applyFont="1" applyFill="1" applyBorder="1" applyAlignment="1">
      <alignment horizontal="center" vertical="center"/>
    </xf>
    <xf numFmtId="0" fontId="132" fillId="4" borderId="3" xfId="12" applyFont="1" applyFill="1" applyBorder="1" applyAlignment="1">
      <alignment horizontal="center" vertical="center"/>
    </xf>
    <xf numFmtId="0" fontId="132" fillId="4" borderId="0" xfId="12" applyFont="1" applyFill="1"/>
    <xf numFmtId="4" fontId="45" fillId="4" borderId="0" xfId="12" applyNumberFormat="1" applyFont="1" applyFill="1"/>
    <xf numFmtId="0" fontId="45" fillId="4" borderId="0" xfId="12" applyFont="1" applyFill="1"/>
    <xf numFmtId="4" fontId="45" fillId="4" borderId="6" xfId="12" applyNumberFormat="1" applyFont="1" applyFill="1" applyBorder="1" applyAlignment="1" applyProtection="1">
      <alignment horizontal="center" vertical="center"/>
      <protection locked="0"/>
    </xf>
    <xf numFmtId="4" fontId="45" fillId="4" borderId="4" xfId="12" applyNumberFormat="1" applyFont="1" applyFill="1" applyBorder="1" applyAlignment="1">
      <alignment horizontal="center"/>
    </xf>
    <xf numFmtId="4" fontId="45" fillId="4" borderId="5" xfId="12" applyNumberFormat="1" applyFont="1" applyFill="1" applyBorder="1" applyAlignment="1" applyProtection="1">
      <alignment vertical="center"/>
      <protection locked="0"/>
    </xf>
    <xf numFmtId="0" fontId="45" fillId="0" borderId="0" xfId="0" applyFont="1" applyAlignment="1">
      <alignment vertical="top"/>
    </xf>
    <xf numFmtId="4" fontId="133" fillId="0" borderId="0" xfId="0" applyNumberFormat="1" applyFont="1" applyAlignment="1">
      <alignment vertical="top"/>
    </xf>
    <xf numFmtId="4" fontId="45" fillId="0" borderId="0" xfId="12" applyNumberFormat="1" applyFont="1" applyAlignment="1">
      <alignment horizontal="center"/>
    </xf>
    <xf numFmtId="0" fontId="132" fillId="0" borderId="0" xfId="12" applyFont="1" applyAlignment="1">
      <alignment horizontal="center" vertical="center"/>
    </xf>
    <xf numFmtId="14" fontId="45" fillId="0" borderId="0" xfId="12" applyNumberFormat="1" applyFont="1" applyAlignment="1">
      <alignment horizontal="center"/>
    </xf>
    <xf numFmtId="4" fontId="45" fillId="0" borderId="0" xfId="12" applyNumberFormat="1" applyFont="1" applyFill="1" applyAlignment="1">
      <alignment horizontal="center" vertical="center"/>
    </xf>
    <xf numFmtId="0" fontId="93" fillId="4" borderId="5" xfId="0" applyFont="1" applyFill="1" applyBorder="1" applyAlignment="1" applyProtection="1">
      <alignment vertical="center"/>
      <protection locked="0"/>
    </xf>
    <xf numFmtId="0" fontId="44" fillId="0" borderId="5" xfId="0" applyFont="1" applyBorder="1" applyAlignment="1">
      <alignment vertical="top"/>
    </xf>
    <xf numFmtId="0" fontId="17" fillId="4" borderId="5" xfId="12" applyFont="1" applyFill="1" applyBorder="1"/>
    <xf numFmtId="0" fontId="24" fillId="4" borderId="13" xfId="12" applyFont="1" applyFill="1" applyBorder="1" applyAlignment="1" applyProtection="1">
      <alignment vertical="center"/>
      <protection locked="0"/>
    </xf>
    <xf numFmtId="0" fontId="93" fillId="4" borderId="6" xfId="0" applyFont="1" applyFill="1" applyBorder="1" applyAlignment="1" applyProtection="1">
      <alignment horizontal="center" vertical="center"/>
      <protection locked="0"/>
    </xf>
    <xf numFmtId="0" fontId="18" fillId="4" borderId="13" xfId="12" applyNumberFormat="1" applyFont="1" applyFill="1" applyBorder="1" applyAlignment="1">
      <alignment horizontal="right"/>
    </xf>
    <xf numFmtId="0" fontId="20" fillId="4" borderId="13" xfId="12" applyNumberFormat="1" applyFont="1" applyFill="1" applyBorder="1" applyAlignment="1">
      <alignment horizontal="center"/>
    </xf>
    <xf numFmtId="0" fontId="20" fillId="4" borderId="13" xfId="12" applyNumberFormat="1" applyFont="1" applyFill="1" applyBorder="1" applyAlignment="1">
      <alignment horizontal="center" vertical="center"/>
    </xf>
    <xf numFmtId="0" fontId="20" fillId="4" borderId="13" xfId="12" applyNumberFormat="1" applyFont="1" applyFill="1" applyBorder="1"/>
    <xf numFmtId="0" fontId="18" fillId="4" borderId="13" xfId="12" applyNumberFormat="1" applyFont="1" applyFill="1" applyBorder="1"/>
    <xf numFmtId="0" fontId="18" fillId="4" borderId="13" xfId="12" applyNumberFormat="1" applyFont="1" applyFill="1" applyBorder="1" applyAlignment="1">
      <alignment horizontal="center"/>
    </xf>
    <xf numFmtId="4" fontId="20" fillId="4" borderId="13" xfId="12" applyNumberFormat="1" applyFont="1" applyFill="1" applyBorder="1" applyAlignment="1">
      <alignment horizontal="center"/>
    </xf>
    <xf numFmtId="0" fontId="24" fillId="4" borderId="1" xfId="12" applyFont="1" applyFill="1" applyBorder="1" applyAlignment="1" applyProtection="1">
      <alignment vertical="center"/>
      <protection locked="0"/>
    </xf>
    <xf numFmtId="0" fontId="17" fillId="4" borderId="2" xfId="12" applyNumberFormat="1" applyFont="1" applyFill="1" applyBorder="1" applyAlignment="1"/>
    <xf numFmtId="0" fontId="24" fillId="4" borderId="4" xfId="12" applyFont="1" applyFill="1" applyBorder="1" applyAlignment="1" applyProtection="1">
      <alignment vertical="center"/>
      <protection locked="0"/>
    </xf>
    <xf numFmtId="0" fontId="134" fillId="4" borderId="7" xfId="12" applyFont="1" applyFill="1" applyBorder="1" applyAlignment="1" applyProtection="1">
      <alignment vertical="center"/>
      <protection locked="0"/>
    </xf>
    <xf numFmtId="0" fontId="17" fillId="4" borderId="8" xfId="12" applyNumberFormat="1" applyFont="1" applyFill="1" applyBorder="1" applyAlignment="1">
      <alignment horizontal="center"/>
    </xf>
    <xf numFmtId="4" fontId="17" fillId="4" borderId="8" xfId="12" applyNumberFormat="1" applyFont="1" applyFill="1" applyBorder="1"/>
    <xf numFmtId="4" fontId="17" fillId="4" borderId="8" xfId="12" applyNumberFormat="1" applyFont="1" applyFill="1" applyBorder="1" applyAlignment="1">
      <alignment horizontal="center"/>
    </xf>
    <xf numFmtId="0" fontId="17" fillId="4" borderId="8" xfId="12" applyNumberFormat="1" applyFont="1" applyFill="1" applyBorder="1" applyAlignment="1"/>
    <xf numFmtId="10" fontId="17" fillId="4" borderId="8" xfId="12" applyNumberFormat="1" applyFont="1" applyFill="1" applyBorder="1" applyAlignment="1">
      <alignment horizontal="center"/>
    </xf>
    <xf numFmtId="0" fontId="100" fillId="4" borderId="5" xfId="0" applyFont="1" applyFill="1" applyBorder="1" applyAlignment="1" applyProtection="1">
      <alignment vertical="center"/>
      <protection locked="0"/>
    </xf>
    <xf numFmtId="0" fontId="136" fillId="4" borderId="4" xfId="0" applyFont="1" applyFill="1" applyBorder="1" applyAlignment="1" applyProtection="1">
      <alignment vertical="center"/>
      <protection locked="0"/>
    </xf>
    <xf numFmtId="0" fontId="136" fillId="4" borderId="5" xfId="0" applyFont="1" applyFill="1" applyBorder="1" applyAlignment="1" applyProtection="1">
      <alignment vertical="center"/>
      <protection locked="0"/>
    </xf>
    <xf numFmtId="0" fontId="136" fillId="4" borderId="6" xfId="0" applyFont="1" applyFill="1" applyBorder="1" applyAlignment="1" applyProtection="1">
      <alignment horizontal="center" vertical="center"/>
      <protection locked="0"/>
    </xf>
    <xf numFmtId="0" fontId="44" fillId="4" borderId="4" xfId="0" applyFont="1" applyFill="1" applyBorder="1" applyAlignment="1">
      <alignment vertical="top"/>
    </xf>
    <xf numFmtId="0" fontId="44" fillId="4" borderId="5" xfId="0" applyFont="1" applyFill="1" applyBorder="1" applyAlignment="1">
      <alignment vertical="top"/>
    </xf>
    <xf numFmtId="0" fontId="93" fillId="4" borderId="4" xfId="0" applyFont="1" applyFill="1" applyBorder="1" applyAlignment="1" applyProtection="1">
      <alignment vertical="center"/>
      <protection locked="0"/>
    </xf>
    <xf numFmtId="0" fontId="72" fillId="4" borderId="4" xfId="0" applyFont="1" applyFill="1" applyBorder="1" applyAlignment="1" applyProtection="1">
      <alignment vertical="center"/>
      <protection locked="0"/>
    </xf>
    <xf numFmtId="0" fontId="75" fillId="4" borderId="5" xfId="0" applyFont="1" applyFill="1" applyBorder="1" applyAlignment="1" applyProtection="1">
      <alignment vertical="center"/>
      <protection locked="0"/>
    </xf>
    <xf numFmtId="0" fontId="75" fillId="4" borderId="6" xfId="0" applyFont="1" applyFill="1" applyBorder="1" applyAlignment="1" applyProtection="1">
      <alignment horizontal="center" vertical="center"/>
      <protection locked="0"/>
    </xf>
    <xf numFmtId="0" fontId="100" fillId="4" borderId="4" xfId="0" applyFont="1" applyFill="1" applyBorder="1" applyAlignment="1" applyProtection="1">
      <alignment vertical="center"/>
      <protection locked="0"/>
    </xf>
    <xf numFmtId="0" fontId="100" fillId="4" borderId="6" xfId="0" applyFont="1" applyFill="1" applyBorder="1" applyAlignment="1" applyProtection="1">
      <alignment horizontal="center" vertical="center"/>
      <protection locked="0"/>
    </xf>
    <xf numFmtId="0" fontId="136" fillId="4" borderId="6" xfId="0" applyFont="1" applyFill="1" applyBorder="1" applyAlignment="1" applyProtection="1">
      <alignment vertical="center"/>
      <protection locked="0"/>
    </xf>
    <xf numFmtId="0" fontId="16" fillId="4" borderId="5" xfId="12" applyNumberFormat="1" applyFont="1" applyFill="1" applyBorder="1" applyAlignment="1"/>
    <xf numFmtId="4" fontId="46" fillId="0" borderId="13" xfId="12" applyNumberFormat="1" applyFont="1" applyFill="1" applyBorder="1" applyAlignment="1">
      <alignment horizontal="center" vertical="center"/>
    </xf>
    <xf numFmtId="10" fontId="19" fillId="0" borderId="48" xfId="29" applyNumberFormat="1" applyFont="1" applyFill="1" applyBorder="1" applyAlignment="1">
      <alignment vertical="center"/>
    </xf>
    <xf numFmtId="4" fontId="26" fillId="0" borderId="5" xfId="12" applyNumberFormat="1" applyFont="1" applyBorder="1"/>
    <xf numFmtId="4" fontId="26" fillId="0" borderId="5" xfId="12" applyNumberFormat="1" applyFont="1" applyFill="1" applyBorder="1" applyAlignment="1">
      <alignment horizontal="center"/>
    </xf>
    <xf numFmtId="49" fontId="46" fillId="0" borderId="46" xfId="12" applyNumberFormat="1" applyFont="1" applyFill="1" applyBorder="1" applyAlignment="1">
      <alignment horizontal="left" vertical="top"/>
    </xf>
    <xf numFmtId="0" fontId="144" fillId="0" borderId="4" xfId="12" applyFont="1" applyFill="1" applyBorder="1" applyAlignment="1">
      <alignment horizontal="center" vertical="center"/>
    </xf>
    <xf numFmtId="4" fontId="144" fillId="0" borderId="5" xfId="12" applyNumberFormat="1" applyFont="1" applyFill="1" applyBorder="1" applyAlignment="1">
      <alignment horizontal="center" vertical="center"/>
    </xf>
    <xf numFmtId="4" fontId="144" fillId="0" borderId="13" xfId="12" applyNumberFormat="1" applyFont="1" applyFill="1" applyBorder="1" applyAlignment="1">
      <alignment horizontal="center" vertical="center"/>
    </xf>
    <xf numFmtId="10" fontId="144" fillId="0" borderId="13" xfId="29" applyNumberFormat="1" applyFont="1" applyFill="1" applyBorder="1" applyAlignment="1">
      <alignment horizontal="center" vertical="center"/>
    </xf>
    <xf numFmtId="10" fontId="145" fillId="0" borderId="6" xfId="29"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0" fontId="146" fillId="0" borderId="0" xfId="12" applyFont="1" applyAlignment="1">
      <alignment horizontal="center" vertical="center"/>
    </xf>
    <xf numFmtId="0" fontId="147" fillId="0" borderId="0" xfId="12" applyFont="1" applyAlignment="1">
      <alignment horizontal="center" vertical="center"/>
    </xf>
    <xf numFmtId="0" fontId="64" fillId="0" borderId="0" xfId="19" applyFont="1"/>
    <xf numFmtId="0" fontId="66" fillId="0" borderId="0" xfId="19" applyFont="1" applyAlignment="1">
      <alignment vertical="center" wrapText="1"/>
    </xf>
    <xf numFmtId="166" fontId="66" fillId="0" borderId="0" xfId="19" applyNumberFormat="1" applyFont="1"/>
    <xf numFmtId="0" fontId="67" fillId="0" borderId="0" xfId="19" applyFont="1"/>
    <xf numFmtId="15" fontId="66" fillId="0" borderId="0" xfId="19" applyNumberFormat="1" applyFont="1"/>
    <xf numFmtId="2" fontId="19" fillId="0" borderId="0" xfId="30" applyNumberFormat="1"/>
    <xf numFmtId="4" fontId="19" fillId="0" borderId="0" xfId="14" applyNumberFormat="1"/>
    <xf numFmtId="10" fontId="19" fillId="0" borderId="0" xfId="30" applyNumberFormat="1"/>
    <xf numFmtId="4" fontId="82" fillId="0" borderId="0" xfId="14" applyNumberFormat="1" applyFont="1"/>
    <xf numFmtId="4" fontId="141" fillId="0" borderId="5" xfId="12" applyNumberFormat="1" applyFont="1" applyBorder="1"/>
    <xf numFmtId="4" fontId="132" fillId="0" borderId="0" xfId="12" applyNumberFormat="1" applyFont="1" applyAlignment="1">
      <alignment horizontal="center"/>
    </xf>
    <xf numFmtId="4" fontId="19" fillId="0" borderId="13" xfId="12" applyNumberFormat="1" applyFont="1" applyBorder="1" applyAlignment="1">
      <alignment horizontal="right"/>
    </xf>
    <xf numFmtId="4" fontId="19" fillId="0" borderId="5" xfId="12" applyNumberFormat="1" applyFont="1" applyBorder="1" applyAlignment="1">
      <alignment horizontal="right"/>
    </xf>
    <xf numFmtId="0" fontId="52" fillId="0" borderId="0" xfId="12" applyFont="1"/>
    <xf numFmtId="2" fontId="132" fillId="0" borderId="0" xfId="0" applyNumberFormat="1" applyFont="1" applyAlignment="1">
      <alignment vertical="top"/>
    </xf>
    <xf numFmtId="0" fontId="117" fillId="0" borderId="0" xfId="12" applyFont="1" applyBorder="1" applyAlignment="1">
      <alignment horizontal="center" vertical="center"/>
    </xf>
    <xf numFmtId="0" fontId="117" fillId="0" borderId="0" xfId="12" applyFont="1" applyBorder="1" applyAlignment="1">
      <alignment vertical="center"/>
    </xf>
    <xf numFmtId="0" fontId="19" fillId="0" borderId="0" xfId="42" applyAlignment="1">
      <alignment vertical="center"/>
    </xf>
    <xf numFmtId="0" fontId="154" fillId="0" borderId="0" xfId="42" applyFont="1" applyAlignment="1">
      <alignment vertical="center"/>
    </xf>
    <xf numFmtId="0" fontId="43" fillId="0" borderId="0" xfId="42" applyFont="1" applyAlignment="1">
      <alignment horizontal="center" vertical="center"/>
    </xf>
    <xf numFmtId="0" fontId="43" fillId="0" borderId="0" xfId="42" applyFont="1" applyAlignment="1">
      <alignment vertical="center"/>
    </xf>
    <xf numFmtId="0" fontId="44" fillId="0" borderId="0" xfId="42" applyFont="1" applyAlignment="1">
      <alignment vertical="center"/>
    </xf>
    <xf numFmtId="0" fontId="43" fillId="0" borderId="0" xfId="42" applyFont="1" applyAlignment="1">
      <alignment vertical="center" wrapText="1"/>
    </xf>
    <xf numFmtId="0" fontId="43" fillId="4" borderId="0" xfId="42" applyFont="1" applyFill="1" applyAlignment="1">
      <alignment vertical="center" wrapText="1"/>
    </xf>
    <xf numFmtId="0" fontId="44" fillId="4" borderId="0" xfId="42" applyFont="1" applyFill="1" applyAlignment="1">
      <alignment vertical="center" wrapText="1"/>
    </xf>
    <xf numFmtId="0" fontId="157" fillId="0" borderId="0" xfId="42" applyFont="1" applyAlignment="1">
      <alignment vertical="center"/>
    </xf>
    <xf numFmtId="0" fontId="44" fillId="0" borderId="0" xfId="42" applyFont="1" applyAlignment="1">
      <alignment horizontal="left" vertical="center" wrapText="1"/>
    </xf>
    <xf numFmtId="0" fontId="43" fillId="0" borderId="0" xfId="42" applyFont="1" applyAlignment="1">
      <alignment horizontal="left" vertical="center"/>
    </xf>
    <xf numFmtId="0" fontId="43" fillId="0" borderId="5" xfId="42" applyFont="1" applyBorder="1" applyAlignment="1">
      <alignment horizontal="center" vertical="center" wrapText="1"/>
    </xf>
    <xf numFmtId="0" fontId="44" fillId="0" borderId="0" xfId="42" applyFont="1" applyAlignment="1">
      <alignment vertical="center" wrapText="1"/>
    </xf>
    <xf numFmtId="0" fontId="44" fillId="0" borderId="5" xfId="42" applyFont="1" applyBorder="1" applyAlignment="1">
      <alignment horizontal="center" vertical="center" wrapText="1"/>
    </xf>
    <xf numFmtId="0" fontId="45" fillId="0" borderId="0" xfId="12" applyFont="1" applyAlignment="1">
      <alignment horizontal="right"/>
    </xf>
    <xf numFmtId="2" fontId="132" fillId="0" borderId="0" xfId="12" applyNumberFormat="1" applyFont="1" applyAlignment="1">
      <alignment horizontal="center"/>
    </xf>
    <xf numFmtId="10" fontId="22" fillId="0" borderId="0" xfId="41" applyNumberFormat="1" applyFont="1" applyFill="1" applyAlignment="1">
      <alignment horizontal="center"/>
    </xf>
    <xf numFmtId="10" fontId="22" fillId="0" borderId="0" xfId="41" applyNumberFormat="1" applyFont="1" applyAlignment="1">
      <alignment horizontal="center"/>
    </xf>
    <xf numFmtId="164" fontId="132" fillId="0" borderId="0" xfId="40" applyFont="1" applyAlignment="1">
      <alignment horizontal="right"/>
    </xf>
    <xf numFmtId="0" fontId="17" fillId="4" borderId="2" xfId="12" applyNumberFormat="1" applyFont="1" applyFill="1" applyBorder="1" applyAlignment="1">
      <alignment horizontal="left"/>
    </xf>
    <xf numFmtId="0" fontId="70" fillId="4" borderId="2" xfId="12" applyNumberFormat="1" applyFont="1" applyFill="1" applyBorder="1" applyAlignment="1">
      <alignment horizontal="center"/>
    </xf>
    <xf numFmtId="4" fontId="17" fillId="4" borderId="2" xfId="12" applyNumberFormat="1" applyFont="1" applyFill="1" applyBorder="1"/>
    <xf numFmtId="4" fontId="17" fillId="4" borderId="2" xfId="12" applyNumberFormat="1" applyFont="1" applyFill="1" applyBorder="1" applyAlignment="1">
      <alignment horizontal="center"/>
    </xf>
    <xf numFmtId="10" fontId="17" fillId="4" borderId="2" xfId="12" applyNumberFormat="1" applyFont="1" applyFill="1" applyBorder="1" applyAlignment="1">
      <alignment horizontal="center"/>
    </xf>
    <xf numFmtId="0" fontId="70" fillId="4" borderId="5" xfId="12" applyNumberFormat="1" applyFont="1" applyFill="1" applyBorder="1" applyAlignment="1">
      <alignment horizontal="center"/>
    </xf>
    <xf numFmtId="4" fontId="16" fillId="4" borderId="5" xfId="12" applyNumberFormat="1" applyFont="1" applyFill="1" applyBorder="1"/>
    <xf numFmtId="4" fontId="16" fillId="4" borderId="5" xfId="12" applyNumberFormat="1" applyFont="1" applyFill="1" applyBorder="1" applyAlignment="1">
      <alignment horizontal="center"/>
    </xf>
    <xf numFmtId="10" fontId="16" fillId="4" borderId="5" xfId="12" applyNumberFormat="1" applyFont="1" applyFill="1" applyBorder="1" applyAlignment="1">
      <alignment horizontal="center"/>
    </xf>
    <xf numFmtId="10" fontId="16" fillId="4" borderId="6" xfId="27" applyNumberFormat="1" applyFont="1" applyFill="1" applyBorder="1"/>
    <xf numFmtId="0" fontId="70" fillId="4" borderId="5" xfId="12" applyNumberFormat="1" applyFont="1" applyFill="1" applyBorder="1" applyAlignment="1">
      <alignment horizontal="left"/>
    </xf>
    <xf numFmtId="177" fontId="16" fillId="4" borderId="5" xfId="12" applyNumberFormat="1" applyFont="1" applyFill="1" applyBorder="1" applyAlignment="1">
      <alignment horizontal="center"/>
    </xf>
    <xf numFmtId="0" fontId="17" fillId="4" borderId="5" xfId="12" applyFont="1" applyFill="1" applyBorder="1" applyAlignment="1">
      <alignment horizontal="left"/>
    </xf>
    <xf numFmtId="0" fontId="16" fillId="4" borderId="5" xfId="12" applyFont="1" applyFill="1" applyBorder="1" applyAlignment="1">
      <alignment horizontal="center"/>
    </xf>
    <xf numFmtId="4" fontId="17" fillId="4" borderId="5" xfId="12" applyNumberFormat="1" applyFont="1" applyFill="1" applyBorder="1"/>
    <xf numFmtId="4" fontId="17" fillId="4" borderId="5" xfId="12" applyNumberFormat="1" applyFont="1" applyFill="1" applyBorder="1" applyAlignment="1">
      <alignment horizontal="center"/>
    </xf>
    <xf numFmtId="4" fontId="17" fillId="4" borderId="5" xfId="12" applyNumberFormat="1" applyFont="1" applyFill="1" applyBorder="1" applyAlignment="1">
      <alignment horizontal="right"/>
    </xf>
    <xf numFmtId="10" fontId="17" fillId="4" borderId="6" xfId="27" applyNumberFormat="1" applyFont="1" applyFill="1" applyBorder="1"/>
    <xf numFmtId="10" fontId="19" fillId="0" borderId="0" xfId="34" applyNumberFormat="1" applyFont="1" applyBorder="1" applyAlignment="1">
      <alignment horizontal="center"/>
    </xf>
    <xf numFmtId="4" fontId="46" fillId="0" borderId="13" xfId="12" applyNumberFormat="1" applyFont="1" applyFill="1" applyBorder="1" applyAlignment="1">
      <alignment horizontal="center" vertical="center"/>
    </xf>
    <xf numFmtId="0" fontId="116" fillId="0" borderId="0" xfId="12" applyFont="1" applyBorder="1" applyAlignment="1">
      <alignment horizontal="center" vertical="center"/>
    </xf>
    <xf numFmtId="0" fontId="45" fillId="4" borderId="0" xfId="12" applyFont="1" applyFill="1" applyAlignment="1">
      <alignment horizontal="center"/>
    </xf>
    <xf numFmtId="0" fontId="132" fillId="4" borderId="0" xfId="12" applyFont="1" applyFill="1" applyAlignment="1">
      <alignment horizontal="center"/>
    </xf>
    <xf numFmtId="4" fontId="22" fillId="4" borderId="0" xfId="12" applyNumberFormat="1" applyFont="1" applyFill="1" applyAlignment="1">
      <alignment horizontal="center"/>
    </xf>
    <xf numFmtId="4" fontId="46" fillId="0" borderId="13" xfId="12" applyNumberFormat="1" applyFont="1" applyFill="1" applyBorder="1" applyAlignment="1">
      <alignment horizontal="center" vertical="center"/>
    </xf>
    <xf numFmtId="4" fontId="141" fillId="0" borderId="5" xfId="12" applyNumberFormat="1" applyFont="1" applyBorder="1" applyAlignment="1">
      <alignment horizontal="center"/>
    </xf>
    <xf numFmtId="4" fontId="46" fillId="0" borderId="5" xfId="12" applyNumberFormat="1" applyFont="1" applyBorder="1" applyAlignment="1">
      <alignment horizontal="center"/>
    </xf>
    <xf numFmtId="10" fontId="141" fillId="0" borderId="5" xfId="29" applyNumberFormat="1" applyFont="1" applyFill="1" applyBorder="1" applyAlignment="1">
      <alignment horizontal="center" vertical="center"/>
    </xf>
    <xf numFmtId="10" fontId="26" fillId="0" borderId="6" xfId="29" applyNumberFormat="1" applyFont="1" applyFill="1" applyBorder="1" applyAlignment="1">
      <alignment vertical="center"/>
    </xf>
    <xf numFmtId="0" fontId="132" fillId="2" borderId="21" xfId="12" applyFont="1" applyFill="1" applyBorder="1" applyAlignment="1">
      <alignment horizontal="center" vertical="center"/>
    </xf>
    <xf numFmtId="0" fontId="132" fillId="2" borderId="0" xfId="12" applyFont="1" applyFill="1" applyBorder="1" applyAlignment="1">
      <alignment horizontal="center" vertical="center"/>
    </xf>
    <xf numFmtId="0" fontId="45" fillId="2" borderId="22" xfId="12" applyFont="1" applyFill="1" applyBorder="1" applyAlignment="1">
      <alignment horizontal="center" vertical="center"/>
    </xf>
    <xf numFmtId="0" fontId="116" fillId="0" borderId="0" xfId="12" applyFont="1" applyAlignment="1">
      <alignment vertical="center"/>
    </xf>
    <xf numFmtId="4" fontId="46" fillId="0" borderId="13" xfId="12" applyNumberFormat="1" applyFont="1" applyFill="1" applyBorder="1" applyAlignment="1">
      <alignment horizontal="center" vertical="center"/>
    </xf>
    <xf numFmtId="4" fontId="19" fillId="0" borderId="43" xfId="14" applyNumberFormat="1" applyBorder="1"/>
    <xf numFmtId="10" fontId="19" fillId="0" borderId="0" xfId="30" applyNumberFormat="1" applyBorder="1"/>
    <xf numFmtId="10" fontId="19" fillId="0" borderId="85" xfId="14" applyNumberFormat="1" applyBorder="1"/>
    <xf numFmtId="10" fontId="20" fillId="0" borderId="0" xfId="34" applyNumberFormat="1" applyFont="1" applyBorder="1" applyAlignment="1">
      <alignment horizontal="center"/>
    </xf>
    <xf numFmtId="4" fontId="45" fillId="4" borderId="5" xfId="12" applyNumberFormat="1" applyFont="1" applyFill="1" applyBorder="1" applyAlignment="1" applyProtection="1">
      <alignment horizontal="center" vertical="center"/>
      <protection locked="0"/>
    </xf>
    <xf numFmtId="4" fontId="46" fillId="0" borderId="13" xfId="12" applyNumberFormat="1" applyFont="1" applyFill="1" applyBorder="1" applyAlignment="1">
      <alignment horizontal="center" vertical="center"/>
    </xf>
    <xf numFmtId="0" fontId="46" fillId="0" borderId="9" xfId="12" applyFont="1" applyBorder="1" applyAlignment="1">
      <alignment horizontal="left"/>
    </xf>
    <xf numFmtId="0" fontId="143" fillId="0" borderId="17" xfId="12" applyFont="1" applyBorder="1" applyAlignment="1">
      <alignment horizontal="left"/>
    </xf>
    <xf numFmtId="0" fontId="18" fillId="0" borderId="0" xfId="12" applyFont="1" applyAlignment="1"/>
    <xf numFmtId="10" fontId="26" fillId="0" borderId="6" xfId="29" applyNumberFormat="1" applyFont="1" applyFill="1" applyBorder="1" applyAlignment="1">
      <alignment horizontal="center" vertical="center"/>
    </xf>
    <xf numFmtId="0" fontId="142" fillId="0" borderId="4" xfId="12" applyFont="1" applyBorder="1" applyAlignment="1">
      <alignment horizontal="center" vertical="center"/>
    </xf>
    <xf numFmtId="9" fontId="22" fillId="0" borderId="0" xfId="41" applyFont="1"/>
    <xf numFmtId="0" fontId="18" fillId="0" borderId="0" xfId="12" applyFont="1" applyAlignment="1">
      <alignment horizontal="left" vertical="center"/>
    </xf>
    <xf numFmtId="0" fontId="19" fillId="0" borderId="5" xfId="14" applyBorder="1" applyAlignment="1">
      <alignment horizontal="center"/>
    </xf>
    <xf numFmtId="10" fontId="17" fillId="4" borderId="3" xfId="27" applyNumberFormat="1" applyFont="1" applyFill="1" applyBorder="1"/>
    <xf numFmtId="10" fontId="132" fillId="0" borderId="0" xfId="41" applyNumberFormat="1" applyFont="1" applyAlignment="1">
      <alignment horizontal="right"/>
    </xf>
    <xf numFmtId="0" fontId="66" fillId="0" borderId="0" xfId="58" applyFont="1" applyAlignment="1">
      <alignment horizontal="left" vertical="center"/>
    </xf>
    <xf numFmtId="0" fontId="66" fillId="0" borderId="0" xfId="58" applyFont="1" applyAlignment="1">
      <alignment horizontal="left"/>
    </xf>
    <xf numFmtId="0" fontId="19" fillId="0" borderId="0" xfId="14" applyBorder="1" applyAlignment="1">
      <alignment horizontal="center" vertical="center"/>
    </xf>
    <xf numFmtId="0" fontId="18" fillId="6" borderId="71" xfId="14" applyFont="1" applyFill="1" applyBorder="1" applyAlignment="1">
      <alignment horizontal="center"/>
    </xf>
    <xf numFmtId="0" fontId="18" fillId="6" borderId="72" xfId="14" applyFont="1" applyFill="1" applyBorder="1" applyAlignment="1">
      <alignment horizontal="center"/>
    </xf>
    <xf numFmtId="0" fontId="18" fillId="6" borderId="73" xfId="14" applyFont="1" applyFill="1" applyBorder="1" applyAlignment="1">
      <alignment horizontal="center"/>
    </xf>
    <xf numFmtId="0" fontId="18" fillId="6" borderId="74" xfId="14" applyFont="1" applyFill="1" applyBorder="1" applyAlignment="1">
      <alignment horizontal="center"/>
    </xf>
    <xf numFmtId="0" fontId="18" fillId="6" borderId="75" xfId="14" applyFont="1" applyFill="1" applyBorder="1" applyAlignment="1">
      <alignment horizontal="center"/>
    </xf>
    <xf numFmtId="0" fontId="18" fillId="6" borderId="76" xfId="14" applyFont="1" applyFill="1" applyBorder="1" applyAlignment="1">
      <alignment horizontal="center"/>
    </xf>
    <xf numFmtId="0" fontId="19" fillId="0" borderId="0" xfId="14" applyBorder="1" applyAlignment="1">
      <alignment horizontal="center"/>
    </xf>
    <xf numFmtId="4" fontId="20" fillId="0" borderId="5" xfId="14" applyNumberFormat="1" applyFont="1" applyBorder="1" applyAlignment="1">
      <alignment horizontal="center"/>
    </xf>
    <xf numFmtId="10" fontId="20" fillId="0" borderId="5" xfId="34" applyNumberFormat="1" applyFont="1" applyBorder="1" applyAlignment="1">
      <alignment horizontal="center"/>
    </xf>
    <xf numFmtId="0" fontId="19" fillId="0" borderId="5" xfId="14" applyBorder="1"/>
    <xf numFmtId="15" fontId="19" fillId="0" borderId="5" xfId="14" applyNumberFormat="1" applyBorder="1" applyAlignment="1">
      <alignment horizontal="center"/>
    </xf>
    <xf numFmtId="4" fontId="19" fillId="0" borderId="5" xfId="14" applyNumberFormat="1" applyBorder="1"/>
    <xf numFmtId="10" fontId="19" fillId="0" borderId="5" xfId="30" applyNumberFormat="1" applyBorder="1"/>
    <xf numFmtId="10" fontId="19" fillId="0" borderId="5" xfId="14" applyNumberFormat="1" applyBorder="1"/>
    <xf numFmtId="0" fontId="116" fillId="9" borderId="0" xfId="12" applyFont="1" applyFill="1" applyAlignment="1">
      <alignment vertical="center"/>
    </xf>
    <xf numFmtId="0" fontId="117" fillId="0" borderId="0" xfId="12" applyNumberFormat="1" applyFont="1" applyFill="1"/>
    <xf numFmtId="4" fontId="116" fillId="4" borderId="17" xfId="12" applyNumberFormat="1" applyFont="1" applyFill="1" applyBorder="1" applyAlignment="1">
      <alignment vertical="center"/>
    </xf>
    <xf numFmtId="4" fontId="147" fillId="0" borderId="10" xfId="12" applyNumberFormat="1" applyFont="1" applyBorder="1" applyAlignment="1">
      <alignment horizontal="center" vertical="center"/>
    </xf>
    <xf numFmtId="164" fontId="116" fillId="0" borderId="0" xfId="2" applyFont="1" applyFill="1" applyBorder="1" applyAlignment="1">
      <alignment horizontal="center" vertical="center"/>
    </xf>
    <xf numFmtId="4" fontId="116" fillId="0" borderId="0" xfId="12" applyNumberFormat="1" applyFont="1" applyFill="1" applyBorder="1" applyAlignment="1">
      <alignment horizontal="center" vertical="center"/>
    </xf>
    <xf numFmtId="10" fontId="116" fillId="0" borderId="0" xfId="12" applyNumberFormat="1" applyFont="1" applyFill="1" applyBorder="1" applyAlignment="1">
      <alignment horizontal="center" vertical="center"/>
    </xf>
    <xf numFmtId="0" fontId="117" fillId="0" borderId="0" xfId="12" applyFont="1" applyFill="1" applyBorder="1" applyAlignment="1">
      <alignment horizontal="center" vertical="center" wrapText="1"/>
    </xf>
    <xf numFmtId="10" fontId="116" fillId="0" borderId="0" xfId="29" applyNumberFormat="1" applyFont="1" applyFill="1" applyBorder="1" applyAlignment="1">
      <alignment horizontal="center" vertical="center"/>
    </xf>
    <xf numFmtId="164" fontId="116" fillId="0" borderId="0" xfId="12" applyNumberFormat="1" applyFont="1" applyFill="1" applyBorder="1" applyAlignment="1">
      <alignment horizontal="center" vertical="center"/>
    </xf>
    <xf numFmtId="9" fontId="116" fillId="0" borderId="0" xfId="29" applyFont="1" applyFill="1" applyBorder="1" applyAlignment="1">
      <alignment horizontal="center" vertical="center"/>
    </xf>
    <xf numFmtId="4" fontId="162" fillId="0" borderId="0" xfId="12" applyNumberFormat="1" applyFont="1" applyFill="1" applyBorder="1" applyAlignment="1">
      <alignment horizontal="center" vertical="center"/>
    </xf>
    <xf numFmtId="0" fontId="19" fillId="0" borderId="46" xfId="14" applyBorder="1" applyAlignment="1">
      <alignment vertical="center"/>
    </xf>
    <xf numFmtId="179" fontId="45" fillId="0" borderId="0" xfId="12" applyNumberFormat="1" applyFont="1" applyAlignment="1">
      <alignment horizontal="right"/>
    </xf>
    <xf numFmtId="0" fontId="45" fillId="0" borderId="0" xfId="12" applyFont="1" applyFill="1" applyAlignment="1">
      <alignment horizontal="center"/>
    </xf>
    <xf numFmtId="4" fontId="133" fillId="0" borderId="0" xfId="0" applyNumberFormat="1" applyFont="1" applyFill="1" applyAlignment="1">
      <alignment vertical="top"/>
    </xf>
    <xf numFmtId="4" fontId="16" fillId="0" borderId="5" xfId="12" applyNumberFormat="1" applyFont="1" applyFill="1" applyBorder="1" applyAlignment="1">
      <alignment horizontal="center"/>
    </xf>
    <xf numFmtId="0" fontId="132" fillId="4" borderId="0" xfId="12" applyFont="1" applyFill="1" applyAlignment="1">
      <alignment vertical="center"/>
    </xf>
    <xf numFmtId="0" fontId="45" fillId="4" borderId="0" xfId="12" applyFont="1" applyFill="1" applyAlignment="1">
      <alignment vertical="center"/>
    </xf>
    <xf numFmtId="164" fontId="136" fillId="4" borderId="4" xfId="40" applyFont="1" applyFill="1" applyBorder="1" applyAlignment="1">
      <alignment horizontal="right" vertical="center"/>
    </xf>
    <xf numFmtId="164" fontId="136" fillId="4" borderId="5" xfId="40" applyFont="1" applyFill="1" applyBorder="1" applyAlignment="1">
      <alignment horizontal="right" vertical="center"/>
    </xf>
    <xf numFmtId="4" fontId="139" fillId="4" borderId="4" xfId="0" applyNumberFormat="1" applyFont="1" applyFill="1" applyBorder="1" applyAlignment="1">
      <alignment vertical="center"/>
    </xf>
    <xf numFmtId="4" fontId="139" fillId="4" borderId="5" xfId="0" applyNumberFormat="1" applyFont="1" applyFill="1" applyBorder="1" applyAlignment="1">
      <alignment vertical="center"/>
    </xf>
    <xf numFmtId="0" fontId="44" fillId="4" borderId="4" xfId="0" applyFont="1" applyFill="1" applyBorder="1" applyAlignment="1">
      <alignment vertical="center"/>
    </xf>
    <xf numFmtId="0" fontId="44" fillId="4" borderId="5" xfId="0" applyFont="1" applyFill="1" applyBorder="1" applyAlignment="1">
      <alignment vertical="center"/>
    </xf>
    <xf numFmtId="4" fontId="132" fillId="4" borderId="0" xfId="12" applyNumberFormat="1" applyFont="1" applyFill="1" applyAlignment="1">
      <alignment vertical="center"/>
    </xf>
    <xf numFmtId="4" fontId="45" fillId="4" borderId="0" xfId="12" applyNumberFormat="1" applyFont="1" applyFill="1" applyAlignment="1">
      <alignment vertical="center"/>
    </xf>
    <xf numFmtId="4" fontId="140" fillId="4" borderId="0" xfId="12" applyNumberFormat="1" applyFont="1" applyFill="1" applyAlignment="1">
      <alignment vertical="center"/>
    </xf>
    <xf numFmtId="4" fontId="45" fillId="4" borderId="4" xfId="12" applyNumberFormat="1" applyFont="1" applyFill="1" applyBorder="1" applyAlignment="1">
      <alignment horizontal="center" vertical="center"/>
    </xf>
    <xf numFmtId="4" fontId="45" fillId="4" borderId="4" xfId="12" applyNumberFormat="1" applyFont="1" applyFill="1" applyBorder="1" applyAlignment="1">
      <alignment vertical="center"/>
    </xf>
    <xf numFmtId="10" fontId="45" fillId="4" borderId="6" xfId="12" applyNumberFormat="1" applyFont="1" applyFill="1" applyBorder="1" applyAlignment="1">
      <alignment vertical="center"/>
    </xf>
    <xf numFmtId="0" fontId="45" fillId="0" borderId="0" xfId="12" applyFont="1" applyFill="1" applyAlignment="1">
      <alignment vertical="center"/>
    </xf>
    <xf numFmtId="4" fontId="17" fillId="0" borderId="2" xfId="12" applyNumberFormat="1" applyFont="1" applyFill="1" applyBorder="1" applyAlignment="1">
      <alignment horizontal="center"/>
    </xf>
    <xf numFmtId="4" fontId="17" fillId="0" borderId="5" xfId="12" applyNumberFormat="1" applyFont="1" applyFill="1" applyBorder="1" applyAlignment="1">
      <alignment horizontal="center"/>
    </xf>
    <xf numFmtId="4" fontId="17" fillId="0" borderId="8" xfId="12" applyNumberFormat="1" applyFont="1" applyFill="1" applyBorder="1" applyAlignment="1">
      <alignment horizontal="center"/>
    </xf>
    <xf numFmtId="0" fontId="18" fillId="0" borderId="13" xfId="12" applyNumberFormat="1" applyFont="1" applyFill="1" applyBorder="1" applyAlignment="1">
      <alignment horizontal="center"/>
    </xf>
    <xf numFmtId="0" fontId="45" fillId="4" borderId="0" xfId="12" applyFont="1" applyFill="1" applyAlignment="1">
      <alignment horizontal="center" vertical="center"/>
    </xf>
    <xf numFmtId="0" fontId="132" fillId="4" borderId="0" xfId="12" applyFont="1" applyFill="1" applyAlignment="1">
      <alignment horizontal="center" vertical="center"/>
    </xf>
    <xf numFmtId="4" fontId="45" fillId="4" borderId="0" xfId="12" applyNumberFormat="1" applyFont="1" applyFill="1" applyAlignment="1">
      <alignment horizontal="center" vertical="center"/>
    </xf>
    <xf numFmtId="4" fontId="45" fillId="4" borderId="0" xfId="12" applyNumberFormat="1" applyFont="1" applyFill="1" applyAlignment="1">
      <alignment horizontal="center"/>
    </xf>
    <xf numFmtId="0" fontId="45" fillId="23" borderId="0" xfId="12" applyFont="1" applyFill="1" applyAlignment="1">
      <alignment horizontal="center"/>
    </xf>
    <xf numFmtId="4" fontId="22" fillId="23" borderId="0" xfId="12" applyNumberFormat="1" applyFont="1" applyFill="1" applyAlignment="1">
      <alignment horizontal="center"/>
    </xf>
    <xf numFmtId="10" fontId="22" fillId="23" borderId="0" xfId="41" applyNumberFormat="1" applyFont="1" applyFill="1" applyAlignment="1">
      <alignment horizontal="center"/>
    </xf>
    <xf numFmtId="0" fontId="45" fillId="23" borderId="0" xfId="12" applyFont="1" applyFill="1"/>
    <xf numFmtId="176" fontId="16" fillId="4" borderId="5" xfId="12" applyNumberFormat="1" applyFont="1" applyFill="1" applyBorder="1" applyAlignment="1">
      <alignment horizontal="center"/>
    </xf>
    <xf numFmtId="15" fontId="19" fillId="4" borderId="5" xfId="14" applyNumberFormat="1" applyFill="1" applyBorder="1" applyAlignment="1">
      <alignment horizontal="center"/>
    </xf>
    <xf numFmtId="4" fontId="19" fillId="4" borderId="5" xfId="14" applyNumberFormat="1" applyFill="1" applyBorder="1"/>
    <xf numFmtId="10" fontId="19" fillId="4" borderId="5" xfId="30" applyNumberFormat="1" applyFill="1" applyBorder="1"/>
    <xf numFmtId="10" fontId="19" fillId="4" borderId="5" xfId="14" applyNumberFormat="1" applyFill="1" applyBorder="1"/>
    <xf numFmtId="10" fontId="20" fillId="4" borderId="5" xfId="34" applyNumberFormat="1" applyFont="1" applyFill="1" applyBorder="1" applyAlignment="1">
      <alignment horizontal="center"/>
    </xf>
    <xf numFmtId="10" fontId="19" fillId="4" borderId="0" xfId="34" applyNumberFormat="1" applyFont="1" applyFill="1" applyBorder="1" applyAlignment="1">
      <alignment horizontal="center"/>
    </xf>
    <xf numFmtId="0" fontId="19" fillId="4" borderId="0" xfId="14" applyFill="1"/>
    <xf numFmtId="4" fontId="19" fillId="4" borderId="0" xfId="14" applyNumberFormat="1" applyFill="1"/>
    <xf numFmtId="14" fontId="20" fillId="4" borderId="0" xfId="12" applyNumberFormat="1" applyFont="1" applyFill="1" applyAlignment="1">
      <alignment horizontal="left" vertical="center"/>
    </xf>
    <xf numFmtId="164" fontId="22" fillId="0" borderId="0" xfId="40" applyFont="1" applyFill="1" applyAlignment="1">
      <alignment horizontal="center"/>
    </xf>
    <xf numFmtId="0" fontId="160" fillId="0" borderId="0" xfId="12" applyFont="1" applyAlignment="1">
      <alignment horizontal="center" vertical="center"/>
    </xf>
    <xf numFmtId="0" fontId="116" fillId="0" borderId="0" xfId="42" applyFont="1" applyAlignment="1">
      <alignment horizontal="center" vertical="center"/>
    </xf>
    <xf numFmtId="0" fontId="116" fillId="9" borderId="0" xfId="42" applyFont="1" applyFill="1" applyBorder="1" applyAlignment="1">
      <alignment vertical="center"/>
    </xf>
    <xf numFmtId="0" fontId="116" fillId="0" borderId="0" xfId="42" applyFont="1" applyFill="1" applyBorder="1" applyAlignment="1">
      <alignment horizontal="center" vertical="center"/>
    </xf>
    <xf numFmtId="0" fontId="116" fillId="0" borderId="0" xfId="42" applyFont="1" applyFill="1" applyBorder="1" applyAlignment="1">
      <alignment vertical="center"/>
    </xf>
    <xf numFmtId="0" fontId="116" fillId="0" borderId="0" xfId="42" applyFont="1" applyBorder="1" applyAlignment="1">
      <alignment horizontal="center" vertical="center"/>
    </xf>
    <xf numFmtId="0" fontId="116" fillId="9" borderId="0" xfId="42" applyFont="1" applyFill="1" applyBorder="1"/>
    <xf numFmtId="0" fontId="116" fillId="0" borderId="0" xfId="42" applyFont="1" applyFill="1"/>
    <xf numFmtId="0" fontId="116" fillId="0" borderId="0" xfId="42" applyFont="1" applyAlignment="1">
      <alignment vertical="center"/>
    </xf>
    <xf numFmtId="0" fontId="117" fillId="0" borderId="0" xfId="42" applyFont="1" applyAlignment="1">
      <alignment vertical="center"/>
    </xf>
    <xf numFmtId="0" fontId="117" fillId="0" borderId="0" xfId="42" applyFont="1" applyAlignment="1">
      <alignment horizontal="center" vertical="center"/>
    </xf>
    <xf numFmtId="0" fontId="116" fillId="0" borderId="0" xfId="42" applyFont="1"/>
    <xf numFmtId="0" fontId="116" fillId="0" borderId="0" xfId="42" applyFont="1" applyAlignment="1">
      <alignment horizontal="left" vertical="center"/>
    </xf>
    <xf numFmtId="0" fontId="117" fillId="0" borderId="0" xfId="42" applyFont="1" applyFill="1" applyAlignment="1">
      <alignment horizontal="center" vertical="center"/>
    </xf>
    <xf numFmtId="0" fontId="116" fillId="0" borderId="0" xfId="42" applyFont="1" applyFill="1" applyAlignment="1">
      <alignment horizontal="center" vertical="center"/>
    </xf>
    <xf numFmtId="0" fontId="116" fillId="0" borderId="0" xfId="42" applyFont="1" applyFill="1" applyAlignment="1">
      <alignment vertical="center"/>
    </xf>
    <xf numFmtId="4" fontId="116" fillId="4" borderId="10" xfId="12" applyNumberFormat="1" applyFont="1" applyFill="1" applyBorder="1" applyAlignment="1">
      <alignment vertical="center"/>
    </xf>
    <xf numFmtId="171" fontId="148" fillId="0" borderId="0" xfId="58" applyNumberFormat="1" applyFont="1" applyAlignment="1"/>
    <xf numFmtId="167" fontId="148" fillId="4" borderId="0" xfId="58" applyNumberFormat="1" applyFont="1" applyFill="1" applyAlignment="1"/>
    <xf numFmtId="0" fontId="148" fillId="0" borderId="0" xfId="58" applyFont="1" applyAlignment="1"/>
    <xf numFmtId="0" fontId="148" fillId="4" borderId="0" xfId="58" applyFont="1" applyFill="1" applyAlignment="1"/>
    <xf numFmtId="0" fontId="146" fillId="4" borderId="0" xfId="12" applyFont="1" applyFill="1" applyAlignment="1">
      <alignment horizontal="center" vertical="center"/>
    </xf>
    <xf numFmtId="0" fontId="146" fillId="7" borderId="0" xfId="12" applyFont="1" applyFill="1" applyAlignment="1">
      <alignment horizontal="center" vertical="center"/>
    </xf>
    <xf numFmtId="4" fontId="52" fillId="0" borderId="0" xfId="0" applyNumberFormat="1" applyFont="1"/>
    <xf numFmtId="14" fontId="45" fillId="25" borderId="0" xfId="12" applyNumberFormat="1" applyFont="1" applyFill="1" applyAlignment="1">
      <alignment horizontal="left"/>
    </xf>
    <xf numFmtId="1" fontId="45" fillId="25" borderId="0" xfId="12" applyNumberFormat="1" applyFont="1" applyFill="1" applyAlignment="1">
      <alignment horizontal="left"/>
    </xf>
    <xf numFmtId="4" fontId="45" fillId="25" borderId="0" xfId="12" applyNumberFormat="1" applyFont="1" applyFill="1"/>
    <xf numFmtId="0" fontId="20" fillId="25" borderId="13" xfId="12" applyNumberFormat="1" applyFont="1" applyFill="1" applyBorder="1" applyAlignment="1">
      <alignment horizontal="center" vertical="center"/>
    </xf>
    <xf numFmtId="4" fontId="22" fillId="25" borderId="0" xfId="12" applyNumberFormat="1" applyFont="1" applyFill="1"/>
    <xf numFmtId="0" fontId="22" fillId="25" borderId="0" xfId="12" applyFont="1" applyFill="1" applyAlignment="1"/>
    <xf numFmtId="4" fontId="139" fillId="4" borderId="9" xfId="0" applyNumberFormat="1" applyFont="1" applyFill="1" applyBorder="1" applyAlignment="1">
      <alignment vertical="center"/>
    </xf>
    <xf numFmtId="180" fontId="22" fillId="4" borderId="0" xfId="12" applyNumberFormat="1" applyFont="1" applyFill="1"/>
    <xf numFmtId="164" fontId="136" fillId="4" borderId="17" xfId="40" applyFont="1" applyFill="1" applyBorder="1" applyAlignment="1">
      <alignment horizontal="right" vertical="center"/>
    </xf>
    <xf numFmtId="4" fontId="139" fillId="4" borderId="17" xfId="0" applyNumberFormat="1" applyFont="1" applyFill="1" applyBorder="1" applyAlignment="1">
      <alignment vertical="center"/>
    </xf>
    <xf numFmtId="0" fontId="44" fillId="4" borderId="17" xfId="0" applyFont="1" applyFill="1" applyBorder="1" applyAlignment="1">
      <alignment vertical="center"/>
    </xf>
    <xf numFmtId="10" fontId="147" fillId="0" borderId="9" xfId="29" applyNumberFormat="1" applyFont="1" applyFill="1" applyBorder="1" applyAlignment="1">
      <alignment horizontal="center" vertical="center"/>
    </xf>
    <xf numFmtId="10" fontId="147" fillId="0" borderId="17" xfId="29" applyNumberFormat="1" applyFont="1" applyFill="1" applyBorder="1" applyAlignment="1">
      <alignment horizontal="center" vertical="center"/>
    </xf>
    <xf numFmtId="0" fontId="116" fillId="0" borderId="0" xfId="12" applyFont="1" applyBorder="1" applyAlignment="1">
      <alignment vertical="center"/>
    </xf>
    <xf numFmtId="0" fontId="116" fillId="0" borderId="0" xfId="12" applyFont="1" applyAlignment="1">
      <alignment horizontal="center" vertical="center"/>
    </xf>
    <xf numFmtId="164" fontId="116" fillId="0" borderId="0" xfId="12" applyNumberFormat="1" applyFont="1" applyAlignment="1">
      <alignment horizontal="center" vertical="center"/>
    </xf>
    <xf numFmtId="4" fontId="147" fillId="4" borderId="9" xfId="12" applyNumberFormat="1" applyFont="1" applyFill="1" applyBorder="1" applyAlignment="1">
      <alignment horizontal="center" vertical="center"/>
    </xf>
    <xf numFmtId="4" fontId="147" fillId="4" borderId="10" xfId="12" applyNumberFormat="1" applyFont="1" applyFill="1" applyBorder="1" applyAlignment="1">
      <alignment horizontal="center" vertical="center"/>
    </xf>
    <xf numFmtId="4" fontId="147" fillId="4" borderId="17" xfId="12" applyNumberFormat="1" applyFont="1" applyFill="1" applyBorder="1" applyAlignment="1">
      <alignment horizontal="center" vertical="center"/>
    </xf>
    <xf numFmtId="10" fontId="147" fillId="4" borderId="9" xfId="29" applyNumberFormat="1" applyFont="1" applyFill="1" applyBorder="1" applyAlignment="1">
      <alignment horizontal="center" vertical="center"/>
    </xf>
    <xf numFmtId="10" fontId="147" fillId="4" borderId="17" xfId="29" applyNumberFormat="1" applyFont="1" applyFill="1" applyBorder="1" applyAlignment="1">
      <alignment horizontal="center" vertical="center"/>
    </xf>
    <xf numFmtId="10" fontId="147" fillId="4" borderId="58" xfId="29" applyNumberFormat="1" applyFont="1" applyFill="1" applyBorder="1" applyAlignment="1">
      <alignment horizontal="center" vertical="center"/>
    </xf>
    <xf numFmtId="4" fontId="147" fillId="0" borderId="9" xfId="12" applyNumberFormat="1" applyFont="1" applyFill="1" applyBorder="1" applyAlignment="1">
      <alignment horizontal="center" vertical="center"/>
    </xf>
    <xf numFmtId="4" fontId="147" fillId="0" borderId="10" xfId="12" applyNumberFormat="1" applyFont="1" applyFill="1" applyBorder="1" applyAlignment="1">
      <alignment horizontal="center" vertical="center"/>
    </xf>
    <xf numFmtId="4" fontId="147" fillId="0" borderId="17" xfId="12" applyNumberFormat="1" applyFont="1" applyFill="1" applyBorder="1" applyAlignment="1">
      <alignment horizontal="center" vertical="center"/>
    </xf>
    <xf numFmtId="164" fontId="147" fillId="4" borderId="9" xfId="12" applyNumberFormat="1" applyFont="1" applyFill="1" applyBorder="1" applyAlignment="1">
      <alignment horizontal="center" vertical="center"/>
    </xf>
    <xf numFmtId="164" fontId="147" fillId="4" borderId="10" xfId="12" applyNumberFormat="1" applyFont="1" applyFill="1" applyBorder="1" applyAlignment="1">
      <alignment horizontal="center" vertical="center"/>
    </xf>
    <xf numFmtId="164" fontId="147" fillId="4" borderId="17" xfId="12" applyNumberFormat="1" applyFont="1" applyFill="1" applyBorder="1" applyAlignment="1">
      <alignment horizontal="center" vertical="center"/>
    </xf>
    <xf numFmtId="4" fontId="46" fillId="0" borderId="13" xfId="12" applyNumberFormat="1" applyFont="1" applyFill="1" applyBorder="1" applyAlignment="1">
      <alignment horizontal="center" vertical="center"/>
    </xf>
    <xf numFmtId="0" fontId="45" fillId="4" borderId="0" xfId="12" applyFont="1" applyFill="1" applyAlignment="1">
      <alignment horizontal="left" vertical="center"/>
    </xf>
    <xf numFmtId="0" fontId="116" fillId="9" borderId="0" xfId="42" applyFont="1" applyFill="1" applyAlignment="1">
      <alignment horizontal="left" vertical="center"/>
    </xf>
    <xf numFmtId="0" fontId="128" fillId="9" borderId="0" xfId="42" applyFont="1" applyFill="1" applyAlignment="1">
      <alignment horizontal="left" vertical="center"/>
    </xf>
    <xf numFmtId="164" fontId="117" fillId="0" borderId="5" xfId="2" applyFont="1" applyBorder="1" applyAlignment="1">
      <alignment vertical="center"/>
    </xf>
    <xf numFmtId="0" fontId="117" fillId="10" borderId="5" xfId="12" applyFont="1" applyFill="1" applyBorder="1" applyAlignment="1">
      <alignment horizontal="center" vertical="center"/>
    </xf>
    <xf numFmtId="164" fontId="116" fillId="0" borderId="5" xfId="2" applyFont="1" applyBorder="1" applyAlignment="1">
      <alignment vertical="center"/>
    </xf>
    <xf numFmtId="164" fontId="116" fillId="0" borderId="5" xfId="2" applyNumberFormat="1" applyFont="1" applyBorder="1" applyAlignment="1">
      <alignment vertical="center"/>
    </xf>
    <xf numFmtId="4" fontId="116" fillId="4" borderId="5" xfId="12" applyNumberFormat="1" applyFont="1" applyFill="1" applyBorder="1" applyAlignment="1">
      <alignment vertical="center"/>
    </xf>
    <xf numFmtId="0" fontId="116" fillId="0" borderId="5" xfId="42" applyFont="1" applyBorder="1"/>
    <xf numFmtId="166" fontId="117" fillId="0" borderId="5" xfId="12" applyNumberFormat="1" applyFont="1" applyBorder="1" applyAlignment="1">
      <alignment vertical="center"/>
    </xf>
    <xf numFmtId="0" fontId="116" fillId="0" borderId="0" xfId="42" applyFont="1" applyFill="1" applyBorder="1" applyAlignment="1">
      <alignment horizontal="center" vertical="center" wrapText="1"/>
    </xf>
    <xf numFmtId="0" fontId="116" fillId="0" borderId="0" xfId="42" applyFont="1" applyFill="1" applyAlignment="1">
      <alignment horizontal="right"/>
    </xf>
    <xf numFmtId="0" fontId="116" fillId="9" borderId="0" xfId="42" applyFont="1" applyFill="1"/>
    <xf numFmtId="0" fontId="116" fillId="9" borderId="0" xfId="42" applyFont="1" applyFill="1" applyBorder="1" applyAlignment="1">
      <alignment vertical="top"/>
    </xf>
    <xf numFmtId="0" fontId="116" fillId="4" borderId="0" xfId="42" applyFont="1" applyFill="1" applyBorder="1" applyAlignment="1">
      <alignment vertical="top" wrapText="1"/>
    </xf>
    <xf numFmtId="9" fontId="116" fillId="0" borderId="0" xfId="27" applyFont="1"/>
    <xf numFmtId="4" fontId="117" fillId="0" borderId="0" xfId="42" applyNumberFormat="1" applyFont="1"/>
    <xf numFmtId="0" fontId="117" fillId="0" borderId="0" xfId="42" applyFont="1"/>
    <xf numFmtId="0" fontId="116" fillId="4" borderId="0" xfId="42" applyFont="1" applyFill="1"/>
    <xf numFmtId="0" fontId="116" fillId="7" borderId="0" xfId="42" applyFont="1" applyFill="1"/>
    <xf numFmtId="164" fontId="116" fillId="0" borderId="0" xfId="42" applyNumberFormat="1" applyFont="1"/>
    <xf numFmtId="0" fontId="117" fillId="9" borderId="0" xfId="42" applyFont="1" applyFill="1" applyBorder="1"/>
    <xf numFmtId="0" fontId="116" fillId="0" borderId="5" xfId="42" applyFont="1" applyBorder="1" applyAlignment="1">
      <alignment horizontal="center" vertical="center"/>
    </xf>
    <xf numFmtId="0" fontId="130" fillId="0" borderId="0" xfId="42" applyFont="1" applyFill="1" applyBorder="1" applyAlignment="1">
      <alignment horizontal="center" vertical="center"/>
    </xf>
    <xf numFmtId="4" fontId="116" fillId="0" borderId="0" xfId="42" applyNumberFormat="1" applyFont="1"/>
    <xf numFmtId="164" fontId="116" fillId="0" borderId="0" xfId="2" applyFont="1"/>
    <xf numFmtId="0" fontId="116" fillId="4" borderId="0" xfId="42" applyFont="1" applyFill="1" applyAlignment="1">
      <alignment horizontal="center" vertical="center"/>
    </xf>
    <xf numFmtId="0" fontId="116" fillId="4" borderId="0" xfId="42" applyFont="1" applyFill="1" applyBorder="1" applyAlignment="1">
      <alignment vertical="top"/>
    </xf>
    <xf numFmtId="0" fontId="116" fillId="0" borderId="0" xfId="42" applyFont="1" applyBorder="1" applyAlignment="1">
      <alignment horizontal="left" vertical="center" wrapText="1"/>
    </xf>
    <xf numFmtId="10" fontId="160" fillId="0" borderId="0" xfId="41" applyNumberFormat="1" applyFont="1" applyAlignment="1">
      <alignment horizontal="center" vertical="center"/>
    </xf>
    <xf numFmtId="164" fontId="19" fillId="0" borderId="0" xfId="2" applyFont="1" applyBorder="1" applyAlignment="1">
      <alignment horizontal="center"/>
    </xf>
    <xf numFmtId="0" fontId="75" fillId="4" borderId="1" xfId="0" applyFont="1" applyFill="1" applyBorder="1" applyAlignment="1" applyProtection="1">
      <alignment vertical="center"/>
      <protection locked="0"/>
    </xf>
    <xf numFmtId="0" fontId="75" fillId="4" borderId="2" xfId="0" applyFont="1" applyFill="1" applyBorder="1" applyAlignment="1" applyProtection="1">
      <alignment vertical="center"/>
      <protection locked="0"/>
    </xf>
    <xf numFmtId="0" fontId="75" fillId="4" borderId="3" xfId="0" applyFont="1" applyFill="1" applyBorder="1" applyAlignment="1" applyProtection="1">
      <alignment vertical="center"/>
      <protection locked="0"/>
    </xf>
    <xf numFmtId="0" fontId="136" fillId="4" borderId="4" xfId="0" applyFont="1" applyFill="1" applyBorder="1" applyAlignment="1" applyProtection="1">
      <alignment horizontal="left" vertical="center"/>
      <protection locked="0"/>
    </xf>
    <xf numFmtId="4" fontId="159" fillId="4" borderId="4" xfId="0" applyNumberFormat="1" applyFont="1" applyFill="1" applyBorder="1" applyAlignment="1">
      <alignment vertical="top"/>
    </xf>
    <xf numFmtId="0" fontId="93" fillId="4" borderId="5" xfId="0" applyFont="1" applyFill="1" applyBorder="1" applyAlignment="1" applyProtection="1">
      <alignment horizontal="left" vertical="center" wrapText="1"/>
      <protection locked="0"/>
    </xf>
    <xf numFmtId="0" fontId="20" fillId="4" borderId="4" xfId="0" applyFont="1" applyFill="1" applyBorder="1" applyAlignment="1" applyProtection="1">
      <alignment vertical="center"/>
      <protection locked="0"/>
    </xf>
    <xf numFmtId="0" fontId="20" fillId="4" borderId="5" xfId="0" applyFont="1" applyFill="1" applyBorder="1" applyAlignment="1" applyProtection="1">
      <alignment vertical="center"/>
      <protection locked="0"/>
    </xf>
    <xf numFmtId="0" fontId="20" fillId="4" borderId="6" xfId="0" applyFont="1" applyFill="1" applyBorder="1" applyAlignment="1" applyProtection="1">
      <alignment horizontal="center" vertical="center"/>
      <protection locked="0"/>
    </xf>
    <xf numFmtId="4" fontId="44" fillId="4" borderId="4" xfId="0" applyNumberFormat="1" applyFont="1" applyFill="1" applyBorder="1" applyAlignment="1">
      <alignment vertical="center"/>
    </xf>
    <xf numFmtId="4" fontId="44" fillId="4" borderId="5" xfId="0" applyNumberFormat="1" applyFont="1" applyFill="1" applyBorder="1" applyAlignment="1">
      <alignment vertical="center"/>
    </xf>
    <xf numFmtId="164" fontId="44" fillId="4" borderId="5" xfId="40" applyFont="1" applyFill="1" applyBorder="1" applyAlignment="1">
      <alignment vertical="center"/>
    </xf>
    <xf numFmtId="0" fontId="137" fillId="4" borderId="4" xfId="0" applyFont="1" applyFill="1" applyBorder="1" applyAlignment="1" applyProtection="1">
      <alignment vertical="center"/>
      <protection locked="0"/>
    </xf>
    <xf numFmtId="0" fontId="137" fillId="4" borderId="5" xfId="0" applyFont="1" applyFill="1" applyBorder="1" applyAlignment="1" applyProtection="1">
      <alignment vertical="center"/>
      <protection locked="0"/>
    </xf>
    <xf numFmtId="0" fontId="137" fillId="4" borderId="6" xfId="0" applyFont="1" applyFill="1" applyBorder="1" applyAlignment="1" applyProtection="1">
      <alignment horizontal="center" vertical="center"/>
      <protection locked="0"/>
    </xf>
    <xf numFmtId="0" fontId="18" fillId="4" borderId="4" xfId="0" applyFont="1" applyFill="1" applyBorder="1" applyAlignment="1" applyProtection="1">
      <alignment vertical="center"/>
      <protection locked="0"/>
    </xf>
    <xf numFmtId="0" fontId="18" fillId="4" borderId="5" xfId="0" applyFont="1" applyFill="1" applyBorder="1" applyAlignment="1" applyProtection="1">
      <alignment vertical="center"/>
      <protection locked="0"/>
    </xf>
    <xf numFmtId="0" fontId="18" fillId="4" borderId="6" xfId="0" applyFont="1" applyFill="1" applyBorder="1" applyAlignment="1" applyProtection="1">
      <alignment horizontal="center" vertical="center"/>
      <protection locked="0"/>
    </xf>
    <xf numFmtId="0" fontId="75" fillId="4" borderId="4" xfId="0" applyFont="1" applyFill="1" applyBorder="1" applyAlignment="1" applyProtection="1">
      <alignment vertical="center"/>
      <protection locked="0"/>
    </xf>
    <xf numFmtId="0" fontId="138" fillId="4" borderId="4" xfId="0" applyFont="1" applyFill="1" applyBorder="1" applyAlignment="1" applyProtection="1">
      <alignment vertical="center"/>
      <protection locked="0"/>
    </xf>
    <xf numFmtId="0" fontId="138" fillId="4" borderId="5" xfId="0" applyFont="1" applyFill="1" applyBorder="1" applyAlignment="1" applyProtection="1">
      <alignment vertical="center"/>
      <protection locked="0"/>
    </xf>
    <xf numFmtId="0" fontId="138" fillId="4" borderId="6" xfId="0" applyFont="1" applyFill="1" applyBorder="1" applyAlignment="1" applyProtection="1">
      <alignment horizontal="center" vertical="center"/>
      <protection locked="0"/>
    </xf>
    <xf numFmtId="4" fontId="139" fillId="4" borderId="36" xfId="0" applyNumberFormat="1" applyFont="1" applyFill="1" applyBorder="1" applyAlignment="1">
      <alignment vertical="center"/>
    </xf>
    <xf numFmtId="4" fontId="139" fillId="4" borderId="10" xfId="0" applyNumberFormat="1" applyFont="1" applyFill="1" applyBorder="1" applyAlignment="1">
      <alignment vertical="center"/>
    </xf>
    <xf numFmtId="4" fontId="139" fillId="4" borderId="5" xfId="0" applyNumberFormat="1" applyFont="1" applyFill="1" applyBorder="1" applyAlignment="1">
      <alignment vertical="top"/>
    </xf>
    <xf numFmtId="0" fontId="93" fillId="4" borderId="4" xfId="0" quotePrefix="1" applyFont="1" applyFill="1" applyBorder="1" applyAlignment="1" applyProtection="1">
      <alignment vertical="center"/>
      <protection locked="0"/>
    </xf>
    <xf numFmtId="0" fontId="93" fillId="4" borderId="9" xfId="0" applyFont="1" applyFill="1" applyBorder="1" applyAlignment="1" applyProtection="1">
      <alignment vertical="center"/>
      <protection locked="0"/>
    </xf>
    <xf numFmtId="0" fontId="24" fillId="4" borderId="0" xfId="12" applyFont="1" applyFill="1" applyBorder="1" applyAlignment="1" applyProtection="1">
      <alignment vertical="center"/>
      <protection locked="0"/>
    </xf>
    <xf numFmtId="0" fontId="18" fillId="4" borderId="0" xfId="12" applyNumberFormat="1" applyFont="1" applyFill="1" applyBorder="1" applyAlignment="1">
      <alignment horizontal="right"/>
    </xf>
    <xf numFmtId="0" fontId="20" fillId="4" borderId="0" xfId="12" applyNumberFormat="1" applyFont="1" applyFill="1" applyBorder="1" applyAlignment="1">
      <alignment horizontal="center"/>
    </xf>
    <xf numFmtId="0" fontId="20" fillId="4" borderId="0" xfId="12" applyNumberFormat="1" applyFont="1" applyFill="1" applyBorder="1" applyAlignment="1">
      <alignment horizontal="center" vertical="center"/>
    </xf>
    <xf numFmtId="0" fontId="20" fillId="25" borderId="0" xfId="12" applyNumberFormat="1" applyFont="1" applyFill="1" applyBorder="1" applyAlignment="1">
      <alignment horizontal="center" vertical="center"/>
    </xf>
    <xf numFmtId="0" fontId="20" fillId="4" borderId="0" xfId="12" applyNumberFormat="1" applyFont="1" applyFill="1" applyBorder="1"/>
    <xf numFmtId="0" fontId="18" fillId="4" borderId="0" xfId="12" applyNumberFormat="1" applyFont="1" applyFill="1" applyBorder="1" applyAlignment="1">
      <alignment horizontal="center"/>
    </xf>
    <xf numFmtId="4" fontId="20" fillId="4" borderId="0" xfId="12" applyNumberFormat="1" applyFont="1" applyFill="1" applyBorder="1" applyAlignment="1">
      <alignment horizontal="center"/>
    </xf>
    <xf numFmtId="0" fontId="18" fillId="23" borderId="0" xfId="12" applyNumberFormat="1" applyFont="1" applyFill="1" applyBorder="1" applyAlignment="1">
      <alignment horizontal="center"/>
    </xf>
    <xf numFmtId="0" fontId="18" fillId="0" borderId="0" xfId="12" applyNumberFormat="1" applyFont="1" applyFill="1" applyBorder="1" applyAlignment="1">
      <alignment horizontal="center"/>
    </xf>
    <xf numFmtId="0" fontId="167" fillId="4" borderId="0" xfId="12" applyFont="1" applyFill="1" applyBorder="1" applyAlignment="1" applyProtection="1">
      <alignment horizontal="right" vertical="center"/>
      <protection locked="0"/>
    </xf>
    <xf numFmtId="0" fontId="53" fillId="4" borderId="0" xfId="12" applyNumberFormat="1" applyFont="1" applyFill="1" applyBorder="1" applyAlignment="1">
      <alignment horizontal="left"/>
    </xf>
    <xf numFmtId="4" fontId="139" fillId="0" borderId="5" xfId="0" applyNumberFormat="1" applyFont="1" applyBorder="1" applyAlignment="1">
      <alignment vertical="top"/>
    </xf>
    <xf numFmtId="4" fontId="139" fillId="0" borderId="25" xfId="0" applyNumberFormat="1" applyFont="1" applyBorder="1" applyAlignment="1">
      <alignment vertical="top"/>
    </xf>
    <xf numFmtId="0" fontId="132" fillId="26" borderId="0" xfId="12" applyFont="1" applyFill="1" applyAlignment="1">
      <alignment horizontal="center"/>
    </xf>
    <xf numFmtId="0" fontId="45" fillId="26" borderId="0" xfId="12" applyFont="1" applyFill="1"/>
    <xf numFmtId="4" fontId="45" fillId="26" borderId="0" xfId="12" applyNumberFormat="1" applyFont="1" applyFill="1"/>
    <xf numFmtId="164" fontId="136" fillId="26" borderId="9" xfId="40" applyFont="1" applyFill="1" applyBorder="1" applyAlignment="1">
      <alignment horizontal="right" vertical="center"/>
    </xf>
    <xf numFmtId="4" fontId="139" fillId="26" borderId="9" xfId="0" applyNumberFormat="1" applyFont="1" applyFill="1" applyBorder="1" applyAlignment="1">
      <alignment vertical="center"/>
    </xf>
    <xf numFmtId="0" fontId="20" fillId="26" borderId="13" xfId="12" applyNumberFormat="1" applyFont="1" applyFill="1" applyBorder="1"/>
    <xf numFmtId="0" fontId="20" fillId="26" borderId="0" xfId="12" applyNumberFormat="1" applyFont="1" applyFill="1" applyBorder="1"/>
    <xf numFmtId="4" fontId="22" fillId="26" borderId="0" xfId="12" applyNumberFormat="1" applyFont="1" applyFill="1"/>
    <xf numFmtId="4" fontId="52" fillId="26" borderId="0" xfId="0" applyNumberFormat="1" applyFont="1" applyFill="1"/>
    <xf numFmtId="0" fontId="22" fillId="26" borderId="0" xfId="12" applyFont="1" applyFill="1" applyAlignment="1"/>
    <xf numFmtId="4" fontId="70" fillId="26" borderId="5" xfId="12" applyNumberFormat="1" applyFont="1" applyFill="1" applyBorder="1" applyAlignment="1">
      <alignment horizontal="center"/>
    </xf>
    <xf numFmtId="164" fontId="20" fillId="26" borderId="0" xfId="40" applyFont="1" applyFill="1" applyBorder="1"/>
    <xf numFmtId="181" fontId="20" fillId="26" borderId="0" xfId="12" applyNumberFormat="1" applyFont="1" applyFill="1" applyBorder="1"/>
    <xf numFmtId="0" fontId="132" fillId="2" borderId="22" xfId="12" applyFont="1" applyFill="1" applyBorder="1" applyAlignment="1">
      <alignment horizontal="center" vertical="center"/>
    </xf>
    <xf numFmtId="0" fontId="132" fillId="2" borderId="53" xfId="12" applyFont="1" applyFill="1" applyBorder="1" applyAlignment="1">
      <alignment horizontal="center" vertical="center"/>
    </xf>
    <xf numFmtId="0" fontId="132" fillId="2" borderId="51" xfId="12" applyFont="1" applyFill="1" applyBorder="1" applyAlignment="1">
      <alignment horizontal="center" vertical="center"/>
    </xf>
    <xf numFmtId="0" fontId="132" fillId="0" borderId="0" xfId="12" applyFont="1" applyAlignment="1">
      <alignment horizontal="center"/>
    </xf>
    <xf numFmtId="0" fontId="18" fillId="0" borderId="5" xfId="12" applyNumberFormat="1" applyFont="1" applyFill="1" applyBorder="1" applyAlignment="1">
      <alignment horizontal="center"/>
    </xf>
    <xf numFmtId="0" fontId="26" fillId="0" borderId="5" xfId="12" applyNumberFormat="1" applyFont="1" applyFill="1" applyBorder="1" applyAlignment="1">
      <alignment horizontal="center"/>
    </xf>
    <xf numFmtId="4" fontId="46" fillId="4" borderId="13" xfId="12" applyNumberFormat="1" applyFont="1" applyFill="1" applyBorder="1" applyAlignment="1">
      <alignment horizontal="center" vertical="center"/>
    </xf>
    <xf numFmtId="0" fontId="39" fillId="0" borderId="0" xfId="12" applyFont="1"/>
    <xf numFmtId="0" fontId="39" fillId="0" borderId="0" xfId="12" applyFont="1" applyAlignment="1">
      <alignment horizontal="center"/>
    </xf>
    <xf numFmtId="0" fontId="140" fillId="0" borderId="0" xfId="12" applyFont="1" applyAlignment="1">
      <alignment horizontal="center"/>
    </xf>
    <xf numFmtId="4" fontId="169" fillId="0" borderId="0" xfId="12" applyNumberFormat="1" applyFont="1" applyFill="1" applyAlignment="1">
      <alignment horizontal="left" vertical="center"/>
    </xf>
    <xf numFmtId="4" fontId="140" fillId="0" borderId="0" xfId="12" applyNumberFormat="1" applyFont="1" applyFill="1" applyAlignment="1">
      <alignment horizontal="center" vertical="center"/>
    </xf>
    <xf numFmtId="0" fontId="169" fillId="0" borderId="0" xfId="12" applyFont="1" applyAlignment="1">
      <alignment horizontal="center" vertical="center"/>
    </xf>
    <xf numFmtId="0" fontId="140" fillId="0" borderId="0" xfId="12" applyFont="1" applyAlignment="1">
      <alignment vertical="top"/>
    </xf>
    <xf numFmtId="0" fontId="169" fillId="0" borderId="0" xfId="12" applyFont="1" applyAlignment="1">
      <alignment horizontal="center"/>
    </xf>
    <xf numFmtId="4" fontId="169" fillId="0" borderId="0" xfId="12" applyNumberFormat="1" applyFont="1" applyFill="1" applyAlignment="1">
      <alignment horizontal="left" vertical="top"/>
    </xf>
    <xf numFmtId="4" fontId="140" fillId="0" borderId="0" xfId="12" applyNumberFormat="1" applyFont="1" applyFill="1" applyAlignment="1">
      <alignment horizontal="center"/>
    </xf>
    <xf numFmtId="14" fontId="140" fillId="0" borderId="0" xfId="12" applyNumberFormat="1" applyFont="1" applyAlignment="1">
      <alignment horizontal="left"/>
    </xf>
    <xf numFmtId="0" fontId="140" fillId="0" borderId="0" xfId="12" applyFont="1" applyFill="1" applyAlignment="1">
      <alignment horizontal="center"/>
    </xf>
    <xf numFmtId="0" fontId="140" fillId="0" borderId="0" xfId="12" applyFont="1"/>
    <xf numFmtId="14" fontId="140" fillId="0" borderId="0" xfId="12" applyNumberFormat="1" applyFont="1" applyAlignment="1">
      <alignment horizontal="center"/>
    </xf>
    <xf numFmtId="4" fontId="140" fillId="0" borderId="0" xfId="12" applyNumberFormat="1" applyFont="1" applyAlignment="1">
      <alignment horizontal="center"/>
    </xf>
    <xf numFmtId="49" fontId="140" fillId="0" borderId="0" xfId="12" applyNumberFormat="1" applyFont="1"/>
    <xf numFmtId="1" fontId="140" fillId="0" borderId="0" xfId="12" applyNumberFormat="1" applyFont="1" applyAlignment="1">
      <alignment horizontal="left"/>
    </xf>
    <xf numFmtId="4" fontId="169" fillId="0" borderId="0" xfId="12" applyNumberFormat="1" applyFont="1" applyAlignment="1">
      <alignment horizontal="center"/>
    </xf>
    <xf numFmtId="0" fontId="169" fillId="2" borderId="21" xfId="12" applyFont="1" applyFill="1" applyBorder="1" applyAlignment="1">
      <alignment horizontal="center" vertical="center"/>
    </xf>
    <xf numFmtId="0" fontId="169" fillId="2" borderId="0" xfId="12" applyFont="1" applyFill="1" applyBorder="1" applyAlignment="1">
      <alignment horizontal="center" vertical="center"/>
    </xf>
    <xf numFmtId="0" fontId="140" fillId="2" borderId="22" xfId="12" applyFont="1" applyFill="1" applyBorder="1" applyAlignment="1">
      <alignment horizontal="center" vertical="center"/>
    </xf>
    <xf numFmtId="0" fontId="169" fillId="2" borderId="22" xfId="12" applyFont="1" applyFill="1" applyBorder="1" applyAlignment="1">
      <alignment horizontal="center" vertical="center"/>
    </xf>
    <xf numFmtId="0" fontId="169" fillId="2" borderId="0" xfId="12" applyFont="1" applyFill="1" applyBorder="1" applyAlignment="1">
      <alignment horizontal="distributed" vertical="center"/>
    </xf>
    <xf numFmtId="0" fontId="170" fillId="0" borderId="38" xfId="42" applyFont="1" applyFill="1" applyBorder="1" applyAlignment="1" applyProtection="1">
      <alignment vertical="center"/>
      <protection locked="0"/>
    </xf>
    <xf numFmtId="4" fontId="170" fillId="0" borderId="49" xfId="42" applyNumberFormat="1" applyFont="1" applyFill="1" applyBorder="1" applyAlignment="1">
      <alignment vertical="center" wrapText="1"/>
    </xf>
    <xf numFmtId="4" fontId="157" fillId="0" borderId="14" xfId="42" applyNumberFormat="1" applyFont="1" applyFill="1" applyBorder="1" applyAlignment="1">
      <alignment horizontal="center" vertical="center"/>
    </xf>
    <xf numFmtId="4" fontId="157" fillId="0" borderId="15" xfId="42" applyNumberFormat="1" applyFont="1" applyFill="1" applyBorder="1" applyAlignment="1">
      <alignment vertical="center"/>
    </xf>
    <xf numFmtId="4" fontId="157" fillId="0" borderId="15" xfId="42" applyNumberFormat="1" applyFont="1" applyFill="1" applyBorder="1" applyAlignment="1">
      <alignment horizontal="center" vertical="center"/>
    </xf>
    <xf numFmtId="164" fontId="100" fillId="0" borderId="59" xfId="3" applyFont="1" applyFill="1" applyBorder="1" applyAlignment="1">
      <alignment horizontal="center" vertical="center"/>
    </xf>
    <xf numFmtId="0" fontId="140" fillId="0" borderId="14" xfId="12" applyFont="1" applyFill="1" applyBorder="1" applyAlignment="1">
      <alignment horizontal="center" vertical="center"/>
    </xf>
    <xf numFmtId="4" fontId="169" fillId="0" borderId="59" xfId="42" applyNumberFormat="1" applyFont="1" applyFill="1" applyBorder="1" applyAlignment="1">
      <alignment horizontal="center" vertical="center"/>
    </xf>
    <xf numFmtId="4" fontId="169" fillId="0" borderId="84" xfId="42" applyNumberFormat="1" applyFont="1" applyFill="1" applyBorder="1" applyAlignment="1">
      <alignment horizontal="center" vertical="center"/>
    </xf>
    <xf numFmtId="0" fontId="169" fillId="0" borderId="14" xfId="12" applyFont="1" applyFill="1" applyBorder="1" applyAlignment="1">
      <alignment horizontal="center" vertical="center"/>
    </xf>
    <xf numFmtId="4" fontId="169" fillId="0" borderId="15" xfId="42" applyNumberFormat="1" applyFont="1" applyFill="1" applyBorder="1" applyAlignment="1">
      <alignment horizontal="center" vertical="center"/>
    </xf>
    <xf numFmtId="0" fontId="169" fillId="0" borderId="59" xfId="12" applyFont="1" applyFill="1" applyBorder="1" applyAlignment="1">
      <alignment horizontal="center" vertical="center"/>
    </xf>
    <xf numFmtId="4" fontId="169" fillId="0" borderId="15" xfId="42" applyNumberFormat="1" applyFont="1" applyFill="1" applyBorder="1" applyAlignment="1">
      <alignment vertical="center"/>
    </xf>
    <xf numFmtId="4" fontId="132" fillId="0" borderId="0" xfId="12" applyNumberFormat="1" applyFont="1" applyFill="1" applyAlignment="1">
      <alignment vertical="center"/>
    </xf>
    <xf numFmtId="0" fontId="45" fillId="0" borderId="0" xfId="12" applyFont="1" applyFill="1" applyAlignment="1">
      <alignment horizontal="center" vertical="center"/>
    </xf>
    <xf numFmtId="4" fontId="45" fillId="0" borderId="0" xfId="12" applyNumberFormat="1" applyFont="1" applyFill="1" applyAlignment="1">
      <alignment vertical="center"/>
    </xf>
    <xf numFmtId="0" fontId="132" fillId="0" borderId="0" xfId="12" applyFont="1" applyFill="1" applyAlignment="1">
      <alignment vertical="center"/>
    </xf>
    <xf numFmtId="0" fontId="157" fillId="0" borderId="31" xfId="42" applyFont="1" applyBorder="1" applyAlignment="1" applyProtection="1">
      <alignment vertical="center"/>
      <protection locked="0"/>
    </xf>
    <xf numFmtId="0" fontId="157" fillId="0" borderId="47" xfId="42" applyFont="1" applyBorder="1" applyAlignment="1" applyProtection="1">
      <alignment horizontal="center" vertical="center"/>
      <protection locked="0"/>
    </xf>
    <xf numFmtId="4" fontId="157" fillId="0" borderId="13" xfId="42" applyNumberFormat="1" applyFont="1" applyBorder="1" applyAlignment="1" applyProtection="1">
      <alignment horizontal="center"/>
      <protection locked="0"/>
    </xf>
    <xf numFmtId="4" fontId="157" fillId="0" borderId="13" xfId="42" applyNumberFormat="1" applyFont="1" applyBorder="1" applyAlignment="1" applyProtection="1">
      <alignment horizontal="center" vertical="center"/>
      <protection locked="0"/>
    </xf>
    <xf numFmtId="4" fontId="157" fillId="0" borderId="48" xfId="12" applyNumberFormat="1" applyFont="1" applyFill="1" applyBorder="1" applyAlignment="1">
      <alignment horizontal="center" vertical="center"/>
    </xf>
    <xf numFmtId="49" fontId="157" fillId="0" borderId="47" xfId="42" applyNumberFormat="1" applyFont="1" applyFill="1" applyBorder="1" applyAlignment="1">
      <alignment vertical="center"/>
    </xf>
    <xf numFmtId="49" fontId="157" fillId="0" borderId="48" xfId="42" applyNumberFormat="1" applyFont="1" applyFill="1" applyBorder="1" applyAlignment="1">
      <alignment vertical="center"/>
    </xf>
    <xf numFmtId="49" fontId="170" fillId="0" borderId="46" xfId="42" applyNumberFormat="1" applyFont="1" applyFill="1" applyBorder="1" applyAlignment="1">
      <alignment vertical="center"/>
    </xf>
    <xf numFmtId="49" fontId="170" fillId="0" borderId="47" xfId="42" applyNumberFormat="1" applyFont="1" applyFill="1" applyBorder="1" applyAlignment="1">
      <alignment vertical="center"/>
    </xf>
    <xf numFmtId="49" fontId="170" fillId="0" borderId="13" xfId="42" applyNumberFormat="1" applyFont="1" applyFill="1" applyBorder="1" applyAlignment="1">
      <alignment vertical="center"/>
    </xf>
    <xf numFmtId="49" fontId="170" fillId="0" borderId="48" xfId="42" applyNumberFormat="1" applyFont="1" applyFill="1" applyBorder="1" applyAlignment="1">
      <alignment vertical="center"/>
    </xf>
    <xf numFmtId="4" fontId="140" fillId="0" borderId="0" xfId="12" applyNumberFormat="1" applyFont="1" applyFill="1" applyAlignment="1">
      <alignment vertical="center"/>
    </xf>
    <xf numFmtId="0" fontId="157" fillId="0" borderId="31" xfId="42" applyFont="1" applyBorder="1" applyAlignment="1" applyProtection="1">
      <alignment vertical="center" wrapText="1"/>
      <protection locked="0"/>
    </xf>
    <xf numFmtId="0" fontId="157" fillId="0" borderId="4" xfId="42" applyFont="1" applyBorder="1" applyAlignment="1" applyProtection="1">
      <alignment horizontal="center" vertical="center"/>
      <protection locked="0"/>
    </xf>
    <xf numFmtId="4" fontId="157" fillId="0" borderId="5" xfId="42" applyNumberFormat="1" applyFont="1" applyBorder="1" applyAlignment="1" applyProtection="1">
      <alignment horizontal="center"/>
      <protection locked="0"/>
    </xf>
    <xf numFmtId="4" fontId="157" fillId="0" borderId="5" xfId="42" applyNumberFormat="1" applyFont="1" applyBorder="1" applyAlignment="1" applyProtection="1">
      <alignment horizontal="center" vertical="center"/>
      <protection locked="0"/>
    </xf>
    <xf numFmtId="4" fontId="157" fillId="4" borderId="6" xfId="12" applyNumberFormat="1" applyFont="1" applyFill="1" applyBorder="1" applyAlignment="1">
      <alignment horizontal="center" vertical="center"/>
    </xf>
    <xf numFmtId="4" fontId="157" fillId="0" borderId="4" xfId="12" applyNumberFormat="1" applyFont="1" applyFill="1" applyBorder="1" applyAlignment="1">
      <alignment horizontal="center" vertical="center"/>
    </xf>
    <xf numFmtId="4" fontId="157" fillId="4" borderId="6" xfId="12" applyNumberFormat="1" applyFont="1" applyFill="1" applyBorder="1" applyAlignment="1" applyProtection="1">
      <alignment horizontal="center" vertical="center"/>
      <protection locked="0"/>
    </xf>
    <xf numFmtId="4" fontId="157" fillId="0" borderId="9" xfId="12" applyNumberFormat="1" applyFont="1" applyFill="1" applyBorder="1" applyAlignment="1" applyProtection="1">
      <alignment horizontal="center" vertical="center"/>
      <protection locked="0"/>
    </xf>
    <xf numFmtId="4" fontId="157" fillId="4" borderId="4" xfId="12" applyNumberFormat="1" applyFont="1" applyFill="1" applyBorder="1" applyAlignment="1">
      <alignment horizontal="center" vertical="center"/>
    </xf>
    <xf numFmtId="4" fontId="157" fillId="4" borderId="5" xfId="12" applyNumberFormat="1" applyFont="1" applyFill="1" applyBorder="1" applyAlignment="1" applyProtection="1">
      <alignment horizontal="center" vertical="center"/>
      <protection locked="0"/>
    </xf>
    <xf numFmtId="10" fontId="157" fillId="4" borderId="6" xfId="12" applyNumberFormat="1" applyFont="1" applyFill="1" applyBorder="1" applyAlignment="1">
      <alignment horizontal="center" vertical="center"/>
    </xf>
    <xf numFmtId="4" fontId="157" fillId="4" borderId="4" xfId="12" applyNumberFormat="1" applyFont="1" applyFill="1" applyBorder="1" applyAlignment="1">
      <alignment vertical="center"/>
    </xf>
    <xf numFmtId="4" fontId="157" fillId="4" borderId="5" xfId="12" applyNumberFormat="1" applyFont="1" applyFill="1" applyBorder="1" applyAlignment="1" applyProtection="1">
      <alignment vertical="center"/>
      <protection locked="0"/>
    </xf>
    <xf numFmtId="10" fontId="157" fillId="4" borderId="6" xfId="12" applyNumberFormat="1" applyFont="1" applyFill="1" applyBorder="1" applyAlignment="1">
      <alignment vertical="center"/>
    </xf>
    <xf numFmtId="0" fontId="157" fillId="0" borderId="39" xfId="42" applyFont="1" applyBorder="1" applyAlignment="1" applyProtection="1">
      <alignment vertical="center"/>
      <protection locked="0"/>
    </xf>
    <xf numFmtId="0" fontId="157" fillId="0" borderId="39" xfId="42" applyFont="1" applyBorder="1" applyAlignment="1" applyProtection="1">
      <alignment vertical="center" wrapText="1"/>
      <protection locked="0"/>
    </xf>
    <xf numFmtId="0" fontId="157" fillId="0" borderId="7" xfId="42" applyFont="1" applyBorder="1" applyAlignment="1" applyProtection="1">
      <alignment horizontal="center" vertical="center"/>
      <protection locked="0"/>
    </xf>
    <xf numFmtId="4" fontId="157" fillId="0" borderId="8" xfId="42" applyNumberFormat="1" applyFont="1" applyBorder="1" applyAlignment="1" applyProtection="1">
      <alignment horizontal="center"/>
      <protection locked="0"/>
    </xf>
    <xf numFmtId="4" fontId="157" fillId="0" borderId="8" xfId="42" applyNumberFormat="1" applyFont="1" applyBorder="1" applyAlignment="1" applyProtection="1">
      <alignment horizontal="center" vertical="center"/>
      <protection locked="0"/>
    </xf>
    <xf numFmtId="4" fontId="157" fillId="4" borderId="7" xfId="12" applyNumberFormat="1" applyFont="1" applyFill="1" applyBorder="1" applyAlignment="1">
      <alignment horizontal="center" vertical="center"/>
    </xf>
    <xf numFmtId="4" fontId="157" fillId="4" borderId="8" xfId="12" applyNumberFormat="1" applyFont="1" applyFill="1" applyBorder="1" applyAlignment="1" applyProtection="1">
      <alignment horizontal="center" vertical="center"/>
      <protection locked="0"/>
    </xf>
    <xf numFmtId="10" fontId="157" fillId="4" borderId="35" xfId="12" applyNumberFormat="1" applyFont="1" applyFill="1" applyBorder="1" applyAlignment="1">
      <alignment horizontal="center" vertical="center"/>
    </xf>
    <xf numFmtId="4" fontId="157" fillId="4" borderId="7" xfId="12" applyNumberFormat="1" applyFont="1" applyFill="1" applyBorder="1" applyAlignment="1">
      <alignment vertical="center"/>
    </xf>
    <xf numFmtId="4" fontId="157" fillId="4" borderId="8" xfId="12" applyNumberFormat="1" applyFont="1" applyFill="1" applyBorder="1" applyAlignment="1" applyProtection="1">
      <alignment vertical="center"/>
      <protection locked="0"/>
    </xf>
    <xf numFmtId="10" fontId="157" fillId="4" borderId="35" xfId="12" applyNumberFormat="1" applyFont="1" applyFill="1" applyBorder="1" applyAlignment="1">
      <alignment vertical="center"/>
    </xf>
    <xf numFmtId="0" fontId="24" fillId="0" borderId="4" xfId="12" applyFont="1" applyFill="1" applyBorder="1" applyAlignment="1" applyProtection="1">
      <alignment vertical="center"/>
      <protection locked="0"/>
    </xf>
    <xf numFmtId="0" fontId="70" fillId="0" borderId="5" xfId="12" applyNumberFormat="1" applyFont="1" applyFill="1" applyBorder="1" applyAlignment="1">
      <alignment horizontal="left"/>
    </xf>
    <xf numFmtId="176" fontId="16" fillId="0" borderId="5" xfId="12" applyNumberFormat="1" applyFont="1" applyFill="1" applyBorder="1" applyAlignment="1">
      <alignment horizontal="center"/>
    </xf>
    <xf numFmtId="0" fontId="70" fillId="0" borderId="5" xfId="12" applyNumberFormat="1" applyFont="1" applyFill="1" applyBorder="1" applyAlignment="1">
      <alignment horizontal="center"/>
    </xf>
    <xf numFmtId="4" fontId="16" fillId="0" borderId="5" xfId="12" applyNumberFormat="1" applyFont="1" applyFill="1" applyBorder="1"/>
    <xf numFmtId="10" fontId="16" fillId="0" borderId="5" xfId="12" applyNumberFormat="1" applyFont="1" applyFill="1" applyBorder="1" applyAlignment="1">
      <alignment horizontal="center"/>
    </xf>
    <xf numFmtId="10" fontId="44" fillId="4" borderId="9" xfId="12" applyNumberFormat="1" applyFont="1" applyFill="1" applyBorder="1" applyAlignment="1">
      <alignment horizontal="center" vertical="center"/>
    </xf>
    <xf numFmtId="4" fontId="44" fillId="4" borderId="5" xfId="12" applyNumberFormat="1" applyFont="1" applyFill="1" applyBorder="1" applyAlignment="1">
      <alignment vertical="center"/>
    </xf>
    <xf numFmtId="10" fontId="16" fillId="0" borderId="6" xfId="27" applyNumberFormat="1" applyFont="1" applyFill="1" applyBorder="1"/>
    <xf numFmtId="4" fontId="22" fillId="0" borderId="0" xfId="12" applyNumberFormat="1" applyFont="1" applyFill="1"/>
    <xf numFmtId="2" fontId="16" fillId="0" borderId="5" xfId="12" applyNumberFormat="1" applyFont="1" applyFill="1" applyBorder="1" applyAlignment="1">
      <alignment horizontal="center"/>
    </xf>
    <xf numFmtId="0" fontId="17" fillId="4" borderId="8" xfId="12" applyNumberFormat="1" applyFont="1" applyFill="1" applyBorder="1" applyAlignment="1">
      <alignment horizontal="left"/>
    </xf>
    <xf numFmtId="10" fontId="17" fillId="0" borderId="8" xfId="12" applyNumberFormat="1" applyFont="1" applyFill="1" applyBorder="1" applyAlignment="1">
      <alignment horizontal="center"/>
    </xf>
    <xf numFmtId="10" fontId="44" fillId="4" borderId="63" xfId="12" applyNumberFormat="1" applyFont="1" applyFill="1" applyBorder="1" applyAlignment="1">
      <alignment horizontal="center" vertical="center"/>
    </xf>
    <xf numFmtId="10" fontId="17" fillId="4" borderId="67" xfId="12" applyNumberFormat="1" applyFont="1" applyFill="1" applyBorder="1" applyAlignment="1">
      <alignment horizontal="center"/>
    </xf>
    <xf numFmtId="10" fontId="132" fillId="4" borderId="52" xfId="27" applyNumberFormat="1" applyFont="1" applyFill="1" applyBorder="1"/>
    <xf numFmtId="0" fontId="18" fillId="23" borderId="13" xfId="12" applyNumberFormat="1" applyFont="1" applyFill="1" applyBorder="1" applyAlignment="1">
      <alignment horizontal="center"/>
    </xf>
    <xf numFmtId="10" fontId="44" fillId="4" borderId="46" xfId="12" applyNumberFormat="1" applyFont="1" applyFill="1" applyBorder="1" applyAlignment="1">
      <alignment horizontal="center" vertical="center"/>
    </xf>
    <xf numFmtId="4" fontId="44" fillId="4" borderId="47" xfId="12" applyNumberFormat="1" applyFont="1" applyFill="1" applyBorder="1" applyAlignment="1">
      <alignment vertical="center"/>
    </xf>
    <xf numFmtId="0" fontId="21" fillId="4" borderId="5" xfId="12" applyFont="1" applyFill="1" applyBorder="1" applyAlignment="1" applyProtection="1">
      <alignment vertical="center"/>
      <protection locked="0"/>
    </xf>
    <xf numFmtId="0" fontId="18" fillId="4" borderId="5" xfId="12" applyNumberFormat="1" applyFont="1" applyFill="1" applyBorder="1" applyAlignment="1">
      <alignment horizontal="right"/>
    </xf>
    <xf numFmtId="0" fontId="20" fillId="4" borderId="5" xfId="12" applyNumberFormat="1" applyFont="1" applyFill="1" applyBorder="1" applyAlignment="1">
      <alignment horizontal="center" vertical="center"/>
    </xf>
    <xf numFmtId="0" fontId="18" fillId="4" borderId="5" xfId="12" applyNumberFormat="1" applyFont="1" applyFill="1" applyBorder="1"/>
    <xf numFmtId="0" fontId="18" fillId="4" borderId="5" xfId="12" applyNumberFormat="1" applyFont="1" applyFill="1" applyBorder="1" applyAlignment="1">
      <alignment horizontal="center"/>
    </xf>
    <xf numFmtId="0" fontId="18" fillId="23" borderId="5" xfId="12" applyNumberFormat="1" applyFont="1" applyFill="1" applyBorder="1" applyAlignment="1">
      <alignment horizontal="center"/>
    </xf>
    <xf numFmtId="4" fontId="44" fillId="4" borderId="4" xfId="12" applyNumberFormat="1" applyFont="1" applyFill="1" applyBorder="1" applyAlignment="1">
      <alignment vertical="center"/>
    </xf>
    <xf numFmtId="0" fontId="24" fillId="4" borderId="5" xfId="12" applyFont="1" applyFill="1" applyBorder="1" applyAlignment="1" applyProtection="1">
      <alignment vertical="center"/>
      <protection locked="0"/>
    </xf>
    <xf numFmtId="4" fontId="18" fillId="4" borderId="5" xfId="12" applyNumberFormat="1" applyFont="1" applyFill="1" applyBorder="1" applyAlignment="1">
      <alignment horizontal="right"/>
    </xf>
    <xf numFmtId="10" fontId="19" fillId="4" borderId="5" xfId="12" applyNumberFormat="1" applyFont="1" applyFill="1" applyBorder="1" applyAlignment="1">
      <alignment horizontal="center"/>
    </xf>
    <xf numFmtId="0" fontId="26" fillId="23" borderId="5" xfId="12" applyNumberFormat="1" applyFont="1" applyFill="1" applyBorder="1" applyAlignment="1">
      <alignment horizontal="center"/>
    </xf>
    <xf numFmtId="0" fontId="26" fillId="4" borderId="5" xfId="12" applyNumberFormat="1" applyFont="1" applyFill="1" applyBorder="1" applyAlignment="1">
      <alignment horizontal="center"/>
    </xf>
    <xf numFmtId="10" fontId="26" fillId="4" borderId="5" xfId="12" applyNumberFormat="1" applyFont="1" applyFill="1" applyBorder="1" applyAlignment="1">
      <alignment horizontal="center"/>
    </xf>
    <xf numFmtId="0" fontId="26" fillId="4" borderId="5" xfId="12" applyNumberFormat="1" applyFont="1" applyFill="1" applyBorder="1" applyAlignment="1">
      <alignment horizontal="right"/>
    </xf>
    <xf numFmtId="10" fontId="26" fillId="4" borderId="5" xfId="12" applyNumberFormat="1" applyFont="1" applyFill="1" applyBorder="1" applyAlignment="1">
      <alignment horizontal="right"/>
    </xf>
    <xf numFmtId="10" fontId="22" fillId="4" borderId="0" xfId="12" applyNumberFormat="1" applyFont="1" applyFill="1"/>
    <xf numFmtId="0" fontId="19" fillId="4" borderId="5" xfId="12" applyNumberFormat="1" applyFont="1" applyFill="1" applyBorder="1" applyAlignment="1">
      <alignment horizontal="center" vertical="center"/>
    </xf>
    <xf numFmtId="0" fontId="26" fillId="4" borderId="5" xfId="12" applyNumberFormat="1" applyFont="1" applyFill="1" applyBorder="1"/>
    <xf numFmtId="0" fontId="0" fillId="4" borderId="5" xfId="12" applyNumberFormat="1" applyFont="1" applyFill="1" applyBorder="1" applyAlignment="1">
      <alignment horizontal="right"/>
    </xf>
    <xf numFmtId="4" fontId="44" fillId="4" borderId="28" xfId="12" applyNumberFormat="1" applyFont="1" applyFill="1" applyBorder="1" applyAlignment="1">
      <alignment vertical="center"/>
    </xf>
    <xf numFmtId="164" fontId="132" fillId="0" borderId="0" xfId="3" applyFont="1" applyAlignment="1">
      <alignment horizontal="right"/>
    </xf>
    <xf numFmtId="10" fontId="22" fillId="0" borderId="0" xfId="27" applyNumberFormat="1" applyFont="1" applyFill="1" applyAlignment="1">
      <alignment horizontal="center"/>
    </xf>
    <xf numFmtId="4" fontId="44" fillId="4" borderId="0" xfId="12" applyNumberFormat="1" applyFont="1" applyFill="1" applyBorder="1" applyAlignment="1">
      <alignment vertical="center"/>
    </xf>
    <xf numFmtId="10" fontId="22" fillId="0" borderId="0" xfId="27" applyNumberFormat="1" applyFont="1" applyAlignment="1">
      <alignment horizontal="center"/>
    </xf>
    <xf numFmtId="10" fontId="132" fillId="0" borderId="0" xfId="27" applyNumberFormat="1" applyFont="1" applyAlignment="1">
      <alignment horizontal="right"/>
    </xf>
    <xf numFmtId="10" fontId="22" fillId="23" borderId="0" xfId="27" applyNumberFormat="1" applyFont="1" applyFill="1" applyAlignment="1">
      <alignment horizontal="center"/>
    </xf>
    <xf numFmtId="10" fontId="17" fillId="4" borderId="0" xfId="27" applyNumberFormat="1" applyFont="1" applyFill="1" applyBorder="1"/>
    <xf numFmtId="0" fontId="22" fillId="0" borderId="0" xfId="12" applyFont="1" applyBorder="1"/>
    <xf numFmtId="0" fontId="45" fillId="0" borderId="0" xfId="42" applyFont="1" applyAlignment="1">
      <alignment vertical="top"/>
    </xf>
    <xf numFmtId="4" fontId="133" fillId="0" borderId="0" xfId="42" applyNumberFormat="1" applyFont="1" applyFill="1" applyAlignment="1">
      <alignment vertical="top"/>
    </xf>
    <xf numFmtId="4" fontId="133" fillId="0" borderId="0" xfId="42" applyNumberFormat="1" applyFont="1" applyAlignment="1">
      <alignment vertical="top"/>
    </xf>
    <xf numFmtId="0" fontId="45" fillId="0" borderId="0" xfId="12" applyFont="1" applyBorder="1"/>
    <xf numFmtId="2" fontId="132" fillId="0" borderId="0" xfId="42" applyNumberFormat="1" applyFont="1" applyAlignment="1">
      <alignment vertical="top"/>
    </xf>
    <xf numFmtId="0" fontId="170" fillId="0" borderId="31" xfId="42" applyFont="1" applyBorder="1" applyAlignment="1" applyProtection="1">
      <alignment vertical="center" wrapText="1"/>
      <protection locked="0"/>
    </xf>
    <xf numFmtId="4" fontId="44" fillId="0" borderId="5" xfId="42" applyNumberFormat="1" applyFont="1" applyBorder="1" applyAlignment="1" applyProtection="1">
      <alignment horizontal="center" vertical="center"/>
      <protection locked="0"/>
    </xf>
    <xf numFmtId="4" fontId="157" fillId="0" borderId="84" xfId="42" applyNumberFormat="1" applyFont="1" applyFill="1" applyBorder="1" applyAlignment="1">
      <alignment horizontal="center" vertical="center"/>
    </xf>
    <xf numFmtId="164" fontId="100" fillId="0" borderId="19" xfId="3" applyFont="1" applyFill="1" applyBorder="1" applyAlignment="1">
      <alignment horizontal="center" vertical="center"/>
    </xf>
    <xf numFmtId="0" fontId="170" fillId="0" borderId="31" xfId="42" applyFont="1" applyBorder="1" applyAlignment="1" applyProtection="1">
      <alignment vertical="center"/>
      <protection locked="0"/>
    </xf>
    <xf numFmtId="4" fontId="157" fillId="0" borderId="46" xfId="42" applyNumberFormat="1" applyFont="1" applyBorder="1" applyAlignment="1" applyProtection="1">
      <alignment horizontal="center" vertical="center"/>
      <protection locked="0"/>
    </xf>
    <xf numFmtId="4" fontId="157" fillId="0" borderId="54" xfId="12" applyNumberFormat="1" applyFont="1" applyFill="1" applyBorder="1" applyAlignment="1">
      <alignment horizontal="center" vertical="center"/>
    </xf>
    <xf numFmtId="4" fontId="157" fillId="0" borderId="9" xfId="42" applyNumberFormat="1" applyFont="1" applyBorder="1" applyAlignment="1" applyProtection="1">
      <alignment horizontal="center" vertical="center"/>
      <protection locked="0"/>
    </xf>
    <xf numFmtId="4" fontId="157" fillId="4" borderId="10" xfId="12" applyNumberFormat="1" applyFont="1" applyFill="1" applyBorder="1" applyAlignment="1">
      <alignment horizontal="center" vertical="center"/>
    </xf>
    <xf numFmtId="4" fontId="157" fillId="0" borderId="63" xfId="42" applyNumberFormat="1" applyFont="1" applyBorder="1" applyAlignment="1" applyProtection="1">
      <alignment horizontal="center" vertical="center"/>
      <protection locked="0"/>
    </xf>
    <xf numFmtId="4" fontId="157" fillId="0" borderId="44" xfId="12" applyNumberFormat="1" applyFont="1" applyFill="1" applyBorder="1" applyAlignment="1">
      <alignment horizontal="center" vertical="center"/>
    </xf>
    <xf numFmtId="4" fontId="16" fillId="0" borderId="9" xfId="12" applyNumberFormat="1" applyFont="1" applyFill="1" applyBorder="1" applyAlignment="1">
      <alignment horizontal="center"/>
    </xf>
    <xf numFmtId="4" fontId="157" fillId="0" borderId="5" xfId="12" applyNumberFormat="1" applyFont="1" applyFill="1" applyBorder="1" applyAlignment="1">
      <alignment horizontal="center" vertical="center"/>
    </xf>
    <xf numFmtId="4" fontId="16" fillId="4" borderId="9" xfId="12" applyNumberFormat="1" applyFont="1" applyFill="1" applyBorder="1" applyAlignment="1">
      <alignment horizontal="center"/>
    </xf>
    <xf numFmtId="4" fontId="26" fillId="7" borderId="5" xfId="12" applyNumberFormat="1" applyFont="1" applyFill="1" applyBorder="1"/>
    <xf numFmtId="0" fontId="54" fillId="4" borderId="0" xfId="12" applyFont="1" applyFill="1"/>
    <xf numFmtId="0" fontId="54" fillId="4" borderId="0" xfId="12" applyFont="1" applyFill="1" applyAlignment="1">
      <alignment horizontal="center"/>
    </xf>
    <xf numFmtId="4" fontId="132" fillId="4" borderId="0" xfId="12" applyNumberFormat="1" applyFont="1" applyFill="1" applyAlignment="1">
      <alignment horizontal="left" vertical="center"/>
    </xf>
    <xf numFmtId="0" fontId="45" fillId="4" borderId="0" xfId="12" applyFont="1" applyFill="1" applyAlignment="1">
      <alignment vertical="top"/>
    </xf>
    <xf numFmtId="4" fontId="132" fillId="4" borderId="0" xfId="12" applyNumberFormat="1" applyFont="1" applyFill="1" applyAlignment="1">
      <alignment horizontal="left" vertical="top"/>
    </xf>
    <xf numFmtId="14" fontId="45" fillId="4" borderId="0" xfId="12" applyNumberFormat="1" applyFont="1" applyFill="1" applyAlignment="1">
      <alignment horizontal="left"/>
    </xf>
    <xf numFmtId="14" fontId="45" fillId="4" borderId="0" xfId="12" applyNumberFormat="1" applyFont="1" applyFill="1" applyAlignment="1">
      <alignment horizontal="center"/>
    </xf>
    <xf numFmtId="49" fontId="45" fillId="4" borderId="0" xfId="12" applyNumberFormat="1" applyFont="1" applyFill="1"/>
    <xf numFmtId="1" fontId="45" fillId="4" borderId="0" xfId="12" applyNumberFormat="1" applyFont="1" applyFill="1" applyAlignment="1">
      <alignment horizontal="left"/>
    </xf>
    <xf numFmtId="4" fontId="132" fillId="4" borderId="0" xfId="12" applyNumberFormat="1" applyFont="1" applyFill="1" applyAlignment="1">
      <alignment horizontal="center"/>
    </xf>
    <xf numFmtId="0" fontId="45" fillId="4" borderId="0" xfId="12" applyFont="1" applyFill="1" applyAlignment="1">
      <alignment horizontal="left" vertical="top"/>
    </xf>
    <xf numFmtId="0" fontId="132" fillId="2" borderId="0" xfId="12" applyFont="1" applyFill="1" applyBorder="1" applyAlignment="1">
      <alignment horizontal="distributed" vertical="center"/>
    </xf>
    <xf numFmtId="0" fontId="76" fillId="0" borderId="60" xfId="42" applyFont="1" applyFill="1" applyBorder="1" applyAlignment="1" applyProtection="1">
      <alignment vertical="center"/>
      <protection locked="0"/>
    </xf>
    <xf numFmtId="4" fontId="76" fillId="0" borderId="60" xfId="42" applyNumberFormat="1" applyFont="1" applyFill="1" applyBorder="1" applyAlignment="1">
      <alignment vertical="center" wrapText="1"/>
    </xf>
    <xf numFmtId="4" fontId="139" fillId="0" borderId="1" xfId="42" applyNumberFormat="1" applyFont="1" applyFill="1" applyBorder="1" applyAlignment="1">
      <alignment horizontal="center" vertical="center"/>
    </xf>
    <xf numFmtId="4" fontId="139" fillId="0" borderId="2" xfId="42" applyNumberFormat="1" applyFont="1" applyFill="1" applyBorder="1" applyAlignment="1">
      <alignment vertical="center"/>
    </xf>
    <xf numFmtId="4" fontId="139" fillId="0" borderId="57" xfId="42" applyNumberFormat="1" applyFont="1" applyFill="1" applyBorder="1" applyAlignment="1">
      <alignment vertical="center"/>
    </xf>
    <xf numFmtId="164" fontId="75" fillId="0" borderId="3" xfId="2" applyFont="1" applyFill="1" applyBorder="1" applyAlignment="1">
      <alignment horizontal="center" vertical="center"/>
    </xf>
    <xf numFmtId="164" fontId="75" fillId="0" borderId="40" xfId="2" applyFont="1" applyFill="1" applyBorder="1" applyAlignment="1">
      <alignment horizontal="center" vertical="center"/>
    </xf>
    <xf numFmtId="0" fontId="45" fillId="0" borderId="1" xfId="12" applyFont="1" applyFill="1" applyBorder="1" applyAlignment="1">
      <alignment horizontal="center" vertical="center"/>
    </xf>
    <xf numFmtId="4" fontId="158" fillId="0" borderId="3" xfId="42" applyNumberFormat="1" applyFont="1" applyFill="1" applyBorder="1" applyAlignment="1">
      <alignment horizontal="center" vertical="center"/>
    </xf>
    <xf numFmtId="4" fontId="132" fillId="27" borderId="61" xfId="12" applyNumberFormat="1" applyFont="1" applyFill="1" applyBorder="1" applyAlignment="1">
      <alignment horizontal="center" vertical="center"/>
    </xf>
    <xf numFmtId="4" fontId="158" fillId="0" borderId="57" xfId="42" applyNumberFormat="1" applyFont="1" applyFill="1" applyBorder="1" applyAlignment="1">
      <alignment horizontal="center" vertical="center"/>
    </xf>
    <xf numFmtId="0" fontId="132" fillId="0" borderId="1" xfId="12" applyFont="1" applyFill="1" applyBorder="1" applyAlignment="1">
      <alignment horizontal="center" vertical="center"/>
    </xf>
    <xf numFmtId="4" fontId="132" fillId="0" borderId="2" xfId="42" applyNumberFormat="1" applyFont="1" applyFill="1" applyBorder="1" applyAlignment="1">
      <alignment horizontal="center" vertical="center"/>
    </xf>
    <xf numFmtId="0" fontId="132" fillId="0" borderId="57" xfId="12" applyFont="1" applyFill="1" applyBorder="1" applyAlignment="1">
      <alignment horizontal="center" vertical="center"/>
    </xf>
    <xf numFmtId="4" fontId="132" fillId="0" borderId="2" xfId="42" applyNumberFormat="1" applyFont="1" applyFill="1" applyBorder="1" applyAlignment="1">
      <alignment vertical="center"/>
    </xf>
    <xf numFmtId="0" fontId="132" fillId="0" borderId="3" xfId="12" applyFont="1" applyFill="1" applyBorder="1" applyAlignment="1">
      <alignment horizontal="center" vertical="center"/>
    </xf>
    <xf numFmtId="0" fontId="171" fillId="0" borderId="36" xfId="42" applyFont="1" applyFill="1" applyBorder="1" applyAlignment="1" applyProtection="1">
      <alignment vertical="center"/>
      <protection locked="0"/>
    </xf>
    <xf numFmtId="4" fontId="45" fillId="0" borderId="4" xfId="12" applyNumberFormat="1" applyFont="1" applyFill="1" applyBorder="1" applyAlignment="1">
      <alignment horizontal="center" vertical="center"/>
    </xf>
    <xf numFmtId="4" fontId="45" fillId="0" borderId="5" xfId="12" applyNumberFormat="1" applyFont="1" applyFill="1" applyBorder="1" applyAlignment="1">
      <alignment horizontal="center" vertical="center"/>
    </xf>
    <xf numFmtId="4" fontId="45" fillId="0" borderId="9" xfId="12" applyNumberFormat="1" applyFont="1" applyFill="1" applyBorder="1" applyAlignment="1">
      <alignment horizontal="center" vertical="center"/>
    </xf>
    <xf numFmtId="4" fontId="45" fillId="0" borderId="6" xfId="12" applyNumberFormat="1" applyFont="1" applyFill="1" applyBorder="1" applyAlignment="1">
      <alignment horizontal="center" vertical="center"/>
    </xf>
    <xf numFmtId="4" fontId="45" fillId="0" borderId="10" xfId="12" applyNumberFormat="1" applyFont="1" applyFill="1" applyBorder="1" applyAlignment="1">
      <alignment horizontal="center" vertical="center"/>
    </xf>
    <xf numFmtId="49" fontId="45" fillId="0" borderId="4" xfId="42" applyNumberFormat="1" applyFont="1" applyFill="1" applyBorder="1" applyAlignment="1">
      <alignment vertical="center"/>
    </xf>
    <xf numFmtId="49" fontId="45" fillId="0" borderId="6" xfId="42" applyNumberFormat="1" applyFont="1" applyFill="1" applyBorder="1" applyAlignment="1">
      <alignment vertical="center"/>
    </xf>
    <xf numFmtId="4" fontId="45" fillId="27" borderId="17" xfId="42" applyNumberFormat="1" applyFont="1" applyFill="1" applyBorder="1" applyAlignment="1">
      <alignment horizontal="center" vertical="center"/>
    </xf>
    <xf numFmtId="49" fontId="132" fillId="0" borderId="9" xfId="42" applyNumberFormat="1" applyFont="1" applyFill="1" applyBorder="1" applyAlignment="1">
      <alignment vertical="center"/>
    </xf>
    <xf numFmtId="49" fontId="132" fillId="0" borderId="4" xfId="42" applyNumberFormat="1" applyFont="1" applyFill="1" applyBorder="1" applyAlignment="1">
      <alignment vertical="center"/>
    </xf>
    <xf numFmtId="49" fontId="132" fillId="0" borderId="5" xfId="42" applyNumberFormat="1" applyFont="1" applyFill="1" applyBorder="1" applyAlignment="1">
      <alignment vertical="center"/>
    </xf>
    <xf numFmtId="49" fontId="132" fillId="0" borderId="6" xfId="42" applyNumberFormat="1" applyFont="1" applyFill="1" applyBorder="1" applyAlignment="1">
      <alignment vertical="center"/>
    </xf>
    <xf numFmtId="0" fontId="157" fillId="4" borderId="36" xfId="42" applyFont="1" applyFill="1" applyBorder="1" applyAlignment="1" applyProtection="1">
      <alignment vertical="center"/>
      <protection locked="0"/>
    </xf>
    <xf numFmtId="4" fontId="139" fillId="4" borderId="36" xfId="42" applyNumberFormat="1" applyFont="1" applyFill="1" applyBorder="1" applyAlignment="1">
      <alignment vertical="center"/>
    </xf>
    <xf numFmtId="4" fontId="45" fillId="4" borderId="5" xfId="12" applyNumberFormat="1" applyFont="1" applyFill="1" applyBorder="1" applyAlignment="1">
      <alignment horizontal="center" vertical="center"/>
    </xf>
    <xf numFmtId="4" fontId="45" fillId="4" borderId="9" xfId="12" applyNumberFormat="1" applyFont="1" applyFill="1" applyBorder="1" applyAlignment="1">
      <alignment horizontal="center" vertical="center"/>
    </xf>
    <xf numFmtId="4" fontId="45" fillId="4" borderId="6" xfId="12" applyNumberFormat="1" applyFont="1" applyFill="1" applyBorder="1" applyAlignment="1">
      <alignment horizontal="center" vertical="center"/>
    </xf>
    <xf numFmtId="4" fontId="45" fillId="27" borderId="5" xfId="12" applyNumberFormat="1" applyFont="1" applyFill="1" applyBorder="1" applyAlignment="1">
      <alignment horizontal="center" vertical="center"/>
    </xf>
    <xf numFmtId="4" fontId="45" fillId="0" borderId="9" xfId="12" applyNumberFormat="1" applyFont="1" applyFill="1" applyBorder="1" applyAlignment="1" applyProtection="1">
      <alignment horizontal="center" vertical="center"/>
      <protection locked="0"/>
    </xf>
    <xf numFmtId="10" fontId="45" fillId="4" borderId="9" xfId="12" applyNumberFormat="1" applyFont="1" applyFill="1" applyBorder="1" applyAlignment="1">
      <alignment horizontal="center" vertical="center"/>
    </xf>
    <xf numFmtId="4" fontId="45" fillId="0" borderId="6" xfId="12" applyNumberFormat="1" applyFont="1" applyFill="1" applyBorder="1" applyAlignment="1" applyProtection="1">
      <alignment horizontal="center" vertical="center"/>
      <protection locked="0"/>
    </xf>
    <xf numFmtId="4" fontId="45" fillId="27" borderId="10" xfId="12" applyNumberFormat="1" applyFont="1" applyFill="1" applyBorder="1" applyAlignment="1">
      <alignment horizontal="center" vertical="center"/>
    </xf>
    <xf numFmtId="4" fontId="45" fillId="0" borderId="5" xfId="12" applyNumberFormat="1" applyFont="1" applyFill="1" applyBorder="1" applyAlignment="1" applyProtection="1">
      <alignment horizontal="center" vertical="center"/>
      <protection locked="0"/>
    </xf>
    <xf numFmtId="10" fontId="45" fillId="0" borderId="9" xfId="12" applyNumberFormat="1" applyFont="1" applyFill="1" applyBorder="1" applyAlignment="1">
      <alignment horizontal="center" vertical="center"/>
    </xf>
    <xf numFmtId="4" fontId="45" fillId="0" borderId="4" xfId="12" applyNumberFormat="1" applyFont="1" applyFill="1" applyBorder="1" applyAlignment="1">
      <alignment vertical="center"/>
    </xf>
    <xf numFmtId="4" fontId="45" fillId="0" borderId="5" xfId="12" applyNumberFormat="1" applyFont="1" applyFill="1" applyBorder="1" applyAlignment="1" applyProtection="1">
      <alignment vertical="center"/>
      <protection locked="0"/>
    </xf>
    <xf numFmtId="10" fontId="45" fillId="0" borderId="6" xfId="12" applyNumberFormat="1" applyFont="1" applyFill="1" applyBorder="1" applyAlignment="1">
      <alignment vertical="center"/>
    </xf>
    <xf numFmtId="0" fontId="157" fillId="4" borderId="36" xfId="42" quotePrefix="1" applyFont="1" applyFill="1" applyBorder="1" applyAlignment="1" applyProtection="1">
      <alignment vertical="center"/>
      <protection locked="0"/>
    </xf>
    <xf numFmtId="4" fontId="76" fillId="0" borderId="36" xfId="42" quotePrefix="1" applyNumberFormat="1" applyFont="1" applyFill="1" applyBorder="1" applyAlignment="1">
      <alignment vertical="center"/>
    </xf>
    <xf numFmtId="4" fontId="76" fillId="0" borderId="36" xfId="42" applyNumberFormat="1" applyFont="1" applyFill="1" applyBorder="1" applyAlignment="1">
      <alignment vertical="center"/>
    </xf>
    <xf numFmtId="4" fontId="45" fillId="0" borderId="17" xfId="42" applyNumberFormat="1" applyFont="1" applyFill="1" applyBorder="1" applyAlignment="1">
      <alignment horizontal="center" vertical="center"/>
    </xf>
    <xf numFmtId="0" fontId="157" fillId="0" borderId="36" xfId="42" quotePrefix="1" applyFont="1" applyBorder="1" applyAlignment="1" applyProtection="1">
      <alignment vertical="center"/>
      <protection locked="0"/>
    </xf>
    <xf numFmtId="4" fontId="43" fillId="0" borderId="36" xfId="42" applyNumberFormat="1" applyFont="1" applyFill="1" applyBorder="1" applyAlignment="1">
      <alignment vertical="center"/>
    </xf>
    <xf numFmtId="4" fontId="43" fillId="4" borderId="36" xfId="42" applyNumberFormat="1" applyFont="1" applyFill="1" applyBorder="1" applyAlignment="1">
      <alignment vertical="center"/>
    </xf>
    <xf numFmtId="0" fontId="172" fillId="0" borderId="36" xfId="42" quotePrefix="1" applyFont="1" applyFill="1" applyBorder="1" applyAlignment="1" applyProtection="1">
      <alignment vertical="center"/>
      <protection locked="0"/>
    </xf>
    <xf numFmtId="4" fontId="43" fillId="0" borderId="36" xfId="42" quotePrefix="1" applyNumberFormat="1" applyFont="1" applyFill="1" applyBorder="1" applyAlignment="1">
      <alignment vertical="center"/>
    </xf>
    <xf numFmtId="0" fontId="132" fillId="0" borderId="0" xfId="12" applyFont="1" applyFill="1" applyAlignment="1">
      <alignment horizontal="center" vertical="center"/>
    </xf>
    <xf numFmtId="10" fontId="17" fillId="27" borderId="2" xfId="12" applyNumberFormat="1" applyFont="1" applyFill="1" applyBorder="1" applyAlignment="1">
      <alignment horizontal="center"/>
    </xf>
    <xf numFmtId="10" fontId="17" fillId="4" borderId="48" xfId="27" applyNumberFormat="1" applyFont="1" applyFill="1" applyBorder="1"/>
    <xf numFmtId="10" fontId="16" fillId="27" borderId="5" xfId="12" applyNumberFormat="1" applyFont="1" applyFill="1" applyBorder="1" applyAlignment="1">
      <alignment horizontal="center"/>
    </xf>
    <xf numFmtId="0" fontId="16" fillId="0" borderId="5" xfId="12" applyNumberFormat="1" applyFont="1" applyFill="1" applyBorder="1" applyAlignment="1"/>
    <xf numFmtId="2" fontId="16" fillId="27" borderId="5" xfId="12" applyNumberFormat="1" applyFont="1" applyFill="1" applyBorder="1" applyAlignment="1">
      <alignment horizontal="center"/>
    </xf>
    <xf numFmtId="4" fontId="17" fillId="27" borderId="5" xfId="12" applyNumberFormat="1" applyFont="1" applyFill="1" applyBorder="1"/>
    <xf numFmtId="0" fontId="17" fillId="4" borderId="8" xfId="12" applyNumberFormat="1" applyFont="1" applyFill="1" applyBorder="1" applyAlignment="1">
      <alignment horizontal="right"/>
    </xf>
    <xf numFmtId="0" fontId="20" fillId="4" borderId="5" xfId="12" applyNumberFormat="1" applyFont="1" applyFill="1" applyBorder="1"/>
    <xf numFmtId="0" fontId="0" fillId="4" borderId="5" xfId="12" applyNumberFormat="1" applyFont="1" applyFill="1" applyBorder="1"/>
    <xf numFmtId="0" fontId="19" fillId="4" borderId="5" xfId="12" applyNumberFormat="1" applyFont="1" applyFill="1" applyBorder="1"/>
    <xf numFmtId="0" fontId="18" fillId="4" borderId="5" xfId="12" applyNumberFormat="1" applyFont="1" applyFill="1" applyBorder="1" applyAlignment="1">
      <alignment horizontal="left"/>
    </xf>
    <xf numFmtId="0" fontId="24" fillId="4" borderId="83" xfId="12" applyFont="1" applyFill="1" applyBorder="1" applyAlignment="1" applyProtection="1">
      <alignment vertical="center"/>
      <protection locked="0"/>
    </xf>
    <xf numFmtId="0" fontId="22" fillId="4" borderId="83" xfId="12" applyFont="1" applyFill="1" applyBorder="1" applyAlignment="1" applyProtection="1">
      <alignment horizontal="center" vertical="center"/>
      <protection locked="0"/>
    </xf>
    <xf numFmtId="4" fontId="24" fillId="4" borderId="83" xfId="12" applyNumberFormat="1" applyFont="1" applyFill="1" applyBorder="1" applyAlignment="1" applyProtection="1">
      <alignment vertical="center"/>
      <protection locked="0"/>
    </xf>
    <xf numFmtId="4" fontId="22" fillId="4" borderId="83" xfId="12" applyNumberFormat="1" applyFont="1" applyFill="1" applyBorder="1" applyAlignment="1">
      <alignment horizontal="center"/>
    </xf>
    <xf numFmtId="2" fontId="22" fillId="4" borderId="83" xfId="12" applyNumberFormat="1" applyFont="1" applyFill="1" applyBorder="1" applyAlignment="1">
      <alignment horizontal="center"/>
    </xf>
    <xf numFmtId="4" fontId="22" fillId="23" borderId="83" xfId="12" applyNumberFormat="1" applyFont="1" applyFill="1" applyBorder="1" applyAlignment="1">
      <alignment horizontal="center"/>
    </xf>
    <xf numFmtId="2" fontId="22" fillId="0" borderId="83" xfId="12" applyNumberFormat="1" applyFont="1" applyFill="1" applyBorder="1" applyAlignment="1">
      <alignment horizontal="center"/>
    </xf>
    <xf numFmtId="10" fontId="22" fillId="4" borderId="83" xfId="12" applyNumberFormat="1" applyFont="1" applyFill="1" applyBorder="1" applyAlignment="1">
      <alignment horizontal="center"/>
    </xf>
    <xf numFmtId="4" fontId="22" fillId="4" borderId="83" xfId="12" applyNumberFormat="1" applyFont="1" applyFill="1" applyBorder="1"/>
    <xf numFmtId="10" fontId="22" fillId="4" borderId="83" xfId="12" applyNumberFormat="1" applyFont="1" applyFill="1" applyBorder="1"/>
    <xf numFmtId="4" fontId="52" fillId="4" borderId="0" xfId="12" applyNumberFormat="1" applyFont="1" applyFill="1"/>
    <xf numFmtId="164" fontId="22" fillId="4" borderId="0" xfId="2" applyFont="1" applyFill="1" applyAlignment="1">
      <alignment horizontal="center"/>
    </xf>
    <xf numFmtId="164" fontId="132" fillId="0" borderId="0" xfId="2" applyFont="1" applyAlignment="1">
      <alignment horizontal="right"/>
    </xf>
    <xf numFmtId="164" fontId="22" fillId="0" borderId="0" xfId="2" applyFont="1" applyAlignment="1"/>
    <xf numFmtId="4" fontId="132" fillId="0" borderId="0" xfId="12" applyNumberFormat="1" applyFont="1" applyFill="1" applyAlignment="1">
      <alignment horizontal="left" vertical="center"/>
    </xf>
    <xf numFmtId="14" fontId="45" fillId="0" borderId="0" xfId="12" applyNumberFormat="1" applyFont="1" applyAlignment="1">
      <alignment horizontal="left" vertical="center"/>
    </xf>
    <xf numFmtId="14" fontId="45" fillId="0" borderId="0" xfId="12" applyNumberFormat="1" applyFont="1" applyAlignment="1">
      <alignment horizontal="center" wrapText="1"/>
    </xf>
    <xf numFmtId="0" fontId="76" fillId="0" borderId="16" xfId="42" applyFont="1" applyFill="1" applyBorder="1" applyAlignment="1" applyProtection="1">
      <alignment vertical="center"/>
      <protection locked="0"/>
    </xf>
    <xf numFmtId="4" fontId="76" fillId="0" borderId="18" xfId="42" applyNumberFormat="1" applyFont="1" applyFill="1" applyBorder="1" applyAlignment="1">
      <alignment vertical="center" wrapText="1"/>
    </xf>
    <xf numFmtId="4" fontId="139" fillId="0" borderId="14" xfId="42" applyNumberFormat="1" applyFont="1" applyFill="1" applyBorder="1" applyAlignment="1">
      <alignment horizontal="center" vertical="center"/>
    </xf>
    <xf numFmtId="4" fontId="139" fillId="0" borderId="15" xfId="42" applyNumberFormat="1" applyFont="1" applyFill="1" applyBorder="1" applyAlignment="1">
      <alignment horizontal="center" vertical="center"/>
    </xf>
    <xf numFmtId="4" fontId="139" fillId="0" borderId="84" xfId="42" applyNumberFormat="1" applyFont="1" applyFill="1" applyBorder="1" applyAlignment="1">
      <alignment horizontal="center" vertical="center"/>
    </xf>
    <xf numFmtId="164" fontId="75" fillId="0" borderId="59" xfId="2" applyFont="1" applyFill="1" applyBorder="1" applyAlignment="1">
      <alignment horizontal="center" vertical="center"/>
    </xf>
    <xf numFmtId="164" fontId="75" fillId="0" borderId="19" xfId="2" applyFont="1" applyFill="1" applyBorder="1" applyAlignment="1">
      <alignment horizontal="center" vertical="center"/>
    </xf>
    <xf numFmtId="0" fontId="45" fillId="0" borderId="14" xfId="12" applyFont="1" applyFill="1" applyBorder="1" applyAlignment="1">
      <alignment horizontal="center" vertical="center"/>
    </xf>
    <xf numFmtId="4" fontId="158" fillId="0" borderId="59" xfId="42" applyNumberFormat="1" applyFont="1" applyFill="1" applyBorder="1" applyAlignment="1">
      <alignment horizontal="center" vertical="center"/>
    </xf>
    <xf numFmtId="4" fontId="44" fillId="23" borderId="15" xfId="12" applyNumberFormat="1" applyFont="1" applyFill="1" applyBorder="1" applyAlignment="1">
      <alignment horizontal="center" vertical="center"/>
    </xf>
    <xf numFmtId="4" fontId="158" fillId="0" borderId="84" xfId="42" applyNumberFormat="1" applyFont="1" applyFill="1" applyBorder="1" applyAlignment="1">
      <alignment horizontal="center" vertical="center"/>
    </xf>
    <xf numFmtId="0" fontId="132" fillId="0" borderId="14" xfId="12" applyFont="1" applyFill="1" applyBorder="1" applyAlignment="1">
      <alignment horizontal="center" vertical="center"/>
    </xf>
    <xf numFmtId="4" fontId="132" fillId="0" borderId="15" xfId="42" applyNumberFormat="1" applyFont="1" applyFill="1" applyBorder="1" applyAlignment="1">
      <alignment horizontal="center" vertical="center"/>
    </xf>
    <xf numFmtId="0" fontId="132" fillId="0" borderId="59" xfId="12" applyFont="1" applyFill="1" applyBorder="1" applyAlignment="1">
      <alignment horizontal="center" vertical="center"/>
    </xf>
    <xf numFmtId="4" fontId="132" fillId="0" borderId="15" xfId="42" applyNumberFormat="1" applyFont="1" applyFill="1" applyBorder="1" applyAlignment="1">
      <alignment vertical="center"/>
    </xf>
    <xf numFmtId="0" fontId="173" fillId="0" borderId="1" xfId="42" applyFont="1" applyBorder="1" applyAlignment="1" applyProtection="1">
      <alignment vertical="center"/>
      <protection locked="0"/>
    </xf>
    <xf numFmtId="0" fontId="173" fillId="0" borderId="3" xfId="42" applyFont="1" applyBorder="1" applyAlignment="1" applyProtection="1">
      <alignment vertical="center"/>
      <protection locked="0"/>
    </xf>
    <xf numFmtId="0" fontId="173" fillId="0" borderId="55" xfId="42" applyFont="1" applyBorder="1" applyAlignment="1" applyProtection="1">
      <alignment horizontal="center" vertical="center"/>
      <protection locked="0"/>
    </xf>
    <xf numFmtId="4" fontId="173" fillId="0" borderId="13" xfId="42" applyNumberFormat="1" applyFont="1" applyBorder="1" applyAlignment="1" applyProtection="1">
      <alignment horizontal="center" vertical="center"/>
      <protection locked="0"/>
    </xf>
    <xf numFmtId="4" fontId="173" fillId="0" borderId="46" xfId="42" applyNumberFormat="1" applyFont="1" applyBorder="1" applyAlignment="1" applyProtection="1">
      <alignment horizontal="center" vertical="center"/>
      <protection locked="0"/>
    </xf>
    <xf numFmtId="4" fontId="44" fillId="0" borderId="48" xfId="12" applyNumberFormat="1" applyFont="1" applyFill="1" applyBorder="1" applyAlignment="1">
      <alignment horizontal="center" vertical="center"/>
    </xf>
    <xf numFmtId="4" fontId="44" fillId="0" borderId="54" xfId="12" applyNumberFormat="1" applyFont="1" applyFill="1" applyBorder="1" applyAlignment="1">
      <alignment horizontal="center" vertical="center"/>
    </xf>
    <xf numFmtId="49" fontId="44" fillId="0" borderId="47" xfId="42" applyNumberFormat="1" applyFont="1" applyFill="1" applyBorder="1" applyAlignment="1">
      <alignment vertical="center"/>
    </xf>
    <xf numFmtId="49" fontId="44" fillId="0" borderId="48" xfId="42" applyNumberFormat="1" applyFont="1" applyFill="1" applyBorder="1" applyAlignment="1">
      <alignment vertical="center"/>
    </xf>
    <xf numFmtId="4" fontId="44" fillId="23" borderId="13" xfId="12" applyNumberFormat="1" applyFont="1" applyFill="1" applyBorder="1" applyAlignment="1">
      <alignment horizontal="center" vertical="center"/>
    </xf>
    <xf numFmtId="49" fontId="43" fillId="0" borderId="46" xfId="42" applyNumberFormat="1" applyFont="1" applyFill="1" applyBorder="1" applyAlignment="1">
      <alignment vertical="center"/>
    </xf>
    <xf numFmtId="49" fontId="43" fillId="0" borderId="47" xfId="42" applyNumberFormat="1" applyFont="1" applyFill="1" applyBorder="1" applyAlignment="1">
      <alignment vertical="center"/>
    </xf>
    <xf numFmtId="49" fontId="43" fillId="0" borderId="13" xfId="42" applyNumberFormat="1" applyFont="1" applyFill="1" applyBorder="1" applyAlignment="1">
      <alignment vertical="center"/>
    </xf>
    <xf numFmtId="49" fontId="43" fillId="0" borderId="48" xfId="42" applyNumberFormat="1" applyFont="1" applyFill="1" applyBorder="1" applyAlignment="1">
      <alignment vertical="center"/>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44" fillId="0" borderId="17" xfId="42" applyFont="1" applyBorder="1" applyAlignment="1" applyProtection="1">
      <alignment horizontal="center" vertical="center"/>
      <protection locked="0"/>
    </xf>
    <xf numFmtId="4" fontId="44" fillId="0" borderId="9" xfId="42" applyNumberFormat="1" applyFont="1" applyBorder="1" applyAlignment="1" applyProtection="1">
      <alignment horizontal="center" vertical="center"/>
      <protection locked="0"/>
    </xf>
    <xf numFmtId="4" fontId="44" fillId="4" borderId="6" xfId="12" applyNumberFormat="1" applyFont="1" applyFill="1" applyBorder="1" applyAlignment="1">
      <alignment horizontal="center" vertical="center"/>
    </xf>
    <xf numFmtId="4" fontId="44" fillId="4" borderId="10" xfId="12" applyNumberFormat="1" applyFont="1" applyFill="1" applyBorder="1" applyAlignment="1">
      <alignment horizontal="center" vertical="center"/>
    </xf>
    <xf numFmtId="4" fontId="44" fillId="0" borderId="4" xfId="12" applyNumberFormat="1" applyFont="1" applyFill="1" applyBorder="1" applyAlignment="1">
      <alignment horizontal="center" vertical="center"/>
    </xf>
    <xf numFmtId="4" fontId="44" fillId="4" borderId="6" xfId="12" applyNumberFormat="1" applyFont="1" applyFill="1" applyBorder="1" applyAlignment="1" applyProtection="1">
      <alignment horizontal="center" vertical="center"/>
      <protection locked="0"/>
    </xf>
    <xf numFmtId="4" fontId="44" fillId="23" borderId="5" xfId="12" applyNumberFormat="1" applyFont="1" applyFill="1" applyBorder="1" applyAlignment="1">
      <alignment horizontal="center" vertical="center"/>
    </xf>
    <xf numFmtId="4" fontId="44" fillId="0" borderId="9" xfId="12" applyNumberFormat="1" applyFont="1" applyFill="1" applyBorder="1" applyAlignment="1" applyProtection="1">
      <alignment horizontal="center" vertical="center"/>
      <protection locked="0"/>
    </xf>
    <xf numFmtId="4" fontId="44" fillId="4" borderId="4" xfId="12" applyNumberFormat="1" applyFont="1" applyFill="1" applyBorder="1" applyAlignment="1">
      <alignment horizontal="center" vertical="center"/>
    </xf>
    <xf numFmtId="4" fontId="44" fillId="4" borderId="5" xfId="12" applyNumberFormat="1" applyFont="1" applyFill="1" applyBorder="1" applyAlignment="1" applyProtection="1">
      <alignment horizontal="center" vertical="center"/>
      <protection locked="0"/>
    </xf>
    <xf numFmtId="10" fontId="44" fillId="4" borderId="6" xfId="12" applyNumberFormat="1" applyFont="1" applyFill="1" applyBorder="1" applyAlignment="1">
      <alignment horizontal="center" vertical="center"/>
    </xf>
    <xf numFmtId="4" fontId="44" fillId="4" borderId="5" xfId="12" applyNumberFormat="1" applyFont="1" applyFill="1" applyBorder="1" applyAlignment="1" applyProtection="1">
      <alignment vertical="center"/>
      <protection locked="0"/>
    </xf>
    <xf numFmtId="10" fontId="44" fillId="4" borderId="6" xfId="12" applyNumberFormat="1" applyFont="1" applyFill="1" applyBorder="1" applyAlignment="1">
      <alignment vertical="center"/>
    </xf>
    <xf numFmtId="0" fontId="44" fillId="0" borderId="4" xfId="42" applyFont="1" applyBorder="1" applyAlignment="1" applyProtection="1">
      <alignment vertical="center"/>
      <protection locked="0"/>
    </xf>
    <xf numFmtId="0" fontId="44"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176" fillId="0" borderId="4" xfId="42" applyFont="1" applyBorder="1" applyAlignment="1" applyProtection="1">
      <alignment vertical="center"/>
      <protection locked="0"/>
    </xf>
    <xf numFmtId="0" fontId="176"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7" fillId="0" borderId="4" xfId="42" applyFont="1" applyBorder="1" applyAlignment="1" applyProtection="1">
      <alignment vertical="center"/>
      <protection locked="0"/>
    </xf>
    <xf numFmtId="0" fontId="177" fillId="0" borderId="6" xfId="42" applyFont="1" applyBorder="1" applyAlignment="1" applyProtection="1">
      <alignment vertical="center"/>
      <protection locked="0"/>
    </xf>
    <xf numFmtId="0" fontId="44" fillId="0" borderId="7" xfId="42" applyFont="1" applyBorder="1" applyAlignment="1" applyProtection="1">
      <alignment vertical="center"/>
      <protection locked="0"/>
    </xf>
    <xf numFmtId="0" fontId="44" fillId="0" borderId="35" xfId="42" applyFont="1" applyBorder="1" applyAlignment="1" applyProtection="1">
      <alignment vertical="center"/>
      <protection locked="0"/>
    </xf>
    <xf numFmtId="0" fontId="44" fillId="0" borderId="29" xfId="42" applyFont="1" applyBorder="1" applyAlignment="1" applyProtection="1">
      <alignment horizontal="center" vertical="center"/>
      <protection locked="0"/>
    </xf>
    <xf numFmtId="4" fontId="44" fillId="0" borderId="25" xfId="42" applyNumberFormat="1" applyFont="1" applyBorder="1" applyAlignment="1" applyProtection="1">
      <alignment horizontal="center" vertical="center"/>
      <protection locked="0"/>
    </xf>
    <xf numFmtId="4" fontId="44" fillId="0" borderId="26" xfId="42" applyNumberFormat="1" applyFont="1" applyBorder="1" applyAlignment="1" applyProtection="1">
      <alignment horizontal="center" vertical="center"/>
      <protection locked="0"/>
    </xf>
    <xf numFmtId="4" fontId="44" fillId="4" borderId="45" xfId="12" applyNumberFormat="1" applyFont="1" applyFill="1" applyBorder="1" applyAlignment="1">
      <alignment horizontal="center" vertical="center"/>
    </xf>
    <xf numFmtId="4" fontId="44" fillId="0" borderId="44" xfId="12" applyNumberFormat="1" applyFont="1" applyFill="1" applyBorder="1" applyAlignment="1">
      <alignment horizontal="center" vertical="center"/>
    </xf>
    <xf numFmtId="4" fontId="44" fillId="4" borderId="45" xfId="12" applyNumberFormat="1" applyFont="1" applyFill="1" applyBorder="1" applyAlignment="1" applyProtection="1">
      <alignment horizontal="center" vertical="center"/>
      <protection locked="0"/>
    </xf>
    <xf numFmtId="4" fontId="44" fillId="23" borderId="25" xfId="12" applyNumberFormat="1" applyFont="1" applyFill="1" applyBorder="1" applyAlignment="1">
      <alignment horizontal="center" vertical="center"/>
    </xf>
    <xf numFmtId="4" fontId="44" fillId="0" borderId="26" xfId="12" applyNumberFormat="1" applyFont="1" applyFill="1" applyBorder="1" applyAlignment="1" applyProtection="1">
      <alignment horizontal="center" vertical="center"/>
      <protection locked="0"/>
    </xf>
    <xf numFmtId="4" fontId="44" fillId="4" borderId="44" xfId="12" applyNumberFormat="1" applyFont="1" applyFill="1" applyBorder="1" applyAlignment="1">
      <alignment horizontal="center" vertical="center"/>
    </xf>
    <xf numFmtId="4" fontId="44" fillId="4" borderId="25" xfId="12" applyNumberFormat="1" applyFont="1" applyFill="1" applyBorder="1" applyAlignment="1" applyProtection="1">
      <alignment horizontal="center" vertical="center"/>
      <protection locked="0"/>
    </xf>
    <xf numFmtId="10" fontId="44" fillId="4" borderId="45" xfId="12" applyNumberFormat="1" applyFont="1" applyFill="1" applyBorder="1" applyAlignment="1">
      <alignment horizontal="center" vertical="center"/>
    </xf>
    <xf numFmtId="4" fontId="44" fillId="4" borderId="44" xfId="12" applyNumberFormat="1" applyFont="1" applyFill="1" applyBorder="1" applyAlignment="1">
      <alignment vertical="center"/>
    </xf>
    <xf numFmtId="4" fontId="44" fillId="4" borderId="25" xfId="12" applyNumberFormat="1" applyFont="1" applyFill="1" applyBorder="1" applyAlignment="1" applyProtection="1">
      <alignment vertical="center"/>
      <protection locked="0"/>
    </xf>
    <xf numFmtId="10" fontId="44" fillId="4" borderId="45" xfId="12" applyNumberFormat="1" applyFont="1" applyFill="1" applyBorder="1" applyAlignment="1">
      <alignment vertical="center"/>
    </xf>
    <xf numFmtId="10" fontId="17" fillId="4" borderId="2" xfId="27" applyNumberFormat="1" applyFont="1" applyFill="1" applyBorder="1" applyAlignment="1">
      <alignment horizontal="center" vertical="center"/>
    </xf>
    <xf numFmtId="10" fontId="44" fillId="4" borderId="5" xfId="12" applyNumberFormat="1" applyFont="1" applyFill="1" applyBorder="1" applyAlignment="1">
      <alignment horizontal="center" vertical="center"/>
    </xf>
    <xf numFmtId="4" fontId="16" fillId="0" borderId="17" xfId="12" applyNumberFormat="1" applyFont="1" applyFill="1" applyBorder="1"/>
    <xf numFmtId="4" fontId="17" fillId="0" borderId="5" xfId="12" applyNumberFormat="1" applyFont="1" applyFill="1" applyBorder="1"/>
    <xf numFmtId="4" fontId="17" fillId="4" borderId="9" xfId="12" applyNumberFormat="1" applyFont="1" applyFill="1" applyBorder="1" applyAlignment="1">
      <alignment horizontal="center"/>
    </xf>
    <xf numFmtId="4" fontId="17" fillId="4" borderId="17" xfId="12" applyNumberFormat="1" applyFont="1" applyFill="1" applyBorder="1" applyAlignment="1">
      <alignment horizontal="right"/>
    </xf>
    <xf numFmtId="4" fontId="17" fillId="4" borderId="63" xfId="12" applyNumberFormat="1" applyFont="1" applyFill="1" applyBorder="1" applyAlignment="1">
      <alignment horizontal="center"/>
    </xf>
    <xf numFmtId="10" fontId="44" fillId="4" borderId="8" xfId="12" applyNumberFormat="1" applyFont="1" applyFill="1" applyBorder="1" applyAlignment="1">
      <alignment horizontal="center" vertical="center"/>
    </xf>
    <xf numFmtId="4" fontId="17" fillId="4" borderId="62" xfId="12" applyNumberFormat="1" applyFont="1" applyFill="1" applyBorder="1"/>
    <xf numFmtId="4" fontId="30" fillId="7" borderId="5" xfId="12" applyNumberFormat="1" applyFont="1" applyFill="1" applyBorder="1"/>
    <xf numFmtId="164" fontId="22" fillId="0" borderId="0" xfId="2" applyFont="1" applyAlignment="1">
      <alignment horizontal="center"/>
    </xf>
    <xf numFmtId="0" fontId="132" fillId="28" borderId="0" xfId="12" applyFont="1" applyFill="1" applyBorder="1" applyAlignment="1">
      <alignment horizontal="center" vertical="center"/>
    </xf>
    <xf numFmtId="0" fontId="75" fillId="0" borderId="1" xfId="42" applyFont="1" applyBorder="1" applyAlignment="1" applyProtection="1">
      <alignment vertical="center"/>
      <protection locked="0"/>
    </xf>
    <xf numFmtId="0" fontId="75" fillId="0" borderId="2" xfId="42" applyFont="1" applyBorder="1" applyAlignment="1" applyProtection="1">
      <alignment vertical="center"/>
      <protection locked="0"/>
    </xf>
    <xf numFmtId="0" fontId="75" fillId="0" borderId="3" xfId="42" applyFont="1" applyBorder="1" applyAlignment="1" applyProtection="1">
      <alignment vertical="center"/>
      <protection locked="0"/>
    </xf>
    <xf numFmtId="164" fontId="75" fillId="0" borderId="1" xfId="2" applyFont="1" applyBorder="1" applyAlignment="1">
      <alignment horizontal="right"/>
    </xf>
    <xf numFmtId="164" fontId="75" fillId="0" borderId="2" xfId="2" applyFont="1" applyBorder="1" applyAlignment="1">
      <alignment horizontal="right"/>
    </xf>
    <xf numFmtId="164" fontId="75" fillId="0" borderId="57" xfId="2" applyFont="1" applyBorder="1" applyAlignment="1">
      <alignment horizontal="right"/>
    </xf>
    <xf numFmtId="164" fontId="75" fillId="0" borderId="3" xfId="2" applyFont="1" applyBorder="1" applyAlignment="1">
      <alignment horizontal="center"/>
    </xf>
    <xf numFmtId="164" fontId="75" fillId="0" borderId="40" xfId="2" applyFont="1" applyBorder="1" applyAlignment="1">
      <alignment horizontal="center"/>
    </xf>
    <xf numFmtId="0" fontId="45" fillId="4" borderId="1" xfId="12" applyFont="1" applyFill="1" applyBorder="1" applyAlignment="1">
      <alignment horizontal="center" vertical="center"/>
    </xf>
    <xf numFmtId="4" fontId="158" fillId="4" borderId="3" xfId="42" applyNumberFormat="1" applyFont="1" applyFill="1" applyBorder="1" applyAlignment="1">
      <alignment horizontal="center"/>
    </xf>
    <xf numFmtId="4" fontId="132" fillId="4" borderId="61" xfId="12" applyNumberFormat="1" applyFont="1" applyFill="1" applyBorder="1" applyAlignment="1">
      <alignment horizontal="center" vertical="center"/>
    </xf>
    <xf numFmtId="4" fontId="158" fillId="4" borderId="57" xfId="42" applyNumberFormat="1" applyFont="1" applyFill="1" applyBorder="1" applyAlignment="1">
      <alignment horizontal="center"/>
    </xf>
    <xf numFmtId="4" fontId="132" fillId="4" borderId="2" xfId="42" applyNumberFormat="1" applyFont="1" applyFill="1" applyBorder="1" applyAlignment="1">
      <alignment horizontal="center"/>
    </xf>
    <xf numFmtId="4" fontId="132" fillId="4" borderId="2" xfId="42" applyNumberFormat="1" applyFont="1" applyFill="1" applyBorder="1"/>
    <xf numFmtId="4" fontId="132" fillId="4" borderId="0" xfId="12" applyNumberFormat="1" applyFont="1" applyFill="1"/>
    <xf numFmtId="0" fontId="93" fillId="4" borderId="4" xfId="42" quotePrefix="1" applyFont="1" applyFill="1" applyBorder="1" applyAlignment="1" applyProtection="1">
      <alignment vertical="center"/>
      <protection locked="0"/>
    </xf>
    <xf numFmtId="0" fontId="93" fillId="4" borderId="5" xfId="42" applyFont="1" applyFill="1" applyBorder="1" applyAlignment="1" applyProtection="1">
      <alignment horizontal="left" vertical="center" indent="1"/>
      <protection locked="0"/>
    </xf>
    <xf numFmtId="0" fontId="93" fillId="4" borderId="6" xfId="42" applyFont="1" applyFill="1" applyBorder="1" applyAlignment="1" applyProtection="1">
      <alignment horizontal="center" vertical="center"/>
      <protection locked="0"/>
    </xf>
    <xf numFmtId="4" fontId="139" fillId="4" borderId="4" xfId="42" applyNumberFormat="1" applyFont="1" applyFill="1" applyBorder="1" applyAlignment="1">
      <alignment vertical="top"/>
    </xf>
    <xf numFmtId="4" fontId="139" fillId="4" borderId="5" xfId="42" applyNumberFormat="1" applyFont="1" applyFill="1" applyBorder="1" applyAlignment="1">
      <alignment vertical="top"/>
    </xf>
    <xf numFmtId="4" fontId="139" fillId="4" borderId="9" xfId="42" applyNumberFormat="1" applyFont="1" applyFill="1" applyBorder="1" applyAlignment="1">
      <alignment vertical="top"/>
    </xf>
    <xf numFmtId="4" fontId="139" fillId="4" borderId="6" xfId="42" applyNumberFormat="1" applyFont="1" applyFill="1" applyBorder="1" applyAlignment="1">
      <alignment vertical="top"/>
    </xf>
    <xf numFmtId="4" fontId="45" fillId="4" borderId="10" xfId="12" applyNumberFormat="1" applyFont="1" applyFill="1" applyBorder="1" applyAlignment="1">
      <alignment horizontal="center"/>
    </xf>
    <xf numFmtId="4" fontId="45" fillId="4" borderId="17" xfId="42" applyNumberFormat="1" applyFont="1" applyFill="1" applyBorder="1" applyAlignment="1">
      <alignment horizontal="center"/>
    </xf>
    <xf numFmtId="4" fontId="45" fillId="4" borderId="9" xfId="12" applyNumberFormat="1" applyFont="1" applyFill="1" applyBorder="1" applyAlignment="1" applyProtection="1">
      <alignment horizontal="center" vertical="center"/>
      <protection locked="0"/>
    </xf>
    <xf numFmtId="10" fontId="45" fillId="4" borderId="6" xfId="12" applyNumberFormat="1" applyFont="1" applyFill="1" applyBorder="1" applyAlignment="1">
      <alignment horizontal="center"/>
    </xf>
    <xf numFmtId="4" fontId="45" fillId="4" borderId="4" xfId="12" applyNumberFormat="1" applyFont="1" applyFill="1" applyBorder="1"/>
    <xf numFmtId="10" fontId="45" fillId="4" borderId="6" xfId="12" applyNumberFormat="1" applyFont="1" applyFill="1" applyBorder="1"/>
    <xf numFmtId="4" fontId="140" fillId="4" borderId="0" xfId="12" applyNumberFormat="1" applyFont="1" applyFill="1"/>
    <xf numFmtId="0" fontId="75" fillId="0" borderId="1" xfId="42" quotePrefix="1" applyFont="1" applyBorder="1" applyAlignment="1" applyProtection="1">
      <alignment vertical="center"/>
      <protection locked="0"/>
    </xf>
    <xf numFmtId="0" fontId="136" fillId="4" borderId="6" xfId="42" applyFont="1" applyFill="1" applyBorder="1" applyAlignment="1" applyProtection="1">
      <alignment horizontal="center" vertical="center"/>
      <protection locked="0"/>
    </xf>
    <xf numFmtId="0" fontId="44" fillId="4" borderId="4" xfId="42" applyFont="1" applyFill="1" applyBorder="1" applyAlignment="1">
      <alignment vertical="top"/>
    </xf>
    <xf numFmtId="0" fontId="44" fillId="4" borderId="5" xfId="42" applyFont="1" applyFill="1" applyBorder="1" applyAlignment="1">
      <alignment vertical="top"/>
    </xf>
    <xf numFmtId="0" fontId="44" fillId="4" borderId="9" xfId="42" applyFont="1" applyFill="1" applyBorder="1" applyAlignment="1">
      <alignment vertical="top"/>
    </xf>
    <xf numFmtId="0" fontId="44" fillId="4" borderId="6" xfId="42" applyFont="1" applyFill="1" applyBorder="1" applyAlignment="1">
      <alignment vertical="top"/>
    </xf>
    <xf numFmtId="0" fontId="93" fillId="4" borderId="4" xfId="42" applyFont="1" applyFill="1" applyBorder="1" applyAlignment="1" applyProtection="1">
      <alignment vertical="center"/>
      <protection locked="0"/>
    </xf>
    <xf numFmtId="4" fontId="16" fillId="4" borderId="5" xfId="12" applyNumberFormat="1" applyFont="1" applyFill="1" applyBorder="1" applyAlignment="1">
      <alignment horizontal="center" vertical="center"/>
    </xf>
    <xf numFmtId="10" fontId="17" fillId="4" borderId="35" xfId="27" applyNumberFormat="1" applyFont="1" applyFill="1" applyBorder="1"/>
    <xf numFmtId="4" fontId="43" fillId="7" borderId="0" xfId="12" applyNumberFormat="1" applyFont="1" applyFill="1"/>
    <xf numFmtId="0" fontId="132" fillId="0" borderId="0" xfId="12" applyFont="1" applyAlignment="1">
      <alignment horizontal="right"/>
    </xf>
    <xf numFmtId="164" fontId="22" fillId="0" borderId="0" xfId="2" applyFont="1" applyFill="1" applyAlignment="1">
      <alignment horizontal="center"/>
    </xf>
    <xf numFmtId="0" fontId="178" fillId="0" borderId="0" xfId="42" applyFont="1"/>
    <xf numFmtId="0" fontId="178" fillId="0" borderId="0" xfId="42" applyFont="1" applyAlignment="1"/>
    <xf numFmtId="4" fontId="179" fillId="0" borderId="0" xfId="42" applyNumberFormat="1" applyFont="1" applyFill="1" applyAlignment="1">
      <alignment horizontal="right"/>
    </xf>
    <xf numFmtId="4" fontId="179" fillId="0" borderId="0" xfId="42" applyNumberFormat="1" applyFont="1" applyFill="1"/>
    <xf numFmtId="175" fontId="178" fillId="0" borderId="0" xfId="42" applyNumberFormat="1" applyFont="1" applyAlignment="1">
      <alignment horizontal="center"/>
    </xf>
    <xf numFmtId="0" fontId="178" fillId="4" borderId="0" xfId="42" applyFont="1" applyFill="1"/>
    <xf numFmtId="0" fontId="178" fillId="0" borderId="0" xfId="42" applyFont="1" applyAlignment="1">
      <alignment horizontal="center"/>
    </xf>
    <xf numFmtId="0" fontId="178" fillId="4" borderId="0" xfId="42" applyFont="1" applyFill="1" applyAlignment="1">
      <alignment horizontal="center"/>
    </xf>
    <xf numFmtId="182" fontId="178" fillId="0" borderId="0" xfId="42" applyNumberFormat="1" applyFont="1" applyAlignment="1">
      <alignment horizontal="center"/>
    </xf>
    <xf numFmtId="0" fontId="179" fillId="0" borderId="0" xfId="60" applyFont="1" applyAlignment="1">
      <alignment horizontal="right" vertical="center"/>
    </xf>
    <xf numFmtId="0" fontId="179" fillId="0" borderId="0" xfId="60" applyFont="1" applyAlignment="1">
      <alignment horizontal="left" vertical="center" wrapText="1"/>
    </xf>
    <xf numFmtId="2" fontId="179" fillId="0" borderId="0" xfId="60" applyNumberFormat="1" applyFont="1" applyFill="1" applyAlignment="1">
      <alignment horizontal="center" vertical="center" wrapText="1"/>
    </xf>
    <xf numFmtId="0" fontId="179" fillId="0" borderId="0" xfId="60" applyFont="1" applyFill="1" applyAlignment="1">
      <alignment horizontal="center" vertical="center" wrapText="1"/>
    </xf>
    <xf numFmtId="0" fontId="179" fillId="4" borderId="0" xfId="60" applyFont="1" applyFill="1" applyAlignment="1">
      <alignment horizontal="center" vertical="center" wrapText="1"/>
    </xf>
    <xf numFmtId="0" fontId="179" fillId="0" borderId="0" xfId="60" applyFont="1" applyAlignment="1">
      <alignment horizontal="center" vertical="center" wrapText="1"/>
    </xf>
    <xf numFmtId="0" fontId="179" fillId="0" borderId="0" xfId="42" applyFont="1"/>
    <xf numFmtId="0" fontId="180" fillId="7" borderId="93" xfId="42" applyFont="1" applyFill="1" applyBorder="1" applyAlignment="1">
      <alignment horizontal="center" vertical="top" wrapText="1"/>
    </xf>
    <xf numFmtId="0" fontId="180" fillId="7" borderId="93" xfId="42" applyFont="1" applyFill="1" applyBorder="1" applyAlignment="1">
      <alignment horizontal="left" vertical="center" wrapText="1"/>
    </xf>
    <xf numFmtId="4" fontId="180" fillId="7" borderId="93" xfId="42" applyNumberFormat="1" applyFont="1" applyFill="1" applyBorder="1" applyAlignment="1">
      <alignment horizontal="right" vertical="center" wrapText="1"/>
    </xf>
    <xf numFmtId="10" fontId="179" fillId="7" borderId="93" xfId="27" applyNumberFormat="1" applyFont="1" applyFill="1" applyBorder="1" applyAlignment="1" applyProtection="1">
      <alignment horizontal="right" vertical="center"/>
    </xf>
    <xf numFmtId="2" fontId="178" fillId="0" borderId="0" xfId="42" applyNumberFormat="1" applyFont="1"/>
    <xf numFmtId="4" fontId="178" fillId="0" borderId="0" xfId="42" applyNumberFormat="1" applyFont="1"/>
    <xf numFmtId="165" fontId="179" fillId="0" borderId="0" xfId="61" applyFont="1"/>
    <xf numFmtId="0" fontId="180" fillId="4" borderId="12" xfId="42" applyFont="1" applyFill="1" applyBorder="1" applyAlignment="1">
      <alignment horizontal="center" vertical="top" wrapText="1"/>
    </xf>
    <xf numFmtId="0" fontId="182" fillId="4" borderId="12" xfId="42" applyFont="1" applyFill="1" applyBorder="1" applyAlignment="1">
      <alignment horizontal="left" vertical="center" wrapText="1"/>
    </xf>
    <xf numFmtId="4" fontId="182" fillId="4" borderId="12" xfId="42" applyNumberFormat="1" applyFont="1" applyFill="1" applyBorder="1" applyAlignment="1">
      <alignment horizontal="right" vertical="center" wrapText="1"/>
    </xf>
    <xf numFmtId="10" fontId="179" fillId="4" borderId="12" xfId="27"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xf>
    <xf numFmtId="10" fontId="178" fillId="0" borderId="0" xfId="27" applyNumberFormat="1" applyFont="1"/>
    <xf numFmtId="0" fontId="180" fillId="7" borderId="12" xfId="42" applyFont="1" applyFill="1" applyBorder="1" applyAlignment="1">
      <alignment horizontal="center" vertical="top" wrapText="1"/>
    </xf>
    <xf numFmtId="0" fontId="180" fillId="7" borderId="12" xfId="42" applyFont="1" applyFill="1" applyBorder="1" applyAlignment="1">
      <alignment horizontal="left" vertical="center" wrapText="1"/>
    </xf>
    <xf numFmtId="4" fontId="180" fillId="7" borderId="12" xfId="42" applyNumberFormat="1" applyFont="1" applyFill="1" applyBorder="1" applyAlignment="1">
      <alignment horizontal="right" vertical="center" wrapText="1"/>
    </xf>
    <xf numFmtId="10" fontId="179" fillId="7" borderId="12" xfId="27" applyNumberFormat="1" applyFont="1" applyFill="1" applyBorder="1" applyAlignment="1" applyProtection="1">
      <alignment horizontal="right" vertical="center"/>
    </xf>
    <xf numFmtId="4" fontId="179" fillId="7" borderId="12" xfId="42" applyNumberFormat="1" applyFont="1" applyFill="1" applyBorder="1" applyAlignment="1" applyProtection="1">
      <alignment horizontal="right" vertical="center"/>
    </xf>
    <xf numFmtId="10" fontId="179" fillId="7" borderId="12" xfId="27" applyNumberFormat="1" applyFont="1" applyFill="1" applyBorder="1" applyAlignment="1" applyProtection="1">
      <alignment horizontal="right"/>
    </xf>
    <xf numFmtId="0" fontId="180" fillId="6" borderId="12" xfId="42" applyFont="1" applyFill="1" applyBorder="1" applyAlignment="1">
      <alignment horizontal="center" vertical="top" wrapText="1"/>
    </xf>
    <xf numFmtId="0" fontId="180" fillId="6" borderId="12" xfId="42" applyFont="1" applyFill="1" applyBorder="1" applyAlignment="1">
      <alignment horizontal="left" vertical="center" wrapText="1"/>
    </xf>
    <xf numFmtId="4" fontId="180" fillId="6" borderId="12" xfId="42" applyNumberFormat="1" applyFont="1" applyFill="1" applyBorder="1" applyAlignment="1">
      <alignment horizontal="right" vertical="center" wrapText="1"/>
    </xf>
    <xf numFmtId="4" fontId="182" fillId="6" borderId="12" xfId="42" applyNumberFormat="1" applyFont="1" applyFill="1" applyBorder="1" applyAlignment="1">
      <alignment horizontal="center" vertical="center" wrapText="1"/>
    </xf>
    <xf numFmtId="10" fontId="178" fillId="6" borderId="12" xfId="27" applyNumberFormat="1" applyFont="1" applyFill="1" applyBorder="1" applyAlignment="1" applyProtection="1">
      <alignment horizontal="right" vertical="center"/>
    </xf>
    <xf numFmtId="4" fontId="178" fillId="6" borderId="12" xfId="42" applyNumberFormat="1" applyFont="1" applyFill="1" applyBorder="1" applyAlignment="1" applyProtection="1">
      <alignment horizontal="right" vertical="center"/>
    </xf>
    <xf numFmtId="10" fontId="178" fillId="6" borderId="12" xfId="27" applyNumberFormat="1" applyFont="1" applyFill="1" applyBorder="1" applyAlignment="1" applyProtection="1">
      <alignment horizontal="right"/>
    </xf>
    <xf numFmtId="0" fontId="180" fillId="11" borderId="12" xfId="42" applyFont="1" applyFill="1" applyBorder="1" applyAlignment="1">
      <alignment horizontal="center" vertical="top" wrapText="1"/>
    </xf>
    <xf numFmtId="0" fontId="180" fillId="11" borderId="12" xfId="42" applyFont="1" applyFill="1" applyBorder="1" applyAlignment="1">
      <alignment horizontal="left" vertical="center" wrapText="1"/>
    </xf>
    <xf numFmtId="4" fontId="180"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2" fillId="0" borderId="12" xfId="42" applyFont="1" applyFill="1" applyBorder="1" applyAlignment="1">
      <alignment horizontal="center" vertical="top" wrapText="1"/>
    </xf>
    <xf numFmtId="0" fontId="182" fillId="0" borderId="12" xfId="42" applyFont="1" applyFill="1" applyBorder="1" applyAlignment="1">
      <alignment horizontal="left" vertical="center" wrapText="1" indent="2"/>
    </xf>
    <xf numFmtId="4" fontId="182" fillId="0" borderId="12" xfId="42" applyNumberFormat="1" applyFont="1" applyFill="1" applyBorder="1" applyAlignment="1">
      <alignment horizontal="right" vertical="center" wrapText="1"/>
    </xf>
    <xf numFmtId="10" fontId="178" fillId="0" borderId="12" xfId="27" applyNumberFormat="1" applyFont="1" applyFill="1" applyBorder="1" applyAlignment="1" applyProtection="1">
      <alignment horizontal="right" vertical="center"/>
    </xf>
    <xf numFmtId="0" fontId="182" fillId="4" borderId="12" xfId="42" applyFont="1" applyFill="1" applyBorder="1" applyAlignment="1">
      <alignment horizontal="left" vertical="center" wrapText="1" indent="2"/>
    </xf>
    <xf numFmtId="183" fontId="179" fillId="0" borderId="0" xfId="27" applyNumberFormat="1" applyFont="1"/>
    <xf numFmtId="0" fontId="180" fillId="0" borderId="12" xfId="42" applyFont="1" applyFill="1" applyBorder="1" applyAlignment="1">
      <alignment horizontal="center" vertical="top" wrapText="1"/>
    </xf>
    <xf numFmtId="10" fontId="179" fillId="0" borderId="12" xfId="27" applyNumberFormat="1" applyFont="1" applyFill="1" applyBorder="1" applyAlignment="1" applyProtection="1">
      <alignment horizontal="right" vertical="center"/>
    </xf>
    <xf numFmtId="0" fontId="181" fillId="11" borderId="12" xfId="42" applyFont="1" applyFill="1" applyBorder="1" applyAlignment="1">
      <alignment horizontal="center" vertical="top" wrapText="1"/>
    </xf>
    <xf numFmtId="0" fontId="181" fillId="11" borderId="12" xfId="42" applyFont="1" applyFill="1" applyBorder="1" applyAlignment="1">
      <alignment horizontal="left" vertical="center" wrapText="1"/>
    </xf>
    <xf numFmtId="4" fontId="181" fillId="11" borderId="12" xfId="42" applyNumberFormat="1" applyFont="1" applyFill="1" applyBorder="1" applyAlignment="1">
      <alignment horizontal="right" vertical="center" wrapText="1"/>
    </xf>
    <xf numFmtId="10" fontId="181" fillId="11" borderId="12" xfId="27" applyNumberFormat="1" applyFont="1" applyFill="1" applyBorder="1" applyAlignment="1" applyProtection="1">
      <alignment horizontal="right" vertical="center"/>
    </xf>
    <xf numFmtId="4" fontId="181" fillId="11" borderId="12" xfId="42" applyNumberFormat="1" applyFont="1" applyFill="1" applyBorder="1" applyAlignment="1" applyProtection="1">
      <alignment horizontal="right" vertical="center"/>
    </xf>
    <xf numFmtId="0" fontId="182" fillId="0" borderId="10" xfId="42" applyFont="1" applyFill="1" applyBorder="1" applyAlignment="1">
      <alignment horizontal="center" vertical="top" wrapText="1"/>
    </xf>
    <xf numFmtId="0" fontId="182" fillId="0" borderId="10" xfId="42" applyFont="1" applyFill="1" applyBorder="1" applyAlignment="1">
      <alignment horizontal="left" vertical="center" wrapText="1"/>
    </xf>
    <xf numFmtId="4" fontId="182" fillId="0" borderId="10" xfId="42" applyNumberFormat="1" applyFont="1" applyFill="1" applyBorder="1" applyAlignment="1">
      <alignment horizontal="right" vertical="center" wrapText="1"/>
    </xf>
    <xf numFmtId="10" fontId="178" fillId="0" borderId="10" xfId="27" applyNumberFormat="1" applyFont="1" applyFill="1" applyBorder="1" applyAlignment="1" applyProtection="1">
      <alignment horizontal="right" vertical="center"/>
    </xf>
    <xf numFmtId="4" fontId="178" fillId="0" borderId="10" xfId="42" applyNumberFormat="1" applyFont="1" applyFill="1" applyBorder="1" applyAlignment="1" applyProtection="1">
      <alignment horizontal="right" vertical="center"/>
    </xf>
    <xf numFmtId="4" fontId="180" fillId="30" borderId="5" xfId="42" applyNumberFormat="1" applyFont="1" applyFill="1" applyBorder="1" applyAlignment="1">
      <alignment horizontal="right" vertical="top" wrapText="1"/>
    </xf>
    <xf numFmtId="10" fontId="179" fillId="30" borderId="5" xfId="27" applyNumberFormat="1" applyFont="1" applyFill="1" applyBorder="1" applyAlignment="1" applyProtection="1">
      <alignment horizontal="right"/>
    </xf>
    <xf numFmtId="0" fontId="178" fillId="0" borderId="28" xfId="42" applyFont="1" applyBorder="1" applyAlignment="1">
      <alignment horizontal="right"/>
    </xf>
    <xf numFmtId="0" fontId="180" fillId="0" borderId="28" xfId="42" applyFont="1" applyFill="1" applyBorder="1" applyAlignment="1">
      <alignment horizontal="left" vertical="top" wrapText="1"/>
    </xf>
    <xf numFmtId="4" fontId="180" fillId="0" borderId="28" xfId="42" applyNumberFormat="1" applyFont="1" applyFill="1" applyBorder="1" applyAlignment="1">
      <alignment horizontal="left" vertical="top" wrapText="1"/>
    </xf>
    <xf numFmtId="2" fontId="179" fillId="0" borderId="10" xfId="42" applyNumberFormat="1" applyFont="1" applyFill="1" applyBorder="1" applyAlignment="1" applyProtection="1">
      <alignment horizontal="right"/>
    </xf>
    <xf numFmtId="10" fontId="179" fillId="0" borderId="10" xfId="27" applyNumberFormat="1" applyFont="1" applyFill="1" applyBorder="1" applyAlignment="1" applyProtection="1">
      <alignment horizontal="right"/>
    </xf>
    <xf numFmtId="4" fontId="180" fillId="10" borderId="5" xfId="42" applyNumberFormat="1" applyFont="1" applyFill="1" applyBorder="1" applyAlignment="1">
      <alignment horizontal="right" vertical="top" wrapText="1"/>
    </xf>
    <xf numFmtId="4" fontId="180" fillId="10" borderId="5" xfId="42" applyNumberFormat="1" applyFont="1" applyFill="1" applyBorder="1" applyAlignment="1">
      <alignment horizontal="right" vertical="center" wrapText="1"/>
    </xf>
    <xf numFmtId="10" fontId="179" fillId="10" borderId="5" xfId="42" applyNumberFormat="1" applyFont="1" applyFill="1" applyBorder="1" applyAlignment="1" applyProtection="1">
      <alignment horizontal="center" vertical="center"/>
    </xf>
    <xf numFmtId="10" fontId="179" fillId="10" borderId="5" xfId="27" applyNumberFormat="1" applyFont="1" applyFill="1" applyBorder="1" applyAlignment="1" applyProtection="1">
      <alignment horizontal="right" vertical="center"/>
    </xf>
    <xf numFmtId="0" fontId="180" fillId="0" borderId="83" xfId="42" applyFont="1" applyFill="1" applyBorder="1" applyAlignment="1">
      <alignment horizontal="center" vertical="top" wrapText="1"/>
    </xf>
    <xf numFmtId="0" fontId="178" fillId="4" borderId="83" xfId="63" applyFont="1" applyFill="1" applyBorder="1" applyAlignment="1"/>
    <xf numFmtId="4" fontId="178" fillId="0" borderId="83" xfId="63" applyNumberFormat="1" applyFont="1" applyFill="1" applyBorder="1" applyAlignment="1"/>
    <xf numFmtId="4" fontId="178" fillId="4" borderId="83" xfId="63" applyNumberFormat="1" applyFont="1" applyFill="1" applyBorder="1" applyAlignment="1"/>
    <xf numFmtId="10" fontId="178" fillId="0" borderId="83" xfId="27" applyNumberFormat="1" applyFont="1" applyFill="1" applyBorder="1" applyAlignment="1" applyProtection="1">
      <alignment horizontal="right"/>
    </xf>
    <xf numFmtId="185" fontId="178" fillId="4" borderId="12" xfId="63" applyNumberFormat="1" applyFont="1" applyFill="1" applyBorder="1" applyAlignment="1"/>
    <xf numFmtId="4" fontId="178" fillId="0" borderId="83" xfId="42" applyNumberFormat="1" applyFont="1" applyFill="1" applyBorder="1" applyAlignment="1" applyProtection="1">
      <alignment horizontal="right"/>
    </xf>
    <xf numFmtId="10" fontId="178" fillId="4" borderId="83" xfId="27" applyNumberFormat="1" applyFont="1" applyFill="1" applyBorder="1" applyAlignment="1" applyProtection="1">
      <alignment horizontal="right"/>
    </xf>
    <xf numFmtId="176" fontId="178" fillId="0" borderId="0" xfId="42" applyNumberFormat="1" applyFont="1"/>
    <xf numFmtId="0" fontId="178" fillId="4" borderId="12" xfId="63" applyFont="1" applyFill="1" applyBorder="1" applyAlignment="1"/>
    <xf numFmtId="4" fontId="178" fillId="0" borderId="12" xfId="63" applyNumberFormat="1" applyFont="1" applyFill="1" applyBorder="1" applyAlignment="1"/>
    <xf numFmtId="4" fontId="178" fillId="0" borderId="12" xfId="42" applyNumberFormat="1" applyFont="1" applyBorder="1" applyAlignment="1">
      <alignment horizontal="right"/>
    </xf>
    <xf numFmtId="4" fontId="178" fillId="4" borderId="12" xfId="63" applyNumberFormat="1" applyFont="1" applyFill="1" applyBorder="1" applyAlignment="1"/>
    <xf numFmtId="4" fontId="178" fillId="0" borderId="12" xfId="42" applyNumberFormat="1" applyFont="1" applyFill="1" applyBorder="1" applyAlignment="1" applyProtection="1">
      <alignment horizontal="right"/>
    </xf>
    <xf numFmtId="0" fontId="178" fillId="0" borderId="12" xfId="63" applyFont="1" applyFill="1" applyBorder="1" applyAlignment="1"/>
    <xf numFmtId="0" fontId="180" fillId="0" borderId="94" xfId="42" applyFont="1" applyFill="1" applyBorder="1" applyAlignment="1">
      <alignment horizontal="center" vertical="top" wrapText="1"/>
    </xf>
    <xf numFmtId="0" fontId="178" fillId="0" borderId="94" xfId="63" applyFont="1" applyFill="1" applyBorder="1" applyAlignment="1"/>
    <xf numFmtId="4" fontId="178" fillId="0" borderId="94" xfId="63" applyNumberFormat="1" applyFont="1" applyFill="1" applyBorder="1" applyAlignment="1"/>
    <xf numFmtId="4" fontId="183" fillId="10" borderId="5" xfId="62" applyNumberFormat="1" applyFont="1" applyFill="1" applyBorder="1" applyAlignment="1">
      <alignment vertical="center" wrapText="1"/>
    </xf>
    <xf numFmtId="0" fontId="180" fillId="0" borderId="93" xfId="42" applyFont="1" applyFill="1" applyBorder="1" applyAlignment="1">
      <alignment horizontal="center" vertical="top" wrapText="1"/>
    </xf>
    <xf numFmtId="184" fontId="183" fillId="0" borderId="93" xfId="62" applyFont="1" applyFill="1" applyBorder="1" applyAlignment="1">
      <alignment horizontal="left" vertical="center" wrapText="1"/>
    </xf>
    <xf numFmtId="4" fontId="183" fillId="0" borderId="93" xfId="62" applyNumberFormat="1" applyFont="1" applyFill="1" applyBorder="1" applyAlignment="1">
      <alignment horizontal="right" vertical="center" wrapText="1"/>
    </xf>
    <xf numFmtId="2" fontId="179" fillId="0" borderId="93" xfId="42" applyNumberFormat="1" applyFont="1" applyFill="1" applyBorder="1" applyAlignment="1" applyProtection="1">
      <alignment horizontal="right"/>
    </xf>
    <xf numFmtId="10" fontId="179" fillId="0" borderId="93" xfId="27" applyNumberFormat="1" applyFont="1" applyFill="1" applyBorder="1" applyAlignment="1" applyProtection="1">
      <alignment horizontal="right"/>
    </xf>
    <xf numFmtId="10" fontId="178" fillId="0" borderId="12" xfId="27" applyNumberFormat="1" applyFont="1" applyFill="1" applyBorder="1" applyAlignment="1" applyProtection="1">
      <alignment horizontal="right"/>
    </xf>
    <xf numFmtId="4" fontId="183" fillId="0" borderId="12" xfId="62" applyNumberFormat="1" applyFont="1" applyFill="1" applyBorder="1" applyAlignment="1">
      <alignment horizontal="right" vertical="center" wrapText="1"/>
    </xf>
    <xf numFmtId="2" fontId="179" fillId="0" borderId="12" xfId="42" applyNumberFormat="1" applyFont="1" applyFill="1" applyBorder="1" applyAlignment="1" applyProtection="1">
      <alignment horizontal="right"/>
    </xf>
    <xf numFmtId="10" fontId="179" fillId="0" borderId="12" xfId="27" applyNumberFormat="1" applyFont="1" applyFill="1" applyBorder="1" applyAlignment="1" applyProtection="1">
      <alignment horizontal="right"/>
    </xf>
    <xf numFmtId="0" fontId="179" fillId="0" borderId="12" xfId="63" applyFont="1" applyFill="1" applyBorder="1" applyAlignment="1">
      <alignment horizontal="left" indent="1"/>
    </xf>
    <xf numFmtId="4" fontId="179" fillId="0" borderId="12" xfId="42" applyNumberFormat="1" applyFont="1" applyBorder="1" applyAlignment="1">
      <alignment horizontal="right"/>
    </xf>
    <xf numFmtId="185" fontId="179" fillId="4" borderId="12" xfId="63" applyNumberFormat="1" applyFont="1" applyFill="1" applyBorder="1" applyAlignment="1"/>
    <xf numFmtId="184" fontId="183" fillId="0" borderId="12" xfId="62" applyFont="1" applyFill="1" applyBorder="1" applyAlignment="1">
      <alignment horizontal="left" vertical="center" wrapText="1"/>
    </xf>
    <xf numFmtId="0" fontId="180" fillId="0" borderId="95" xfId="42" applyFont="1" applyFill="1" applyBorder="1" applyAlignment="1">
      <alignment horizontal="center" vertical="top" wrapText="1"/>
    </xf>
    <xf numFmtId="0" fontId="178" fillId="0" borderId="95" xfId="63" applyFont="1" applyFill="1" applyBorder="1" applyAlignment="1"/>
    <xf numFmtId="4" fontId="178" fillId="0" borderId="95" xfId="42" applyNumberFormat="1" applyFont="1" applyBorder="1" applyAlignment="1">
      <alignment horizontal="right"/>
    </xf>
    <xf numFmtId="2" fontId="179" fillId="0" borderId="95" xfId="42" applyNumberFormat="1" applyFont="1" applyFill="1" applyBorder="1" applyAlignment="1" applyProtection="1">
      <alignment horizontal="right"/>
    </xf>
    <xf numFmtId="10" fontId="179" fillId="0" borderId="95" xfId="27" applyNumberFormat="1" applyFont="1" applyFill="1" applyBorder="1" applyAlignment="1" applyProtection="1">
      <alignment horizontal="right"/>
    </xf>
    <xf numFmtId="4" fontId="178" fillId="0" borderId="95" xfId="42" applyNumberFormat="1" applyFont="1" applyFill="1" applyBorder="1" applyAlignment="1" applyProtection="1">
      <alignment horizontal="right"/>
    </xf>
    <xf numFmtId="175" fontId="184" fillId="10" borderId="5" xfId="62" applyNumberFormat="1" applyFont="1" applyFill="1" applyBorder="1" applyAlignment="1">
      <alignment vertical="top" wrapText="1"/>
    </xf>
    <xf numFmtId="0" fontId="180" fillId="0" borderId="0" xfId="42" applyFont="1" applyFill="1" applyBorder="1" applyAlignment="1">
      <alignment horizontal="center" vertical="top" wrapText="1"/>
    </xf>
    <xf numFmtId="0" fontId="178" fillId="0" borderId="0" xfId="63" applyFont="1" applyFill="1" applyBorder="1" applyAlignment="1"/>
    <xf numFmtId="4" fontId="178" fillId="0" borderId="43" xfId="42" applyNumberFormat="1" applyFont="1" applyBorder="1"/>
    <xf numFmtId="2" fontId="179" fillId="0" borderId="85" xfId="42" applyNumberFormat="1" applyFont="1" applyFill="1" applyBorder="1" applyAlignment="1" applyProtection="1">
      <alignment horizontal="right"/>
    </xf>
    <xf numFmtId="2" fontId="179" fillId="0" borderId="43" xfId="42" applyNumberFormat="1" applyFont="1" applyFill="1" applyBorder="1" applyAlignment="1" applyProtection="1">
      <alignment horizontal="right"/>
    </xf>
    <xf numFmtId="10" fontId="179" fillId="0" borderId="43" xfId="27" applyNumberFormat="1" applyFont="1" applyFill="1" applyBorder="1" applyAlignment="1" applyProtection="1">
      <alignment horizontal="right"/>
    </xf>
    <xf numFmtId="175" fontId="184" fillId="31" borderId="5" xfId="62" applyNumberFormat="1" applyFont="1" applyFill="1" applyBorder="1" applyAlignment="1">
      <alignment horizontal="right" vertical="top" wrapText="1"/>
    </xf>
    <xf numFmtId="10" fontId="184" fillId="31" borderId="5" xfId="42" applyNumberFormat="1" applyFont="1" applyFill="1" applyBorder="1" applyAlignment="1" applyProtection="1">
      <alignment horizontal="right" vertical="center"/>
    </xf>
    <xf numFmtId="10" fontId="184" fillId="31" borderId="5" xfId="27" applyNumberFormat="1" applyFont="1" applyFill="1" applyBorder="1" applyAlignment="1" applyProtection="1">
      <alignment horizontal="right" vertical="center"/>
    </xf>
    <xf numFmtId="184" fontId="184" fillId="0" borderId="28" xfId="62" applyFont="1" applyFill="1" applyBorder="1" applyAlignment="1">
      <alignment horizontal="left" vertical="top" wrapText="1"/>
    </xf>
    <xf numFmtId="2" fontId="179" fillId="0" borderId="28" xfId="42" applyNumberFormat="1" applyFont="1" applyFill="1" applyBorder="1" applyAlignment="1" applyProtection="1">
      <alignment horizontal="right"/>
    </xf>
    <xf numFmtId="10" fontId="179" fillId="0" borderId="28" xfId="27" applyNumberFormat="1" applyFont="1" applyFill="1" applyBorder="1" applyAlignment="1" applyProtection="1">
      <alignment horizontal="right"/>
    </xf>
    <xf numFmtId="0" fontId="178" fillId="0" borderId="0" xfId="42" applyFont="1" applyAlignment="1">
      <alignment horizontal="right"/>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4" fontId="179" fillId="4" borderId="12" xfId="42" applyNumberFormat="1" applyFont="1" applyFill="1" applyBorder="1" applyAlignment="1" applyProtection="1">
      <alignment horizontal="right" vertical="center"/>
    </xf>
    <xf numFmtId="10" fontId="179" fillId="4" borderId="12" xfId="27" applyNumberFormat="1" applyFont="1" applyFill="1" applyBorder="1" applyAlignment="1" applyProtection="1">
      <alignment horizontal="right"/>
    </xf>
    <xf numFmtId="10" fontId="178" fillId="4" borderId="0" xfId="27" applyNumberFormat="1" applyFont="1" applyFill="1"/>
    <xf numFmtId="165" fontId="179" fillId="4" borderId="0" xfId="61" applyFont="1" applyFill="1"/>
    <xf numFmtId="0" fontId="76" fillId="0" borderId="31" xfId="42" applyFont="1" applyBorder="1" applyAlignment="1" applyProtection="1">
      <alignment vertical="center"/>
      <protection locked="0"/>
    </xf>
    <xf numFmtId="0" fontId="76" fillId="0" borderId="38" xfId="42" applyFont="1" applyBorder="1" applyAlignment="1" applyProtection="1">
      <alignment vertical="center" wrapText="1"/>
      <protection locked="0"/>
    </xf>
    <xf numFmtId="0" fontId="76" fillId="0" borderId="31" xfId="42" applyFont="1" applyBorder="1" applyAlignment="1" applyProtection="1">
      <alignment vertical="center" wrapText="1"/>
      <protection locked="0"/>
    </xf>
    <xf numFmtId="166" fontId="45" fillId="4" borderId="0" xfId="12" applyNumberFormat="1" applyFont="1" applyFill="1" applyAlignment="1">
      <alignment vertical="center"/>
    </xf>
    <xf numFmtId="4" fontId="185" fillId="4" borderId="0" xfId="12" applyNumberFormat="1" applyFont="1" applyFill="1" applyAlignment="1">
      <alignment vertical="center"/>
    </xf>
    <xf numFmtId="164" fontId="179" fillId="0" borderId="0" xfId="40" applyFont="1"/>
    <xf numFmtId="164" fontId="179" fillId="4" borderId="0" xfId="40" applyFont="1" applyFill="1"/>
    <xf numFmtId="164" fontId="178" fillId="0" borderId="0" xfId="40" applyFont="1"/>
    <xf numFmtId="4" fontId="186" fillId="4" borderId="0" xfId="12" applyNumberFormat="1" applyFont="1" applyFill="1" applyAlignment="1">
      <alignment horizontal="center"/>
    </xf>
    <xf numFmtId="0" fontId="186" fillId="4" borderId="0" xfId="12" applyFont="1" applyFill="1" applyAlignment="1">
      <alignment horizontal="center"/>
    </xf>
    <xf numFmtId="4" fontId="186" fillId="0" borderId="0" xfId="12" applyNumberFormat="1" applyFont="1" applyFill="1" applyAlignment="1">
      <alignment horizontal="center"/>
    </xf>
    <xf numFmtId="186" fontId="178" fillId="0" borderId="0" xfId="40" applyNumberFormat="1" applyFont="1"/>
    <xf numFmtId="0" fontId="187" fillId="0" borderId="0" xfId="12" applyFont="1"/>
    <xf numFmtId="0" fontId="188" fillId="4" borderId="0" xfId="12" applyFont="1" applyFill="1" applyAlignment="1">
      <alignment vertical="center"/>
    </xf>
    <xf numFmtId="0" fontId="187" fillId="4" borderId="0" xfId="12" applyFont="1" applyFill="1" applyAlignment="1">
      <alignment vertical="center"/>
    </xf>
    <xf numFmtId="0" fontId="187" fillId="4" borderId="0" xfId="12" applyFont="1" applyFill="1"/>
    <xf numFmtId="0" fontId="188" fillId="4" borderId="0" xfId="12" applyFont="1" applyFill="1"/>
    <xf numFmtId="0" fontId="110" fillId="4" borderId="0" xfId="12" applyFont="1" applyFill="1"/>
    <xf numFmtId="0" fontId="110" fillId="0" borderId="0" xfId="12" applyFont="1"/>
    <xf numFmtId="0" fontId="157" fillId="4" borderId="42" xfId="42" applyFont="1" applyFill="1" applyBorder="1" applyAlignment="1" applyProtection="1">
      <alignment vertical="center"/>
      <protection locked="0"/>
    </xf>
    <xf numFmtId="4" fontId="139" fillId="4" borderId="42" xfId="42" applyNumberFormat="1" applyFont="1" applyFill="1" applyBorder="1" applyAlignment="1">
      <alignment vertical="center"/>
    </xf>
    <xf numFmtId="4" fontId="45" fillId="4" borderId="44" xfId="12" applyNumberFormat="1" applyFont="1" applyFill="1" applyBorder="1" applyAlignment="1">
      <alignment horizontal="center" vertical="center"/>
    </xf>
    <xf numFmtId="4" fontId="45" fillId="4" borderId="25" xfId="12" applyNumberFormat="1" applyFont="1" applyFill="1" applyBorder="1" applyAlignment="1">
      <alignment horizontal="center" vertical="center"/>
    </xf>
    <xf numFmtId="4" fontId="45" fillId="4" borderId="26" xfId="12" applyNumberFormat="1" applyFont="1" applyFill="1" applyBorder="1" applyAlignment="1">
      <alignment horizontal="center" vertical="center"/>
    </xf>
    <xf numFmtId="4" fontId="45" fillId="4" borderId="45" xfId="12" applyNumberFormat="1" applyFont="1" applyFill="1" applyBorder="1" applyAlignment="1">
      <alignment horizontal="center" vertical="center"/>
    </xf>
    <xf numFmtId="4" fontId="45" fillId="4" borderId="64" xfId="12" applyNumberFormat="1" applyFont="1" applyFill="1" applyBorder="1" applyAlignment="1">
      <alignment horizontal="center" vertical="center"/>
    </xf>
    <xf numFmtId="4" fontId="45" fillId="0" borderId="44" xfId="12" applyNumberFormat="1" applyFont="1" applyFill="1" applyBorder="1" applyAlignment="1">
      <alignment horizontal="center" vertical="center"/>
    </xf>
    <xf numFmtId="4" fontId="45" fillId="4" borderId="45" xfId="12" applyNumberFormat="1" applyFont="1" applyFill="1" applyBorder="1" applyAlignment="1" applyProtection="1">
      <alignment horizontal="center" vertical="center"/>
      <protection locked="0"/>
    </xf>
    <xf numFmtId="4" fontId="45" fillId="27" borderId="28" xfId="12" applyNumberFormat="1" applyFont="1" applyFill="1" applyBorder="1" applyAlignment="1">
      <alignment horizontal="center" vertical="center"/>
    </xf>
    <xf numFmtId="4" fontId="45" fillId="0" borderId="26" xfId="12" applyNumberFormat="1" applyFont="1" applyFill="1" applyBorder="1" applyAlignment="1" applyProtection="1">
      <alignment horizontal="center" vertical="center"/>
      <protection locked="0"/>
    </xf>
    <xf numFmtId="4" fontId="45" fillId="4" borderId="25" xfId="12" applyNumberFormat="1" applyFont="1" applyFill="1" applyBorder="1" applyAlignment="1" applyProtection="1">
      <alignment horizontal="center" vertical="center"/>
      <protection locked="0"/>
    </xf>
    <xf numFmtId="10" fontId="45" fillId="4" borderId="26" xfId="12" applyNumberFormat="1" applyFont="1" applyFill="1" applyBorder="1" applyAlignment="1">
      <alignment horizontal="center" vertical="center"/>
    </xf>
    <xf numFmtId="4" fontId="45" fillId="4" borderId="44" xfId="12" applyNumberFormat="1" applyFont="1" applyFill="1" applyBorder="1" applyAlignment="1">
      <alignment vertical="center"/>
    </xf>
    <xf numFmtId="4" fontId="45" fillId="4" borderId="25" xfId="12" applyNumberFormat="1" applyFont="1" applyFill="1" applyBorder="1" applyAlignment="1" applyProtection="1">
      <alignment vertical="center"/>
      <protection locked="0"/>
    </xf>
    <xf numFmtId="10" fontId="45" fillId="4" borderId="45" xfId="12" applyNumberFormat="1" applyFont="1" applyFill="1" applyBorder="1" applyAlignment="1">
      <alignment vertical="center"/>
    </xf>
    <xf numFmtId="4" fontId="17" fillId="7" borderId="2" xfId="12" applyNumberFormat="1" applyFont="1" applyFill="1" applyBorder="1"/>
    <xf numFmtId="4" fontId="17" fillId="0" borderId="2" xfId="12" applyNumberFormat="1" applyFont="1" applyFill="1" applyBorder="1"/>
    <xf numFmtId="10" fontId="17" fillId="4" borderId="2" xfId="27" applyNumberFormat="1" applyFont="1" applyFill="1" applyBorder="1" applyAlignment="1">
      <alignment horizontal="center"/>
    </xf>
    <xf numFmtId="0" fontId="22" fillId="0" borderId="0" xfId="12" applyFont="1" applyFill="1" applyBorder="1"/>
    <xf numFmtId="0" fontId="22" fillId="4" borderId="0" xfId="12" applyFont="1" applyFill="1" applyBorder="1"/>
    <xf numFmtId="0" fontId="132" fillId="4" borderId="51" xfId="12" applyFont="1" applyFill="1" applyBorder="1"/>
    <xf numFmtId="10" fontId="45" fillId="4" borderId="0" xfId="41" applyNumberFormat="1" applyFont="1" applyFill="1" applyAlignment="1">
      <alignment vertical="center"/>
    </xf>
    <xf numFmtId="0" fontId="93" fillId="0" borderId="4" xfId="0" applyFont="1" applyFill="1" applyBorder="1" applyAlignment="1" applyProtection="1">
      <alignment vertical="center"/>
      <protection locked="0"/>
    </xf>
    <xf numFmtId="0" fontId="93" fillId="0" borderId="5" xfId="0" applyFont="1" applyFill="1" applyBorder="1" applyAlignment="1" applyProtection="1">
      <alignment vertical="center"/>
      <protection locked="0"/>
    </xf>
    <xf numFmtId="0" fontId="7" fillId="0" borderId="0" xfId="64"/>
    <xf numFmtId="0" fontId="7" fillId="0" borderId="0" xfId="64" applyAlignment="1">
      <alignment horizontal="center"/>
    </xf>
    <xf numFmtId="0" fontId="7" fillId="0" borderId="1" xfId="64" applyBorder="1" applyAlignment="1">
      <alignment horizontal="center"/>
    </xf>
    <xf numFmtId="0" fontId="7" fillId="0" borderId="2" xfId="64" applyBorder="1" applyAlignment="1">
      <alignment horizontal="center"/>
    </xf>
    <xf numFmtId="0" fontId="7" fillId="0" borderId="3" xfId="64" applyBorder="1" applyAlignment="1">
      <alignment horizontal="center"/>
    </xf>
    <xf numFmtId="0" fontId="7" fillId="0" borderId="5" xfId="64" applyBorder="1"/>
    <xf numFmtId="0" fontId="7" fillId="0" borderId="5" xfId="64" applyBorder="1" applyAlignment="1">
      <alignment vertical="center"/>
    </xf>
    <xf numFmtId="0" fontId="7" fillId="0" borderId="5" xfId="64" applyFont="1" applyBorder="1" applyAlignment="1">
      <alignment vertical="center"/>
    </xf>
    <xf numFmtId="0" fontId="7" fillId="0" borderId="5" xfId="64" applyFont="1" applyBorder="1"/>
    <xf numFmtId="0" fontId="7" fillId="0" borderId="4" xfId="64" applyBorder="1"/>
    <xf numFmtId="167" fontId="7" fillId="0" borderId="0" xfId="64" applyNumberFormat="1"/>
    <xf numFmtId="0" fontId="7" fillId="0" borderId="4" xfId="64" applyBorder="1" applyAlignment="1">
      <alignment horizontal="center"/>
    </xf>
    <xf numFmtId="0" fontId="112" fillId="0" borderId="0" xfId="64" applyFont="1" applyAlignment="1">
      <alignment vertical="center"/>
    </xf>
    <xf numFmtId="0" fontId="114" fillId="0" borderId="0" xfId="64" applyNumberFormat="1" applyFont="1" applyFill="1"/>
    <xf numFmtId="0" fontId="114" fillId="0" borderId="0" xfId="64" applyFont="1" applyAlignment="1">
      <alignment horizontal="left" vertical="center"/>
    </xf>
    <xf numFmtId="0" fontId="114" fillId="0" borderId="0" xfId="64" applyFont="1" applyAlignment="1">
      <alignment horizontal="center" vertical="center"/>
    </xf>
    <xf numFmtId="4" fontId="112" fillId="0" borderId="0" xfId="64" applyNumberFormat="1" applyFont="1" applyFill="1"/>
    <xf numFmtId="4" fontId="112" fillId="0" borderId="0" xfId="64" applyNumberFormat="1" applyFont="1" applyFill="1" applyAlignment="1"/>
    <xf numFmtId="0" fontId="7" fillId="0" borderId="5" xfId="64" applyBorder="1" applyAlignment="1">
      <alignment vertical="top"/>
    </xf>
    <xf numFmtId="0" fontId="114" fillId="0" borderId="0" xfId="64" quotePrefix="1" applyFont="1" applyAlignment="1">
      <alignment horizontal="left" vertical="center"/>
    </xf>
    <xf numFmtId="0" fontId="7" fillId="0" borderId="9" xfId="64" applyBorder="1" applyAlignment="1">
      <alignment horizontal="left"/>
    </xf>
    <xf numFmtId="0" fontId="7" fillId="0" borderId="9" xfId="64" applyBorder="1"/>
    <xf numFmtId="0" fontId="166" fillId="0" borderId="0" xfId="12" applyFont="1" applyAlignment="1">
      <alignment horizontal="center" vertical="center"/>
    </xf>
    <xf numFmtId="10" fontId="146" fillId="7" borderId="0" xfId="41" applyNumberFormat="1" applyFont="1" applyFill="1" applyAlignment="1">
      <alignment horizontal="center" vertical="center"/>
    </xf>
    <xf numFmtId="10" fontId="116" fillId="0" borderId="0" xfId="41" applyNumberFormat="1" applyFont="1" applyAlignment="1">
      <alignment horizontal="center" vertical="center"/>
    </xf>
    <xf numFmtId="0" fontId="65" fillId="0" borderId="0" xfId="19" applyFont="1" applyAlignment="1">
      <alignment horizontal="center"/>
    </xf>
    <xf numFmtId="0" fontId="66" fillId="0" borderId="0" xfId="19" applyFont="1" applyAlignment="1">
      <alignment horizontal="center"/>
    </xf>
    <xf numFmtId="0" fontId="19" fillId="0" borderId="0" xfId="14" applyBorder="1" applyAlignment="1">
      <alignment horizontal="center" vertical="center" wrapText="1"/>
    </xf>
    <xf numFmtId="171" fontId="148" fillId="0" borderId="0" xfId="58" applyNumberFormat="1" applyFont="1" applyAlignment="1">
      <alignment horizontal="left"/>
    </xf>
    <xf numFmtId="0" fontId="19" fillId="0" borderId="0" xfId="14" applyAlignment="1">
      <alignment horizontal="center" vertical="center"/>
    </xf>
    <xf numFmtId="43" fontId="19" fillId="0" borderId="0" xfId="14" applyNumberFormat="1" applyBorder="1" applyAlignment="1">
      <alignment horizontal="center"/>
    </xf>
    <xf numFmtId="43" fontId="19" fillId="0" borderId="0" xfId="34" applyNumberFormat="1" applyFont="1" applyBorder="1" applyAlignment="1">
      <alignment horizontal="center"/>
    </xf>
    <xf numFmtId="0" fontId="19" fillId="0" borderId="5" xfId="14" applyBorder="1" applyAlignment="1">
      <alignment horizontal="center" vertical="center"/>
    </xf>
    <xf numFmtId="164" fontId="19" fillId="0" borderId="5" xfId="40" applyFont="1" applyBorder="1"/>
    <xf numFmtId="0" fontId="60" fillId="0" borderId="5" xfId="14" applyFont="1" applyBorder="1" applyAlignment="1">
      <alignment horizontal="center"/>
    </xf>
    <xf numFmtId="164" fontId="26" fillId="0" borderId="5" xfId="40" applyFont="1" applyBorder="1"/>
    <xf numFmtId="0" fontId="19" fillId="0" borderId="0" xfId="14" applyBorder="1"/>
    <xf numFmtId="164" fontId="19" fillId="0" borderId="0" xfId="40" applyFont="1" applyBorder="1"/>
    <xf numFmtId="164" fontId="26" fillId="0" borderId="0" xfId="40" applyFont="1" applyBorder="1"/>
    <xf numFmtId="4" fontId="19" fillId="0" borderId="0" xfId="14" applyNumberFormat="1" applyBorder="1" applyAlignment="1">
      <alignment horizontal="center" vertical="center" wrapText="1"/>
    </xf>
    <xf numFmtId="4" fontId="19" fillId="0" borderId="0" xfId="14" applyNumberFormat="1" applyBorder="1" applyAlignment="1">
      <alignment horizontal="center"/>
    </xf>
    <xf numFmtId="164" fontId="19" fillId="0" borderId="0" xfId="14" applyNumberFormat="1" applyBorder="1" applyAlignment="1">
      <alignment horizontal="center" vertical="center" wrapText="1"/>
    </xf>
    <xf numFmtId="164" fontId="19" fillId="0" borderId="0" xfId="40" applyFont="1" applyBorder="1" applyAlignment="1">
      <alignment horizontal="center"/>
    </xf>
    <xf numFmtId="164" fontId="19" fillId="0" borderId="0" xfId="40" applyFont="1" applyBorder="1" applyAlignment="1">
      <alignment horizontal="center" vertical="center" wrapText="1"/>
    </xf>
    <xf numFmtId="164" fontId="19" fillId="0" borderId="5" xfId="40" applyFont="1" applyBorder="1" applyAlignment="1">
      <alignment horizontal="center" vertical="center" wrapText="1"/>
    </xf>
    <xf numFmtId="164" fontId="19" fillId="0" borderId="5" xfId="40" applyFont="1" applyBorder="1" applyAlignment="1">
      <alignment horizontal="center"/>
    </xf>
    <xf numFmtId="164" fontId="26" fillId="0" borderId="5" xfId="40" applyFont="1" applyBorder="1" applyAlignment="1">
      <alignment horizontal="center"/>
    </xf>
    <xf numFmtId="49" fontId="19" fillId="0" borderId="0" xfId="40" applyNumberFormat="1" applyFont="1" applyBorder="1" applyAlignment="1">
      <alignment horizontal="center" vertical="center" wrapText="1"/>
    </xf>
    <xf numFmtId="164" fontId="19" fillId="0" borderId="9" xfId="40" applyFont="1" applyBorder="1" applyAlignment="1">
      <alignment horizontal="center" vertical="center" wrapText="1"/>
    </xf>
    <xf numFmtId="164" fontId="19" fillId="0" borderId="9" xfId="40" applyFont="1" applyBorder="1" applyAlignment="1">
      <alignment horizontal="center"/>
    </xf>
    <xf numFmtId="49" fontId="19" fillId="0" borderId="5" xfId="40" applyNumberFormat="1" applyFont="1" applyBorder="1" applyAlignment="1">
      <alignment horizontal="center" vertical="center" wrapText="1"/>
    </xf>
    <xf numFmtId="49" fontId="19" fillId="0" borderId="9" xfId="40" applyNumberFormat="1" applyFont="1" applyBorder="1" applyAlignment="1">
      <alignment horizontal="center" vertical="center" wrapText="1"/>
    </xf>
    <xf numFmtId="0" fontId="178" fillId="7" borderId="0" xfId="42" applyFont="1" applyFill="1"/>
    <xf numFmtId="165" fontId="179" fillId="7" borderId="0" xfId="61" applyFont="1" applyFill="1"/>
    <xf numFmtId="164" fontId="179" fillId="7" borderId="0" xfId="40" applyFont="1" applyFill="1"/>
    <xf numFmtId="4" fontId="178" fillId="7" borderId="0" xfId="42" applyNumberFormat="1" applyFont="1" applyFill="1"/>
    <xf numFmtId="186" fontId="178" fillId="7" borderId="0" xfId="40" applyNumberFormat="1" applyFont="1" applyFill="1"/>
    <xf numFmtId="0" fontId="116" fillId="0" borderId="0" xfId="12" applyFont="1" applyAlignment="1">
      <alignment horizontal="center" vertical="center"/>
    </xf>
    <xf numFmtId="0" fontId="116" fillId="0" borderId="0" xfId="12" applyFont="1" applyBorder="1" applyAlignment="1">
      <alignment vertical="center"/>
    </xf>
    <xf numFmtId="4" fontId="116" fillId="0" borderId="0" xfId="12" applyNumberFormat="1" applyFont="1" applyFill="1" applyAlignment="1">
      <alignment horizontal="left"/>
    </xf>
    <xf numFmtId="0" fontId="116" fillId="0" borderId="0" xfId="12" applyFont="1" applyAlignment="1">
      <alignment horizontal="center" vertical="center"/>
    </xf>
    <xf numFmtId="0" fontId="117" fillId="0" borderId="0" xfId="12" applyFont="1" applyAlignment="1">
      <alignment horizontal="left" vertical="center"/>
    </xf>
    <xf numFmtId="0" fontId="132" fillId="0" borderId="0" xfId="12" applyFont="1" applyAlignment="1">
      <alignment horizontal="center"/>
    </xf>
    <xf numFmtId="14" fontId="45" fillId="0" borderId="0" xfId="12" applyNumberFormat="1" applyFont="1" applyAlignment="1">
      <alignment horizontal="right" vertical="center"/>
    </xf>
    <xf numFmtId="0" fontId="132" fillId="0" borderId="0" xfId="12" applyFont="1" applyAlignment="1">
      <alignment horizontal="center" vertical="center"/>
    </xf>
    <xf numFmtId="0" fontId="158" fillId="0" borderId="0" xfId="12" applyFont="1" applyAlignment="1">
      <alignment horizontal="center"/>
    </xf>
    <xf numFmtId="4" fontId="147" fillId="4" borderId="10" xfId="12" applyNumberFormat="1" applyFont="1" applyFill="1" applyBorder="1" applyAlignment="1">
      <alignment horizontal="center" vertical="center"/>
    </xf>
    <xf numFmtId="0" fontId="132" fillId="0" borderId="0" xfId="12" applyFont="1" applyFill="1" applyAlignment="1">
      <alignment horizontal="center" vertical="center"/>
    </xf>
    <xf numFmtId="0" fontId="6" fillId="0" borderId="5" xfId="64" applyFont="1" applyBorder="1"/>
    <xf numFmtId="4" fontId="116" fillId="0" borderId="0" xfId="12" applyNumberFormat="1" applyFont="1" applyFill="1" applyAlignment="1">
      <alignment horizontal="left" vertical="center" wrapText="1"/>
    </xf>
    <xf numFmtId="4" fontId="116" fillId="0" borderId="0" xfId="12" applyNumberFormat="1" applyFont="1" applyFill="1" applyAlignment="1">
      <alignment horizontal="left" vertical="center"/>
    </xf>
    <xf numFmtId="0" fontId="116" fillId="0" borderId="0" xfId="12" applyFont="1" applyBorder="1" applyAlignment="1">
      <alignment horizontal="left" vertical="center"/>
    </xf>
    <xf numFmtId="0" fontId="117" fillId="0" borderId="0" xfId="0" applyFont="1" applyAlignment="1">
      <alignment vertical="center"/>
    </xf>
    <xf numFmtId="164" fontId="116" fillId="4" borderId="46" xfId="2" applyFont="1" applyFill="1" applyBorder="1" applyAlignment="1">
      <alignment vertical="center"/>
    </xf>
    <xf numFmtId="164" fontId="116" fillId="4" borderId="54" xfId="2" applyFont="1" applyFill="1" applyBorder="1" applyAlignment="1">
      <alignment vertical="center"/>
    </xf>
    <xf numFmtId="164" fontId="116" fillId="4" borderId="55" xfId="2" applyFont="1" applyFill="1" applyBorder="1" applyAlignment="1">
      <alignment vertical="center"/>
    </xf>
    <xf numFmtId="4" fontId="26" fillId="0" borderId="5" xfId="14" applyNumberFormat="1" applyFont="1" applyBorder="1" applyAlignment="1">
      <alignment vertical="center"/>
    </xf>
    <xf numFmtId="10" fontId="26" fillId="0" borderId="5" xfId="30" applyNumberFormat="1" applyFont="1" applyBorder="1" applyAlignment="1">
      <alignment vertical="center"/>
    </xf>
    <xf numFmtId="10" fontId="45" fillId="7" borderId="6" xfId="12" applyNumberFormat="1" applyFont="1" applyFill="1" applyBorder="1" applyAlignment="1">
      <alignment vertical="center"/>
    </xf>
    <xf numFmtId="0" fontId="190" fillId="0" borderId="31" xfId="42" applyFont="1" applyBorder="1" applyAlignment="1" applyProtection="1">
      <alignment vertical="center"/>
      <protection locked="0"/>
    </xf>
    <xf numFmtId="0" fontId="190" fillId="0" borderId="31" xfId="42" applyFont="1" applyBorder="1" applyAlignment="1" applyProtection="1">
      <alignment vertical="center" wrapText="1"/>
      <protection locked="0"/>
    </xf>
    <xf numFmtId="0" fontId="132" fillId="0" borderId="0" xfId="12" applyFont="1" applyFill="1" applyBorder="1" applyAlignment="1">
      <alignment horizontal="center" vertical="center"/>
    </xf>
    <xf numFmtId="49" fontId="43" fillId="0" borderId="0" xfId="42" applyNumberFormat="1" applyFont="1" applyFill="1" applyBorder="1" applyAlignment="1">
      <alignment vertical="center"/>
    </xf>
    <xf numFmtId="10" fontId="44" fillId="4" borderId="0" xfId="12" applyNumberFormat="1" applyFont="1" applyFill="1" applyBorder="1" applyAlignment="1">
      <alignment vertical="center"/>
    </xf>
    <xf numFmtId="10" fontId="16" fillId="0" borderId="0" xfId="27" applyNumberFormat="1" applyFont="1" applyFill="1" applyBorder="1"/>
    <xf numFmtId="10" fontId="16" fillId="4" borderId="0" xfId="27" applyNumberFormat="1" applyFont="1" applyFill="1" applyBorder="1"/>
    <xf numFmtId="10" fontId="132" fillId="4" borderId="0" xfId="27" applyNumberFormat="1" applyFont="1" applyFill="1" applyBorder="1"/>
    <xf numFmtId="4" fontId="178" fillId="4" borderId="0" xfId="42" applyNumberFormat="1" applyFont="1" applyFill="1"/>
    <xf numFmtId="0" fontId="93" fillId="7" borderId="4" xfId="0" applyFont="1" applyFill="1" applyBorder="1" applyAlignment="1" applyProtection="1">
      <alignment vertical="center"/>
      <protection locked="0"/>
    </xf>
    <xf numFmtId="0" fontId="188" fillId="0" borderId="0" xfId="12" applyFont="1" applyFill="1" applyAlignment="1">
      <alignment vertical="center"/>
    </xf>
    <xf numFmtId="0" fontId="93" fillId="0" borderId="6" xfId="0" applyFont="1" applyFill="1" applyBorder="1" applyAlignment="1" applyProtection="1">
      <alignment horizontal="center" vertical="center"/>
      <protection locked="0"/>
    </xf>
    <xf numFmtId="4" fontId="139" fillId="0" borderId="4" xfId="0" applyNumberFormat="1" applyFont="1" applyFill="1" applyBorder="1" applyAlignment="1">
      <alignment vertical="center"/>
    </xf>
    <xf numFmtId="4" fontId="139" fillId="0" borderId="5" xfId="0" applyNumberFormat="1" applyFont="1" applyFill="1" applyBorder="1" applyAlignment="1">
      <alignment vertical="top"/>
    </xf>
    <xf numFmtId="4" fontId="139" fillId="0" borderId="17" xfId="0" applyNumberFormat="1" applyFont="1" applyFill="1" applyBorder="1" applyAlignment="1">
      <alignment vertical="center"/>
    </xf>
    <xf numFmtId="4" fontId="139" fillId="0" borderId="5" xfId="0" applyNumberFormat="1" applyFont="1" applyFill="1" applyBorder="1" applyAlignment="1">
      <alignment vertical="center"/>
    </xf>
    <xf numFmtId="4" fontId="139" fillId="0" borderId="9" xfId="0" applyNumberFormat="1" applyFont="1" applyFill="1" applyBorder="1" applyAlignment="1">
      <alignment vertical="center"/>
    </xf>
    <xf numFmtId="0" fontId="187" fillId="0" borderId="0" xfId="12" applyFont="1" applyFill="1" applyAlignment="1">
      <alignment vertical="center"/>
    </xf>
    <xf numFmtId="0" fontId="100" fillId="0" borderId="4" xfId="0" applyFont="1" applyFill="1" applyBorder="1" applyAlignment="1" applyProtection="1">
      <alignment vertical="center"/>
      <protection locked="0"/>
    </xf>
    <xf numFmtId="0" fontId="100" fillId="0" borderId="5" xfId="0" applyFont="1" applyFill="1" applyBorder="1" applyAlignment="1" applyProtection="1">
      <alignment vertical="center"/>
      <protection locked="0"/>
    </xf>
    <xf numFmtId="0" fontId="100" fillId="0" borderId="6" xfId="0" applyFont="1" applyFill="1" applyBorder="1" applyAlignment="1" applyProtection="1">
      <alignment horizontal="center" vertical="center"/>
      <protection locked="0"/>
    </xf>
    <xf numFmtId="0" fontId="44" fillId="0" borderId="4" xfId="0" applyFont="1" applyFill="1" applyBorder="1" applyAlignment="1">
      <alignment vertical="center"/>
    </xf>
    <xf numFmtId="0" fontId="44" fillId="0" borderId="5" xfId="0" applyFont="1" applyFill="1" applyBorder="1" applyAlignment="1">
      <alignment vertical="top"/>
    </xf>
    <xf numFmtId="0" fontId="44" fillId="0" borderId="5" xfId="0" applyFont="1" applyFill="1" applyBorder="1" applyAlignment="1">
      <alignment vertical="center"/>
    </xf>
    <xf numFmtId="0" fontId="20" fillId="0" borderId="4" xfId="0" applyFont="1" applyFill="1" applyBorder="1" applyAlignment="1" applyProtection="1">
      <alignment vertical="center"/>
      <protection locked="0"/>
    </xf>
    <xf numFmtId="0" fontId="20" fillId="0" borderId="5" xfId="0" applyFont="1" applyFill="1" applyBorder="1" applyAlignment="1" applyProtection="1">
      <alignment vertical="center"/>
      <protection locked="0"/>
    </xf>
    <xf numFmtId="0" fontId="20" fillId="0" borderId="6" xfId="0" applyFont="1" applyFill="1" applyBorder="1" applyAlignment="1" applyProtection="1">
      <alignment horizontal="center" vertical="center"/>
      <protection locked="0"/>
    </xf>
    <xf numFmtId="4" fontId="19" fillId="0" borderId="54" xfId="14" applyNumberFormat="1" applyBorder="1"/>
    <xf numFmtId="4" fontId="26" fillId="0" borderId="5" xfId="14" applyNumberFormat="1" applyFont="1" applyBorder="1"/>
    <xf numFmtId="0" fontId="113" fillId="0" borderId="22" xfId="0" applyFont="1" applyBorder="1" applyAlignment="1">
      <alignment horizontal="left" vertical="center" wrapText="1"/>
    </xf>
    <xf numFmtId="0" fontId="113" fillId="0" borderId="6" xfId="0" applyFont="1" applyBorder="1" applyAlignment="1">
      <alignment horizontal="left" vertical="center" wrapText="1"/>
    </xf>
    <xf numFmtId="167" fontId="7" fillId="0" borderId="22" xfId="64" applyNumberFormat="1" applyBorder="1" applyAlignment="1">
      <alignment horizontal="center"/>
    </xf>
    <xf numFmtId="0" fontId="7" fillId="0" borderId="0" xfId="64" applyFont="1" applyBorder="1"/>
    <xf numFmtId="0" fontId="115" fillId="0" borderId="6" xfId="0" applyFont="1" applyBorder="1" applyAlignment="1">
      <alignment horizontal="center"/>
    </xf>
    <xf numFmtId="0" fontId="115" fillId="0" borderId="22" xfId="0" applyFont="1" applyBorder="1" applyAlignment="1">
      <alignment horizontal="center"/>
    </xf>
    <xf numFmtId="0" fontId="115" fillId="0" borderId="6" xfId="0" applyFont="1" applyFill="1" applyBorder="1" applyAlignment="1">
      <alignment horizontal="center"/>
    </xf>
    <xf numFmtId="0" fontId="7" fillId="0" borderId="7" xfId="64" applyBorder="1"/>
    <xf numFmtId="0" fontId="7" fillId="0" borderId="8" xfId="64" applyBorder="1"/>
    <xf numFmtId="4" fontId="45" fillId="0" borderId="0" xfId="12" applyNumberFormat="1" applyFont="1" applyFill="1" applyBorder="1" applyAlignment="1">
      <alignment horizontal="center" vertical="center"/>
    </xf>
    <xf numFmtId="0" fontId="45" fillId="0" borderId="0" xfId="12" applyFont="1" applyFill="1"/>
    <xf numFmtId="4" fontId="45" fillId="0" borderId="0" xfId="0" applyNumberFormat="1" applyFont="1" applyFill="1" applyBorder="1" applyAlignment="1">
      <alignment horizontal="center" vertical="center"/>
    </xf>
    <xf numFmtId="4" fontId="45" fillId="0" borderId="0" xfId="0" applyNumberFormat="1" applyFont="1" applyFill="1" applyBorder="1" applyAlignment="1">
      <alignment horizontal="center"/>
    </xf>
    <xf numFmtId="4" fontId="45" fillId="0" borderId="0" xfId="12" applyNumberFormat="1" applyFont="1" applyFill="1" applyBorder="1" applyAlignment="1" applyProtection="1">
      <alignment horizontal="center" vertical="center"/>
      <protection locked="0"/>
    </xf>
    <xf numFmtId="4" fontId="185" fillId="0" borderId="0" xfId="0" applyNumberFormat="1" applyFont="1" applyFill="1" applyBorder="1" applyAlignment="1">
      <alignment horizontal="center" vertical="center"/>
    </xf>
    <xf numFmtId="0" fontId="19" fillId="0" borderId="0" xfId="0" applyFont="1"/>
    <xf numFmtId="4" fontId="44" fillId="0" borderId="4" xfId="0" applyNumberFormat="1" applyFont="1" applyFill="1" applyBorder="1" applyAlignment="1">
      <alignment vertical="center"/>
    </xf>
    <xf numFmtId="4" fontId="44" fillId="0" borderId="5" xfId="0" applyNumberFormat="1" applyFont="1" applyFill="1" applyBorder="1" applyAlignment="1">
      <alignment vertical="center"/>
    </xf>
    <xf numFmtId="4" fontId="44" fillId="4" borderId="15" xfId="12" applyNumberFormat="1" applyFont="1" applyFill="1" applyBorder="1" applyAlignment="1">
      <alignment horizontal="center" vertical="center"/>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0" fontId="193" fillId="0" borderId="1" xfId="42" applyFont="1" applyBorder="1" applyAlignment="1" applyProtection="1">
      <alignment vertical="center"/>
      <protection locked="0"/>
    </xf>
    <xf numFmtId="0" fontId="193" fillId="0" borderId="3" xfId="42" applyFont="1" applyBorder="1" applyAlignment="1" applyProtection="1">
      <alignment vertical="center"/>
      <protection locked="0"/>
    </xf>
    <xf numFmtId="0" fontId="194" fillId="0" borderId="4" xfId="42" applyFont="1" applyBorder="1" applyAlignment="1" applyProtection="1">
      <alignment vertical="center"/>
      <protection locked="0"/>
    </xf>
    <xf numFmtId="0" fontId="194" fillId="0" borderId="6"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4" fontId="116" fillId="4" borderId="28" xfId="12" applyNumberFormat="1" applyFont="1" applyFill="1" applyBorder="1" applyAlignment="1">
      <alignment horizontal="center" vertical="center"/>
    </xf>
    <xf numFmtId="4" fontId="116" fillId="4" borderId="10" xfId="12" applyNumberFormat="1" applyFont="1" applyFill="1" applyBorder="1" applyAlignment="1">
      <alignment horizontal="center" vertical="center"/>
    </xf>
    <xf numFmtId="170" fontId="116" fillId="0" borderId="0" xfId="42" applyNumberFormat="1" applyFont="1"/>
    <xf numFmtId="0" fontId="132" fillId="0" borderId="0" xfId="12" applyFont="1"/>
    <xf numFmtId="4" fontId="132" fillId="23" borderId="31" xfId="12" applyNumberFormat="1" applyFont="1" applyFill="1" applyBorder="1" applyAlignment="1">
      <alignment horizontal="center" vertical="center"/>
    </xf>
    <xf numFmtId="4" fontId="0" fillId="0" borderId="0" xfId="0" applyNumberFormat="1"/>
    <xf numFmtId="0" fontId="43" fillId="0" borderId="6" xfId="42" applyFont="1" applyBorder="1" applyAlignment="1" applyProtection="1">
      <alignment vertical="center"/>
      <protection locked="0"/>
    </xf>
    <xf numFmtId="0" fontId="43" fillId="0" borderId="4" xfId="42" applyFont="1" applyBorder="1" applyAlignment="1" applyProtection="1">
      <alignment vertical="center"/>
      <protection locked="0"/>
    </xf>
    <xf numFmtId="4" fontId="44" fillId="0" borderId="17" xfId="42" applyNumberFormat="1" applyFont="1" applyBorder="1" applyAlignment="1" applyProtection="1">
      <alignment horizontal="center" vertical="center"/>
      <protection locked="0"/>
    </xf>
    <xf numFmtId="0" fontId="195" fillId="0" borderId="28" xfId="12" applyFont="1" applyFill="1" applyBorder="1" applyAlignment="1">
      <alignment vertical="top" wrapText="1"/>
    </xf>
    <xf numFmtId="0" fontId="195" fillId="0" borderId="70" xfId="12" applyFont="1" applyFill="1" applyBorder="1" applyAlignment="1">
      <alignment vertical="top" wrapText="1"/>
    </xf>
    <xf numFmtId="4" fontId="44" fillId="23" borderId="6" xfId="12" applyNumberFormat="1" applyFont="1" applyFill="1" applyBorder="1" applyAlignment="1">
      <alignment horizontal="center" vertical="center"/>
    </xf>
    <xf numFmtId="0" fontId="44" fillId="0" borderId="62" xfId="42" applyFont="1" applyBorder="1" applyAlignment="1" applyProtection="1">
      <alignment horizontal="center" vertical="center"/>
      <protection locked="0"/>
    </xf>
    <xf numFmtId="4" fontId="44" fillId="23" borderId="35" xfId="12" applyNumberFormat="1" applyFont="1" applyFill="1" applyBorder="1" applyAlignment="1">
      <alignment horizontal="center" vertical="center"/>
    </xf>
    <xf numFmtId="2" fontId="44" fillId="0" borderId="5" xfId="12" applyNumberFormat="1" applyFont="1" applyBorder="1" applyAlignment="1">
      <alignment horizontal="center"/>
    </xf>
    <xf numFmtId="0" fontId="170" fillId="0" borderId="5" xfId="12" applyFont="1" applyFill="1" applyBorder="1" applyAlignment="1">
      <alignment horizontal="left" vertical="top" wrapText="1"/>
    </xf>
    <xf numFmtId="0" fontId="157" fillId="0" borderId="5" xfId="12" applyFont="1" applyFill="1" applyBorder="1" applyAlignment="1">
      <alignment horizontal="left" vertical="top" wrapText="1"/>
    </xf>
    <xf numFmtId="2" fontId="44" fillId="0" borderId="5" xfId="12" applyNumberFormat="1" applyFont="1" applyFill="1" applyBorder="1" applyAlignment="1">
      <alignment horizontal="center"/>
    </xf>
    <xf numFmtId="10" fontId="0" fillId="0" borderId="0" xfId="41" applyNumberFormat="1" applyFont="1"/>
    <xf numFmtId="4" fontId="45" fillId="23" borderId="0" xfId="12" applyNumberFormat="1" applyFont="1" applyFill="1" applyBorder="1" applyAlignment="1"/>
    <xf numFmtId="4" fontId="45" fillId="23" borderId="54" xfId="12" applyNumberFormat="1" applyFont="1" applyFill="1" applyBorder="1" applyAlignment="1"/>
    <xf numFmtId="4" fontId="45" fillId="23" borderId="0" xfId="12" applyNumberFormat="1" applyFont="1" applyFill="1" applyAlignment="1"/>
    <xf numFmtId="0" fontId="112" fillId="0" borderId="6" xfId="12" applyFont="1" applyBorder="1" applyAlignment="1">
      <alignment horizontal="left" vertical="center"/>
    </xf>
    <xf numFmtId="0" fontId="132" fillId="0" borderId="0" xfId="12" applyFont="1" applyAlignment="1">
      <alignment horizontal="left" vertical="center"/>
    </xf>
    <xf numFmtId="0" fontId="132" fillId="0" borderId="0" xfId="12" applyFont="1" applyAlignment="1">
      <alignment horizontal="left"/>
    </xf>
    <xf numFmtId="4" fontId="139" fillId="4" borderId="42" xfId="0" applyNumberFormat="1" applyFont="1" applyFill="1" applyBorder="1" applyAlignment="1">
      <alignment vertical="center"/>
    </xf>
    <xf numFmtId="4" fontId="139" fillId="4" borderId="28" xfId="0" applyNumberFormat="1" applyFont="1" applyFill="1" applyBorder="1" applyAlignment="1">
      <alignment vertical="center"/>
    </xf>
    <xf numFmtId="4" fontId="139" fillId="4" borderId="25" xfId="0" applyNumberFormat="1" applyFont="1" applyFill="1" applyBorder="1" applyAlignment="1">
      <alignment vertical="center"/>
    </xf>
    <xf numFmtId="4" fontId="139" fillId="26" borderId="26" xfId="0" applyNumberFormat="1" applyFont="1" applyFill="1" applyBorder="1" applyAlignment="1">
      <alignment vertical="center"/>
    </xf>
    <xf numFmtId="0" fontId="24" fillId="4" borderId="47" xfId="12" applyFont="1" applyFill="1" applyBorder="1" applyAlignment="1" applyProtection="1">
      <alignment vertical="center"/>
      <protection locked="0"/>
    </xf>
    <xf numFmtId="4" fontId="16" fillId="0" borderId="13" xfId="12" applyNumberFormat="1" applyFont="1" applyFill="1" applyBorder="1" applyAlignment="1">
      <alignment horizontal="center"/>
    </xf>
    <xf numFmtId="4" fontId="16" fillId="4" borderId="13" xfId="12" applyNumberFormat="1" applyFont="1" applyFill="1" applyBorder="1"/>
    <xf numFmtId="0" fontId="24" fillId="4" borderId="14" xfId="12" applyFont="1" applyFill="1" applyBorder="1" applyAlignment="1" applyProtection="1">
      <alignment vertical="center"/>
      <protection locked="0"/>
    </xf>
    <xf numFmtId="0" fontId="17" fillId="4" borderId="15" xfId="12" applyNumberFormat="1" applyFont="1" applyFill="1" applyBorder="1" applyAlignment="1">
      <alignment horizontal="left"/>
    </xf>
    <xf numFmtId="0" fontId="70" fillId="4" borderId="15" xfId="12" applyNumberFormat="1" applyFont="1" applyFill="1" applyBorder="1" applyAlignment="1">
      <alignment horizontal="center"/>
    </xf>
    <xf numFmtId="4" fontId="17" fillId="4" borderId="15" xfId="12" applyNumberFormat="1" applyFont="1" applyFill="1" applyBorder="1"/>
    <xf numFmtId="4" fontId="17" fillId="4" borderId="15" xfId="12" applyNumberFormat="1" applyFont="1" applyFill="1" applyBorder="1" applyAlignment="1">
      <alignment horizontal="center"/>
    </xf>
    <xf numFmtId="10" fontId="17" fillId="4" borderId="59" xfId="27" applyNumberFormat="1" applyFont="1" applyFill="1" applyBorder="1"/>
    <xf numFmtId="0" fontId="70" fillId="4" borderId="14" xfId="12" applyNumberFormat="1" applyFont="1" applyFill="1" applyBorder="1" applyAlignment="1">
      <alignment horizontal="center"/>
    </xf>
    <xf numFmtId="4" fontId="17" fillId="4" borderId="84" xfId="12" applyNumberFormat="1" applyFont="1" applyFill="1" applyBorder="1" applyAlignment="1">
      <alignment horizontal="center"/>
    </xf>
    <xf numFmtId="10" fontId="17" fillId="4" borderId="86" xfId="12" applyNumberFormat="1" applyFont="1" applyFill="1" applyBorder="1" applyAlignment="1">
      <alignment horizontal="center"/>
    </xf>
    <xf numFmtId="4" fontId="17" fillId="0" borderId="59" xfId="12" applyNumberFormat="1" applyFont="1" applyFill="1" applyBorder="1" applyAlignment="1">
      <alignment horizontal="center"/>
    </xf>
    <xf numFmtId="0" fontId="24" fillId="0" borderId="47" xfId="12" applyFont="1" applyFill="1" applyBorder="1" applyAlignment="1" applyProtection="1">
      <alignment vertical="center"/>
      <protection locked="0"/>
    </xf>
    <xf numFmtId="0" fontId="70" fillId="0" borderId="13" xfId="12" applyNumberFormat="1" applyFont="1" applyFill="1" applyBorder="1" applyAlignment="1">
      <alignment horizontal="left"/>
    </xf>
    <xf numFmtId="176" fontId="16" fillId="0" borderId="13" xfId="12" applyNumberFormat="1" applyFont="1" applyFill="1" applyBorder="1" applyAlignment="1">
      <alignment horizontal="center"/>
    </xf>
    <xf numFmtId="0" fontId="70" fillId="0" borderId="13" xfId="12" applyNumberFormat="1" applyFont="1" applyFill="1" applyBorder="1" applyAlignment="1">
      <alignment horizontal="center"/>
    </xf>
    <xf numFmtId="10" fontId="16" fillId="0" borderId="13" xfId="12" applyNumberFormat="1" applyFont="1" applyFill="1" applyBorder="1" applyAlignment="1">
      <alignment horizontal="center"/>
    </xf>
    <xf numFmtId="4" fontId="16" fillId="0" borderId="46" xfId="12" applyNumberFormat="1" applyFont="1" applyFill="1" applyBorder="1" applyAlignment="1">
      <alignment horizontal="center"/>
    </xf>
    <xf numFmtId="10" fontId="44" fillId="4" borderId="13" xfId="12" applyNumberFormat="1" applyFont="1" applyFill="1" applyBorder="1" applyAlignment="1">
      <alignment horizontal="center" vertical="center"/>
    </xf>
    <xf numFmtId="4" fontId="44" fillId="4" borderId="13" xfId="12" applyNumberFormat="1" applyFont="1" applyFill="1" applyBorder="1" applyAlignment="1">
      <alignment vertical="center"/>
    </xf>
    <xf numFmtId="4" fontId="16" fillId="0" borderId="55" xfId="12" applyNumberFormat="1" applyFont="1" applyFill="1" applyBorder="1"/>
    <xf numFmtId="10" fontId="16" fillId="0" borderId="48" xfId="27" applyNumberFormat="1" applyFont="1" applyFill="1" applyBorder="1"/>
    <xf numFmtId="4" fontId="17" fillId="4" borderId="86" xfId="12" applyNumberFormat="1" applyFont="1" applyFill="1" applyBorder="1"/>
    <xf numFmtId="4" fontId="17" fillId="0" borderId="84" xfId="12" applyNumberFormat="1" applyFont="1" applyFill="1" applyBorder="1" applyAlignment="1">
      <alignment horizontal="center"/>
    </xf>
    <xf numFmtId="10" fontId="17" fillId="4" borderId="14" xfId="12" applyNumberFormat="1" applyFont="1" applyFill="1" applyBorder="1" applyAlignment="1">
      <alignment horizontal="center"/>
    </xf>
    <xf numFmtId="10" fontId="44" fillId="4" borderId="59" xfId="12" applyNumberFormat="1" applyFont="1" applyFill="1" applyBorder="1" applyAlignment="1">
      <alignment horizontal="center" vertical="center"/>
    </xf>
    <xf numFmtId="10" fontId="17" fillId="0" borderId="86" xfId="12" applyNumberFormat="1" applyFont="1" applyFill="1" applyBorder="1" applyAlignment="1">
      <alignment horizontal="center"/>
    </xf>
    <xf numFmtId="10" fontId="17" fillId="4" borderId="14" xfId="27" applyNumberFormat="1" applyFont="1" applyFill="1" applyBorder="1" applyAlignment="1">
      <alignment horizontal="center" vertical="center"/>
    </xf>
    <xf numFmtId="4" fontId="17" fillId="4" borderId="59" xfId="12" applyNumberFormat="1" applyFont="1" applyFill="1" applyBorder="1" applyAlignment="1">
      <alignment horizontal="center"/>
    </xf>
    <xf numFmtId="4" fontId="17" fillId="4" borderId="59" xfId="12" applyNumberFormat="1" applyFont="1" applyFill="1" applyBorder="1"/>
    <xf numFmtId="4" fontId="16" fillId="0" borderId="13" xfId="12" applyNumberFormat="1" applyFont="1" applyFill="1" applyBorder="1"/>
    <xf numFmtId="10" fontId="17" fillId="0" borderId="14" xfId="12" applyNumberFormat="1" applyFont="1" applyFill="1" applyBorder="1" applyAlignment="1">
      <alignment horizontal="center"/>
    </xf>
    <xf numFmtId="4" fontId="157" fillId="0" borderId="13" xfId="12" applyNumberFormat="1" applyFont="1" applyFill="1" applyBorder="1" applyAlignment="1">
      <alignment horizontal="center" vertical="center"/>
    </xf>
    <xf numFmtId="10" fontId="17" fillId="4" borderId="18" xfId="27" applyNumberFormat="1" applyFont="1" applyFill="1" applyBorder="1" applyAlignment="1">
      <alignment horizontal="center"/>
    </xf>
    <xf numFmtId="0" fontId="70" fillId="4" borderId="59" xfId="12" applyNumberFormat="1" applyFont="1" applyFill="1" applyBorder="1" applyAlignment="1">
      <alignment horizontal="center"/>
    </xf>
    <xf numFmtId="0" fontId="17" fillId="4" borderId="84" xfId="12" applyNumberFormat="1" applyFont="1" applyFill="1" applyBorder="1" applyAlignment="1">
      <alignment horizontal="left"/>
    </xf>
    <xf numFmtId="177" fontId="16" fillId="4" borderId="14" xfId="12" applyNumberFormat="1" applyFont="1" applyFill="1" applyBorder="1" applyAlignment="1">
      <alignment horizontal="center"/>
    </xf>
    <xf numFmtId="0" fontId="116" fillId="0" borderId="0" xfId="42" applyFont="1" applyAlignment="1">
      <alignment horizontal="center"/>
    </xf>
    <xf numFmtId="0" fontId="5" fillId="0" borderId="5" xfId="64" applyFont="1" applyBorder="1"/>
    <xf numFmtId="43" fontId="116" fillId="0" borderId="0" xfId="42" applyNumberFormat="1" applyFont="1"/>
    <xf numFmtId="4" fontId="116" fillId="7" borderId="0" xfId="42" applyNumberFormat="1" applyFont="1" applyFill="1"/>
    <xf numFmtId="0" fontId="116" fillId="0" borderId="0" xfId="12" applyFont="1" applyAlignment="1">
      <alignment horizontal="center" vertical="center"/>
    </xf>
    <xf numFmtId="164" fontId="116" fillId="4" borderId="0" xfId="2" applyFont="1" applyFill="1" applyBorder="1" applyAlignment="1">
      <alignment vertical="center"/>
    </xf>
    <xf numFmtId="4" fontId="116" fillId="4" borderId="0" xfId="12" applyNumberFormat="1" applyFont="1" applyFill="1" applyBorder="1" applyAlignment="1">
      <alignment horizontal="center" vertical="center"/>
    </xf>
    <xf numFmtId="10" fontId="116" fillId="4" borderId="0" xfId="29" applyNumberFormat="1" applyFont="1" applyFill="1" applyBorder="1" applyAlignment="1">
      <alignment horizontal="center" vertical="center"/>
    </xf>
    <xf numFmtId="0" fontId="179" fillId="29" borderId="5" xfId="42" applyNumberFormat="1" applyFont="1" applyFill="1" applyBorder="1" applyAlignment="1" applyProtection="1">
      <alignment horizontal="center"/>
    </xf>
    <xf numFmtId="4" fontId="45" fillId="23" borderId="0" xfId="12" applyNumberFormat="1" applyFont="1" applyFill="1"/>
    <xf numFmtId="10" fontId="178" fillId="0" borderId="0" xfId="42" applyNumberFormat="1" applyFont="1"/>
    <xf numFmtId="0" fontId="116" fillId="0" borderId="0" xfId="12" applyFont="1" applyAlignment="1">
      <alignment horizontal="center" vertical="center"/>
    </xf>
    <xf numFmtId="4" fontId="178" fillId="0" borderId="12" xfId="42" applyNumberFormat="1" applyFont="1" applyFill="1" applyBorder="1" applyAlignment="1" applyProtection="1">
      <alignment horizontal="right" vertical="center"/>
    </xf>
    <xf numFmtId="4" fontId="178" fillId="0" borderId="0" xfId="42" applyNumberFormat="1" applyFont="1" applyAlignment="1">
      <alignment horizontal="center"/>
    </xf>
    <xf numFmtId="4" fontId="179" fillId="4" borderId="0" xfId="60" applyNumberFormat="1" applyFont="1" applyFill="1" applyAlignment="1">
      <alignment horizontal="center" vertical="center" wrapText="1"/>
    </xf>
    <xf numFmtId="0" fontId="196" fillId="0" borderId="0" xfId="42" applyFont="1"/>
    <xf numFmtId="0" fontId="188" fillId="29" borderId="0" xfId="12" applyFont="1" applyFill="1" applyAlignment="1">
      <alignment vertical="center"/>
    </xf>
    <xf numFmtId="0" fontId="75" fillId="29" borderId="1" xfId="0" applyFont="1" applyFill="1" applyBorder="1" applyAlignment="1" applyProtection="1">
      <alignment vertical="center"/>
      <protection locked="0"/>
    </xf>
    <xf numFmtId="0" fontId="75" fillId="29" borderId="2" xfId="0" applyFont="1" applyFill="1" applyBorder="1" applyAlignment="1" applyProtection="1">
      <alignment vertical="center"/>
      <protection locked="0"/>
    </xf>
    <xf numFmtId="0" fontId="75" fillId="29" borderId="3" xfId="0" applyFont="1" applyFill="1" applyBorder="1" applyAlignment="1" applyProtection="1">
      <alignment vertical="center"/>
      <protection locked="0"/>
    </xf>
    <xf numFmtId="164" fontId="75" fillId="29" borderId="1" xfId="40" applyFont="1" applyFill="1" applyBorder="1" applyAlignment="1">
      <alignment horizontal="right" vertical="center"/>
    </xf>
    <xf numFmtId="164" fontId="75" fillId="29" borderId="61" xfId="40" applyFont="1" applyFill="1" applyBorder="1" applyAlignment="1">
      <alignment horizontal="right" vertical="center"/>
    </xf>
    <xf numFmtId="164" fontId="75" fillId="29" borderId="2" xfId="40" applyFont="1" applyFill="1" applyBorder="1" applyAlignment="1">
      <alignment horizontal="right" vertical="center"/>
    </xf>
    <xf numFmtId="164" fontId="75" fillId="29" borderId="57" xfId="40" applyFont="1" applyFill="1" applyBorder="1" applyAlignment="1">
      <alignment horizontal="right" vertical="center"/>
    </xf>
    <xf numFmtId="0" fontId="45" fillId="29" borderId="47" xfId="12" applyFont="1" applyFill="1" applyBorder="1" applyAlignment="1">
      <alignment horizontal="center" vertical="center"/>
    </xf>
    <xf numFmtId="4" fontId="158" fillId="29" borderId="3" xfId="0" applyNumberFormat="1" applyFont="1" applyFill="1" applyBorder="1" applyAlignment="1">
      <alignment horizontal="center" vertical="center"/>
    </xf>
    <xf numFmtId="4" fontId="132" fillId="29" borderId="1" xfId="12" applyNumberFormat="1" applyFont="1" applyFill="1" applyBorder="1" applyAlignment="1">
      <alignment horizontal="center" vertical="center"/>
    </xf>
    <xf numFmtId="0" fontId="132" fillId="29" borderId="1" xfId="12" applyFont="1" applyFill="1" applyBorder="1" applyAlignment="1">
      <alignment horizontal="center" vertical="center"/>
    </xf>
    <xf numFmtId="4" fontId="132" fillId="29" borderId="2" xfId="0" applyNumberFormat="1" applyFont="1" applyFill="1" applyBorder="1" applyAlignment="1">
      <alignment horizontal="center" vertical="center"/>
    </xf>
    <xf numFmtId="0" fontId="132" fillId="29" borderId="3" xfId="12" applyFont="1" applyFill="1" applyBorder="1" applyAlignment="1">
      <alignment horizontal="center" vertical="center"/>
    </xf>
    <xf numFmtId="4" fontId="132" fillId="29" borderId="2" xfId="0" applyNumberFormat="1" applyFont="1" applyFill="1" applyBorder="1" applyAlignment="1">
      <alignment vertical="center"/>
    </xf>
    <xf numFmtId="4" fontId="132" fillId="29" borderId="0" xfId="12" applyNumberFormat="1" applyFont="1" applyFill="1" applyAlignment="1">
      <alignment vertical="center"/>
    </xf>
    <xf numFmtId="0" fontId="45" fillId="29" borderId="0" xfId="12" applyFont="1" applyFill="1" applyAlignment="1">
      <alignment horizontal="left" vertical="center"/>
    </xf>
    <xf numFmtId="0" fontId="45" fillId="29" borderId="0" xfId="12" applyFont="1" applyFill="1" applyAlignment="1">
      <alignment vertical="center"/>
    </xf>
    <xf numFmtId="4" fontId="45" fillId="29" borderId="0" xfId="12" applyNumberFormat="1" applyFont="1" applyFill="1" applyAlignment="1">
      <alignment vertical="center"/>
    </xf>
    <xf numFmtId="0" fontId="132" fillId="29" borderId="0" xfId="12" applyFont="1" applyFill="1" applyAlignment="1">
      <alignment vertical="center"/>
    </xf>
    <xf numFmtId="0" fontId="132" fillId="29" borderId="0" xfId="12" applyFont="1" applyFill="1" applyAlignment="1">
      <alignment horizontal="left" vertical="center"/>
    </xf>
    <xf numFmtId="0" fontId="187" fillId="29" borderId="0" xfId="12" applyFont="1" applyFill="1"/>
    <xf numFmtId="0" fontId="72" fillId="29" borderId="4" xfId="0" applyFont="1" applyFill="1" applyBorder="1" applyAlignment="1" applyProtection="1">
      <alignment vertical="center"/>
      <protection locked="0"/>
    </xf>
    <xf numFmtId="0" fontId="75" fillId="29" borderId="5" xfId="0" applyFont="1" applyFill="1" applyBorder="1" applyAlignment="1" applyProtection="1">
      <alignment vertical="center"/>
      <protection locked="0"/>
    </xf>
    <xf numFmtId="0" fontId="75" fillId="29" borderId="6" xfId="0" applyFont="1" applyFill="1" applyBorder="1" applyAlignment="1" applyProtection="1">
      <alignment horizontal="center" vertical="center"/>
      <protection locked="0"/>
    </xf>
    <xf numFmtId="0" fontId="44" fillId="29" borderId="4" xfId="0" applyFont="1" applyFill="1" applyBorder="1" applyAlignment="1">
      <alignment vertical="top"/>
    </xf>
    <xf numFmtId="0" fontId="44" fillId="29" borderId="5" xfId="0" applyFont="1" applyFill="1" applyBorder="1" applyAlignment="1">
      <alignment vertical="top"/>
    </xf>
    <xf numFmtId="4" fontId="139" fillId="29" borderId="17" xfId="0" applyNumberFormat="1" applyFont="1" applyFill="1" applyBorder="1" applyAlignment="1">
      <alignment vertical="center"/>
    </xf>
    <xf numFmtId="4" fontId="139" fillId="29" borderId="9" xfId="0" applyNumberFormat="1" applyFont="1" applyFill="1" applyBorder="1" applyAlignment="1">
      <alignment vertical="center"/>
    </xf>
    <xf numFmtId="4" fontId="45" fillId="29" borderId="0" xfId="12" applyNumberFormat="1" applyFont="1" applyFill="1"/>
    <xf numFmtId="0" fontId="45" fillId="29" borderId="0" xfId="12" applyFont="1" applyFill="1" applyAlignment="1">
      <alignment horizontal="center"/>
    </xf>
    <xf numFmtId="0" fontId="45" fillId="29" borderId="0" xfId="12" applyFont="1" applyFill="1"/>
    <xf numFmtId="0" fontId="75" fillId="29" borderId="4" xfId="0" applyFont="1" applyFill="1" applyBorder="1" applyAlignment="1" applyProtection="1">
      <alignment vertical="center"/>
      <protection locked="0"/>
    </xf>
    <xf numFmtId="0" fontId="75" fillId="29" borderId="4" xfId="0" quotePrefix="1" applyFont="1" applyFill="1" applyBorder="1" applyAlignment="1" applyProtection="1">
      <alignment vertical="center"/>
      <protection locked="0"/>
    </xf>
    <xf numFmtId="0" fontId="75" fillId="29" borderId="9" xfId="0" applyFont="1" applyFill="1" applyBorder="1" applyAlignment="1" applyProtection="1">
      <alignment vertical="center"/>
      <protection locked="0"/>
    </xf>
    <xf numFmtId="0" fontId="93" fillId="29" borderId="6" xfId="0" applyFont="1" applyFill="1" applyBorder="1" applyAlignment="1" applyProtection="1">
      <alignment horizontal="center" vertical="center"/>
      <protection locked="0"/>
    </xf>
    <xf numFmtId="4" fontId="139" fillId="29" borderId="36" xfId="0" applyNumberFormat="1" applyFont="1" applyFill="1" applyBorder="1" applyAlignment="1">
      <alignment vertical="top"/>
    </xf>
    <xf numFmtId="4" fontId="139" fillId="29" borderId="10" xfId="0" applyNumberFormat="1" applyFont="1" applyFill="1" applyBorder="1" applyAlignment="1">
      <alignment vertical="top"/>
    </xf>
    <xf numFmtId="4" fontId="139" fillId="29" borderId="5" xfId="0" applyNumberFormat="1" applyFont="1" applyFill="1" applyBorder="1" applyAlignment="1">
      <alignment vertical="center"/>
    </xf>
    <xf numFmtId="4" fontId="139" fillId="29" borderId="5" xfId="0" applyNumberFormat="1" applyFont="1" applyFill="1" applyBorder="1" applyAlignment="1">
      <alignment vertical="top"/>
    </xf>
    <xf numFmtId="0" fontId="101" fillId="4" borderId="44" xfId="0" quotePrefix="1" applyFont="1" applyFill="1" applyBorder="1" applyAlignment="1" applyProtection="1">
      <alignment vertical="center"/>
      <protection locked="0"/>
    </xf>
    <xf numFmtId="0" fontId="101" fillId="4" borderId="26" xfId="0" applyFont="1" applyFill="1" applyBorder="1" applyAlignment="1" applyProtection="1">
      <alignment vertical="center"/>
      <protection locked="0"/>
    </xf>
    <xf numFmtId="0" fontId="101" fillId="4" borderId="45" xfId="0" applyFont="1" applyFill="1" applyBorder="1" applyAlignment="1" applyProtection="1">
      <alignment horizontal="center" vertical="center"/>
      <protection locked="0"/>
    </xf>
    <xf numFmtId="0" fontId="140" fillId="4" borderId="13" xfId="12" applyNumberFormat="1" applyFont="1" applyFill="1" applyBorder="1" applyAlignment="1">
      <alignment horizontal="left"/>
    </xf>
    <xf numFmtId="0" fontId="140" fillId="4" borderId="13" xfId="12" applyNumberFormat="1" applyFont="1" applyFill="1" applyBorder="1" applyAlignment="1">
      <alignment horizontal="center"/>
    </xf>
    <xf numFmtId="0" fontId="140" fillId="25" borderId="13" xfId="12" applyNumberFormat="1" applyFont="1" applyFill="1" applyBorder="1" applyAlignment="1">
      <alignment horizontal="center"/>
    </xf>
    <xf numFmtId="0" fontId="140" fillId="26" borderId="13" xfId="12" applyNumberFormat="1" applyFont="1" applyFill="1" applyBorder="1" applyAlignment="1">
      <alignment horizontal="center"/>
    </xf>
    <xf numFmtId="0" fontId="140" fillId="4" borderId="5" xfId="12" applyNumberFormat="1" applyFont="1" applyFill="1" applyBorder="1" applyAlignment="1">
      <alignment horizontal="left"/>
    </xf>
    <xf numFmtId="0" fontId="45" fillId="4" borderId="5" xfId="12" applyNumberFormat="1" applyFont="1" applyFill="1" applyBorder="1" applyAlignment="1">
      <alignment horizontal="center"/>
    </xf>
    <xf numFmtId="0" fontId="140" fillId="4" borderId="5" xfId="12" applyNumberFormat="1" applyFont="1" applyFill="1" applyBorder="1" applyAlignment="1">
      <alignment horizontal="center"/>
    </xf>
    <xf numFmtId="0" fontId="140" fillId="25" borderId="5" xfId="12" applyNumberFormat="1" applyFont="1" applyFill="1" applyBorder="1" applyAlignment="1">
      <alignment horizontal="center"/>
    </xf>
    <xf numFmtId="0" fontId="140" fillId="26" borderId="5" xfId="12" applyNumberFormat="1" applyFont="1" applyFill="1" applyBorder="1" applyAlignment="1">
      <alignment horizontal="center"/>
    </xf>
    <xf numFmtId="4" fontId="140" fillId="26" borderId="5" xfId="12" applyNumberFormat="1" applyFont="1" applyFill="1" applyBorder="1" applyAlignment="1">
      <alignment horizontal="center"/>
    </xf>
    <xf numFmtId="0" fontId="140" fillId="26" borderId="25" xfId="12" applyNumberFormat="1" applyFont="1" applyFill="1" applyBorder="1" applyAlignment="1">
      <alignment horizontal="center"/>
    </xf>
    <xf numFmtId="176" fontId="45" fillId="4" borderId="5" xfId="12" applyNumberFormat="1" applyFont="1" applyFill="1" applyBorder="1" applyAlignment="1">
      <alignment horizontal="center"/>
    </xf>
    <xf numFmtId="177" fontId="45" fillId="4" borderId="5" xfId="12" applyNumberFormat="1" applyFont="1" applyFill="1" applyBorder="1" applyAlignment="1">
      <alignment horizontal="center"/>
    </xf>
    <xf numFmtId="0" fontId="132" fillId="4" borderId="5" xfId="12" applyFont="1" applyFill="1" applyBorder="1" applyAlignment="1">
      <alignment horizontal="left"/>
    </xf>
    <xf numFmtId="0" fontId="45" fillId="4" borderId="5" xfId="12" applyFont="1" applyFill="1" applyBorder="1" applyAlignment="1">
      <alignment horizontal="center"/>
    </xf>
    <xf numFmtId="0" fontId="45" fillId="25" borderId="5" xfId="12" applyFont="1" applyFill="1" applyBorder="1" applyAlignment="1">
      <alignment horizontal="center"/>
    </xf>
    <xf numFmtId="0" fontId="45" fillId="26" borderId="5" xfId="12" applyFont="1" applyFill="1" applyBorder="1" applyAlignment="1">
      <alignment horizontal="center"/>
    </xf>
    <xf numFmtId="0" fontId="45" fillId="4" borderId="5" xfId="12" applyNumberFormat="1" applyFont="1" applyFill="1" applyBorder="1" applyAlignment="1">
      <alignment horizontal="left"/>
    </xf>
    <xf numFmtId="0" fontId="45" fillId="25" borderId="5" xfId="12" applyNumberFormat="1" applyFont="1" applyFill="1" applyBorder="1" applyAlignment="1">
      <alignment horizontal="center"/>
    </xf>
    <xf numFmtId="0" fontId="45" fillId="26" borderId="5" xfId="12" applyNumberFormat="1" applyFont="1" applyFill="1" applyBorder="1" applyAlignment="1">
      <alignment horizontal="center"/>
    </xf>
    <xf numFmtId="0" fontId="134" fillId="4" borderId="7" xfId="12" applyFont="1" applyFill="1" applyBorder="1" applyAlignment="1" applyProtection="1">
      <alignment horizontal="center" vertical="center"/>
      <protection locked="0"/>
    </xf>
    <xf numFmtId="4" fontId="197" fillId="26" borderId="59" xfId="0" applyNumberFormat="1" applyFont="1" applyFill="1" applyBorder="1" applyAlignment="1">
      <alignment horizontal="center" vertical="center"/>
    </xf>
    <xf numFmtId="0" fontId="110" fillId="4" borderId="0" xfId="12" applyFont="1" applyFill="1" applyAlignment="1">
      <alignment vertical="center"/>
    </xf>
    <xf numFmtId="0" fontId="155" fillId="4" borderId="15" xfId="12" applyNumberFormat="1" applyFont="1" applyFill="1" applyBorder="1" applyAlignment="1">
      <alignment horizontal="left" vertical="center"/>
    </xf>
    <xf numFmtId="0" fontId="140" fillId="4" borderId="84" xfId="12" applyNumberFormat="1" applyFont="1" applyFill="1" applyBorder="1" applyAlignment="1">
      <alignment horizontal="center" vertical="center"/>
    </xf>
    <xf numFmtId="0" fontId="140" fillId="4" borderId="14" xfId="12" applyNumberFormat="1" applyFont="1" applyFill="1" applyBorder="1" applyAlignment="1">
      <alignment horizontal="center" vertical="center"/>
    </xf>
    <xf numFmtId="0" fontId="140" fillId="4" borderId="15" xfId="12" applyNumberFormat="1" applyFont="1" applyFill="1" applyBorder="1" applyAlignment="1">
      <alignment horizontal="center" vertical="center"/>
    </xf>
    <xf numFmtId="4" fontId="132" fillId="4" borderId="15" xfId="12" applyNumberFormat="1" applyFont="1" applyFill="1" applyBorder="1" applyAlignment="1">
      <alignment vertical="center"/>
    </xf>
    <xf numFmtId="4" fontId="132" fillId="26" borderId="15" xfId="12" applyNumberFormat="1" applyFont="1" applyFill="1" applyBorder="1" applyAlignment="1">
      <alignment vertical="center"/>
    </xf>
    <xf numFmtId="10" fontId="155" fillId="4" borderId="86" xfId="41" applyNumberFormat="1" applyFont="1" applyFill="1" applyBorder="1" applyAlignment="1">
      <alignment horizontal="center" vertical="center"/>
    </xf>
    <xf numFmtId="10" fontId="155" fillId="23" borderId="14" xfId="12" applyNumberFormat="1" applyFont="1" applyFill="1" applyBorder="1" applyAlignment="1">
      <alignment horizontal="center" vertical="center"/>
    </xf>
    <xf numFmtId="10" fontId="155" fillId="4" borderId="86" xfId="12" applyNumberFormat="1" applyFont="1" applyFill="1" applyBorder="1" applyAlignment="1">
      <alignment horizontal="center" vertical="center"/>
    </xf>
    <xf numFmtId="0" fontId="155" fillId="4" borderId="14" xfId="12" applyNumberFormat="1" applyFont="1" applyFill="1" applyBorder="1" applyAlignment="1">
      <alignment horizontal="center" vertical="center"/>
    </xf>
    <xf numFmtId="10" fontId="155" fillId="4" borderId="59" xfId="27" applyNumberFormat="1" applyFont="1" applyFill="1" applyBorder="1" applyAlignment="1">
      <alignment horizontal="center" vertical="center"/>
    </xf>
    <xf numFmtId="4" fontId="22" fillId="4" borderId="0" xfId="12" applyNumberFormat="1" applyFont="1" applyFill="1" applyAlignment="1">
      <alignment vertical="center"/>
    </xf>
    <xf numFmtId="4" fontId="22" fillId="4" borderId="0" xfId="12" applyNumberFormat="1" applyFont="1" applyFill="1" applyAlignment="1">
      <alignment horizontal="center" vertical="center"/>
    </xf>
    <xf numFmtId="0" fontId="22" fillId="4" borderId="0" xfId="12" applyFont="1" applyFill="1" applyAlignment="1">
      <alignment vertical="center"/>
    </xf>
    <xf numFmtId="166" fontId="22" fillId="4" borderId="0" xfId="12" applyNumberFormat="1" applyFont="1" applyFill="1" applyAlignment="1">
      <alignment vertical="center"/>
    </xf>
    <xf numFmtId="0" fontId="188" fillId="4" borderId="0" xfId="12" applyFont="1" applyFill="1" applyAlignment="1">
      <alignment horizontal="center" vertical="center"/>
    </xf>
    <xf numFmtId="4" fontId="132" fillId="4" borderId="15" xfId="12" applyNumberFormat="1" applyFont="1" applyFill="1" applyBorder="1" applyAlignment="1">
      <alignment horizontal="center" vertical="center"/>
    </xf>
    <xf numFmtId="4" fontId="132" fillId="26" borderId="15" xfId="12" applyNumberFormat="1" applyFont="1" applyFill="1" applyBorder="1" applyAlignment="1">
      <alignment horizontal="center" vertical="center"/>
    </xf>
    <xf numFmtId="4" fontId="197" fillId="26" borderId="20" xfId="0" applyNumberFormat="1" applyFont="1" applyFill="1" applyBorder="1" applyAlignment="1">
      <alignment horizontal="center" vertical="center"/>
    </xf>
    <xf numFmtId="0" fontId="22" fillId="4" borderId="16" xfId="12" applyFont="1" applyFill="1" applyBorder="1" applyAlignment="1">
      <alignment vertical="center"/>
    </xf>
    <xf numFmtId="0" fontId="132" fillId="4" borderId="16" xfId="12" applyFont="1" applyFill="1" applyBorder="1" applyAlignment="1">
      <alignment horizontal="center" vertical="center"/>
    </xf>
    <xf numFmtId="4" fontId="44" fillId="23" borderId="36" xfId="12" applyNumberFormat="1" applyFont="1" applyFill="1" applyBorder="1" applyAlignment="1">
      <alignment horizontal="center" vertical="center"/>
    </xf>
    <xf numFmtId="49" fontId="44" fillId="4" borderId="4" xfId="0" applyNumberFormat="1" applyFont="1" applyFill="1" applyBorder="1" applyAlignment="1">
      <alignment vertical="center"/>
    </xf>
    <xf numFmtId="49" fontId="44" fillId="4" borderId="6" xfId="0" applyNumberFormat="1" applyFont="1" applyFill="1" applyBorder="1" applyAlignment="1">
      <alignment vertical="center"/>
    </xf>
    <xf numFmtId="4" fontId="44" fillId="23" borderId="4" xfId="0" applyNumberFormat="1" applyFont="1" applyFill="1" applyBorder="1" applyAlignment="1">
      <alignment horizontal="center" vertical="center"/>
    </xf>
    <xf numFmtId="49" fontId="43" fillId="4" borderId="6" xfId="0" applyNumberFormat="1" applyFont="1" applyFill="1" applyBorder="1" applyAlignment="1">
      <alignment vertical="center"/>
    </xf>
    <xf numFmtId="49" fontId="43" fillId="4" borderId="5" xfId="0" applyNumberFormat="1" applyFont="1" applyFill="1" applyBorder="1" applyAlignment="1">
      <alignment vertical="center"/>
    </xf>
    <xf numFmtId="49" fontId="43" fillId="4" borderId="58" xfId="0" applyNumberFormat="1" applyFont="1" applyFill="1" applyBorder="1" applyAlignment="1">
      <alignment vertical="center"/>
    </xf>
    <xf numFmtId="4" fontId="44" fillId="0" borderId="6" xfId="12" applyNumberFormat="1" applyFont="1" applyFill="1" applyBorder="1" applyAlignment="1" applyProtection="1">
      <alignment horizontal="center" vertical="center"/>
      <protection locked="0"/>
    </xf>
    <xf numFmtId="4" fontId="44" fillId="0" borderId="5" xfId="12" applyNumberFormat="1" applyFont="1" applyFill="1" applyBorder="1" applyAlignment="1" applyProtection="1">
      <alignment horizontal="center" vertical="center"/>
      <protection locked="0"/>
    </xf>
    <xf numFmtId="10" fontId="44" fillId="0" borderId="6" xfId="12" applyNumberFormat="1" applyFont="1" applyFill="1" applyBorder="1" applyAlignment="1">
      <alignment horizontal="center" vertical="center"/>
    </xf>
    <xf numFmtId="4" fontId="44" fillId="0" borderId="4" xfId="12" applyNumberFormat="1" applyFont="1" applyFill="1" applyBorder="1" applyAlignment="1">
      <alignment vertical="center"/>
    </xf>
    <xf numFmtId="4" fontId="44" fillId="0" borderId="5" xfId="12" applyNumberFormat="1" applyFont="1" applyFill="1" applyBorder="1" applyAlignment="1" applyProtection="1">
      <alignment vertical="center"/>
      <protection locked="0"/>
    </xf>
    <xf numFmtId="10" fontId="44" fillId="0" borderId="6" xfId="12" applyNumberFormat="1" applyFont="1" applyFill="1" applyBorder="1" applyAlignment="1">
      <alignment vertical="center"/>
    </xf>
    <xf numFmtId="4" fontId="44" fillId="4" borderId="4" xfId="12" applyNumberFormat="1" applyFont="1" applyFill="1" applyBorder="1" applyAlignment="1">
      <alignment horizontal="center"/>
    </xf>
    <xf numFmtId="4" fontId="44" fillId="23" borderId="4" xfId="0" applyNumberFormat="1" applyFont="1" applyFill="1" applyBorder="1" applyAlignment="1">
      <alignment horizontal="center"/>
    </xf>
    <xf numFmtId="4" fontId="44" fillId="29" borderId="4" xfId="12" applyNumberFormat="1" applyFont="1" applyFill="1" applyBorder="1" applyAlignment="1">
      <alignment horizontal="center"/>
    </xf>
    <xf numFmtId="4" fontId="44" fillId="29" borderId="6" xfId="12" applyNumberFormat="1" applyFont="1" applyFill="1" applyBorder="1" applyAlignment="1" applyProtection="1">
      <alignment horizontal="center" vertical="center"/>
      <protection locked="0"/>
    </xf>
    <xf numFmtId="4" fontId="44" fillId="29" borderId="4" xfId="0" applyNumberFormat="1" applyFont="1" applyFill="1" applyBorder="1" applyAlignment="1">
      <alignment horizontal="center"/>
    </xf>
    <xf numFmtId="4" fontId="44" fillId="29" borderId="5" xfId="12" applyNumberFormat="1" applyFont="1" applyFill="1" applyBorder="1" applyAlignment="1" applyProtection="1">
      <alignment horizontal="center" vertical="center"/>
      <protection locked="0"/>
    </xf>
    <xf numFmtId="10" fontId="44" fillId="29" borderId="6" xfId="12" applyNumberFormat="1" applyFont="1" applyFill="1" applyBorder="1" applyAlignment="1">
      <alignment horizontal="center" vertical="center"/>
    </xf>
    <xf numFmtId="4" fontId="44" fillId="29" borderId="4" xfId="12" applyNumberFormat="1" applyFont="1" applyFill="1" applyBorder="1" applyAlignment="1">
      <alignment vertical="center"/>
    </xf>
    <xf numFmtId="4" fontId="44" fillId="29" borderId="5" xfId="12" applyNumberFormat="1" applyFont="1" applyFill="1" applyBorder="1" applyAlignment="1" applyProtection="1">
      <alignment vertical="center"/>
      <protection locked="0"/>
    </xf>
    <xf numFmtId="10" fontId="44" fillId="29" borderId="6" xfId="12" applyNumberFormat="1" applyFont="1" applyFill="1" applyBorder="1" applyAlignment="1">
      <alignment vertical="center"/>
    </xf>
    <xf numFmtId="4" fontId="44" fillId="23" borderId="36" xfId="12" applyNumberFormat="1" applyFont="1" applyFill="1" applyBorder="1" applyAlignment="1" applyProtection="1">
      <alignment horizontal="center" vertical="center"/>
      <protection locked="0"/>
    </xf>
    <xf numFmtId="4" fontId="44" fillId="29" borderId="4" xfId="0" applyNumberFormat="1" applyFont="1" applyFill="1" applyBorder="1" applyAlignment="1">
      <alignment horizontal="center" vertical="center"/>
    </xf>
    <xf numFmtId="4" fontId="159" fillId="23" borderId="4" xfId="0" applyNumberFormat="1" applyFont="1" applyFill="1" applyBorder="1" applyAlignment="1">
      <alignment horizontal="center" vertical="center"/>
    </xf>
    <xf numFmtId="4" fontId="44" fillId="23" borderId="44" xfId="0" applyNumberFormat="1" applyFont="1" applyFill="1" applyBorder="1" applyAlignment="1">
      <alignment horizontal="center" vertical="center"/>
    </xf>
    <xf numFmtId="164" fontId="157" fillId="4" borderId="13" xfId="40" applyFont="1" applyFill="1" applyBorder="1" applyAlignment="1">
      <alignment horizontal="center" vertical="center"/>
    </xf>
    <xf numFmtId="0" fontId="44" fillId="4" borderId="13" xfId="12" applyNumberFormat="1" applyFont="1" applyFill="1" applyBorder="1" applyAlignment="1"/>
    <xf numFmtId="4" fontId="44" fillId="4" borderId="13" xfId="12" applyNumberFormat="1" applyFont="1" applyFill="1" applyBorder="1" applyAlignment="1">
      <alignment horizontal="center"/>
    </xf>
    <xf numFmtId="10" fontId="44" fillId="23" borderId="13" xfId="12" applyNumberFormat="1" applyFont="1" applyFill="1" applyBorder="1" applyAlignment="1">
      <alignment horizontal="center"/>
    </xf>
    <xf numFmtId="4" fontId="44" fillId="0" borderId="13" xfId="12" applyNumberFormat="1" applyFont="1" applyFill="1" applyBorder="1" applyAlignment="1">
      <alignment horizontal="center"/>
    </xf>
    <xf numFmtId="10" fontId="44" fillId="4" borderId="13" xfId="12" applyNumberFormat="1" applyFont="1" applyFill="1" applyBorder="1" applyAlignment="1">
      <alignment horizontal="center"/>
    </xf>
    <xf numFmtId="4" fontId="44" fillId="4" borderId="13" xfId="12" applyNumberFormat="1" applyFont="1" applyFill="1" applyBorder="1"/>
    <xf numFmtId="10" fontId="44" fillId="4" borderId="48" xfId="27" applyNumberFormat="1" applyFont="1" applyFill="1" applyBorder="1"/>
    <xf numFmtId="164" fontId="157" fillId="4" borderId="5" xfId="40" applyFont="1" applyFill="1" applyBorder="1" applyAlignment="1">
      <alignment horizontal="center" vertical="center"/>
    </xf>
    <xf numFmtId="0" fontId="44" fillId="4" borderId="5" xfId="12" applyNumberFormat="1" applyFont="1" applyFill="1" applyBorder="1" applyAlignment="1"/>
    <xf numFmtId="4" fontId="44" fillId="0" borderId="5" xfId="12" applyNumberFormat="1" applyFont="1" applyFill="1" applyBorder="1" applyAlignment="1">
      <alignment horizontal="center"/>
    </xf>
    <xf numFmtId="10" fontId="44" fillId="23" borderId="5" xfId="12" applyNumberFormat="1" applyFont="1" applyFill="1" applyBorder="1" applyAlignment="1">
      <alignment horizontal="center"/>
    </xf>
    <xf numFmtId="10" fontId="44" fillId="4" borderId="5" xfId="12" applyNumberFormat="1" applyFont="1" applyFill="1" applyBorder="1" applyAlignment="1">
      <alignment horizontal="center"/>
    </xf>
    <xf numFmtId="4" fontId="44" fillId="4" borderId="5" xfId="12" applyNumberFormat="1" applyFont="1" applyFill="1" applyBorder="1" applyAlignment="1">
      <alignment horizontal="center"/>
    </xf>
    <xf numFmtId="4" fontId="44" fillId="4" borderId="5" xfId="12" applyNumberFormat="1" applyFont="1" applyFill="1" applyBorder="1"/>
    <xf numFmtId="10" fontId="44" fillId="4" borderId="6" xfId="27" applyNumberFormat="1" applyFont="1" applyFill="1" applyBorder="1"/>
    <xf numFmtId="2" fontId="44" fillId="23" borderId="5" xfId="12" applyNumberFormat="1" applyFont="1" applyFill="1" applyBorder="1" applyAlignment="1">
      <alignment horizontal="center"/>
    </xf>
    <xf numFmtId="164" fontId="43" fillId="4" borderId="5" xfId="40" applyFont="1" applyFill="1" applyBorder="1" applyAlignment="1">
      <alignment horizontal="center"/>
    </xf>
    <xf numFmtId="4" fontId="43" fillId="4" borderId="5" xfId="12" applyNumberFormat="1" applyFont="1" applyFill="1" applyBorder="1"/>
    <xf numFmtId="4" fontId="43" fillId="4" borderId="5" xfId="12" applyNumberFormat="1" applyFont="1" applyFill="1" applyBorder="1" applyAlignment="1">
      <alignment horizontal="center"/>
    </xf>
    <xf numFmtId="4" fontId="43" fillId="23" borderId="5" xfId="12" applyNumberFormat="1" applyFont="1" applyFill="1" applyBorder="1"/>
    <xf numFmtId="4" fontId="43" fillId="0" borderId="5" xfId="12" applyNumberFormat="1" applyFont="1" applyFill="1" applyBorder="1" applyAlignment="1">
      <alignment horizontal="center"/>
    </xf>
    <xf numFmtId="0" fontId="43" fillId="4" borderId="5" xfId="12" applyFont="1" applyFill="1" applyBorder="1"/>
    <xf numFmtId="4" fontId="43" fillId="4" borderId="5" xfId="12" applyNumberFormat="1" applyFont="1" applyFill="1" applyBorder="1" applyAlignment="1">
      <alignment horizontal="right"/>
    </xf>
    <xf numFmtId="10" fontId="43" fillId="4" borderId="6" xfId="27" applyNumberFormat="1" applyFont="1" applyFill="1" applyBorder="1"/>
    <xf numFmtId="0" fontId="44" fillId="4" borderId="5" xfId="12" applyFont="1" applyFill="1" applyBorder="1" applyAlignment="1">
      <alignment horizontal="center"/>
    </xf>
    <xf numFmtId="164" fontId="157" fillId="4" borderId="5" xfId="40" applyFont="1" applyFill="1" applyBorder="1" applyAlignment="1">
      <alignment horizontal="center"/>
    </xf>
    <xf numFmtId="0" fontId="44" fillId="23" borderId="5" xfId="12" applyNumberFormat="1" applyFont="1" applyFill="1" applyBorder="1" applyAlignment="1">
      <alignment horizontal="center"/>
    </xf>
    <xf numFmtId="0" fontId="44" fillId="4" borderId="5" xfId="12" applyNumberFormat="1" applyFont="1" applyFill="1" applyBorder="1" applyAlignment="1">
      <alignment horizontal="center"/>
    </xf>
    <xf numFmtId="4" fontId="44" fillId="4" borderId="6" xfId="12" applyNumberFormat="1" applyFont="1" applyFill="1" applyBorder="1"/>
    <xf numFmtId="164" fontId="44" fillId="4" borderId="5" xfId="40" applyFont="1" applyFill="1" applyBorder="1" applyAlignment="1">
      <alignment horizontal="center"/>
    </xf>
    <xf numFmtId="10" fontId="44" fillId="4" borderId="25" xfId="12" applyNumberFormat="1" applyFont="1" applyFill="1" applyBorder="1" applyAlignment="1">
      <alignment horizontal="center"/>
    </xf>
    <xf numFmtId="0" fontId="93" fillId="4" borderId="5" xfId="0" applyFont="1" applyFill="1" applyBorder="1" applyAlignment="1" applyProtection="1">
      <alignment horizontal="left" vertical="top" wrapText="1"/>
      <protection locked="0"/>
    </xf>
    <xf numFmtId="187" fontId="116" fillId="0" borderId="0" xfId="42" applyNumberFormat="1" applyFont="1"/>
    <xf numFmtId="4" fontId="198" fillId="0" borderId="0" xfId="0" applyNumberFormat="1" applyFont="1"/>
    <xf numFmtId="4" fontId="199" fillId="0" borderId="0" xfId="0" applyNumberFormat="1" applyFont="1"/>
    <xf numFmtId="0" fontId="44" fillId="0" borderId="6" xfId="42" applyFont="1" applyFill="1" applyBorder="1" applyAlignment="1" applyProtection="1">
      <alignment vertical="center"/>
      <protection locked="0"/>
    </xf>
    <xf numFmtId="15" fontId="19" fillId="0" borderId="13" xfId="14" applyNumberFormat="1" applyBorder="1" applyAlignment="1">
      <alignment horizontal="center"/>
    </xf>
    <xf numFmtId="0" fontId="54" fillId="4" borderId="0" xfId="12" applyFont="1" applyFill="1" applyAlignment="1">
      <alignment vertical="center"/>
    </xf>
    <xf numFmtId="0" fontId="52" fillId="4" borderId="0" xfId="12" applyFont="1" applyFill="1" applyAlignment="1">
      <alignment vertical="center"/>
    </xf>
    <xf numFmtId="0" fontId="52" fillId="0" borderId="0" xfId="12" applyFont="1" applyFill="1" applyAlignment="1">
      <alignment vertical="center"/>
    </xf>
    <xf numFmtId="0" fontId="54" fillId="0" borderId="0" xfId="12" applyFont="1" applyFill="1" applyAlignment="1">
      <alignment vertical="center"/>
    </xf>
    <xf numFmtId="0" fontId="52" fillId="4" borderId="0" xfId="12" applyFont="1" applyFill="1"/>
    <xf numFmtId="0" fontId="54" fillId="29" borderId="0" xfId="12" applyFont="1" applyFill="1"/>
    <xf numFmtId="166" fontId="54" fillId="4" borderId="0" xfId="12" applyNumberFormat="1" applyFont="1" applyFill="1" applyAlignment="1">
      <alignment vertical="center"/>
    </xf>
    <xf numFmtId="0" fontId="180" fillId="11" borderId="12" xfId="42" applyFont="1" applyFill="1" applyBorder="1" applyAlignment="1">
      <alignment horizontal="right" vertical="center" wrapText="1"/>
    </xf>
    <xf numFmtId="2" fontId="180" fillId="11" borderId="12" xfId="42" applyNumberFormat="1" applyFont="1" applyFill="1" applyBorder="1" applyAlignment="1">
      <alignment horizontal="right" vertical="center" wrapText="1"/>
    </xf>
    <xf numFmtId="10" fontId="180" fillId="11" borderId="12" xfId="42" applyNumberFormat="1" applyFont="1" applyFill="1" applyBorder="1" applyAlignment="1">
      <alignment horizontal="right" vertical="center" wrapText="1"/>
    </xf>
    <xf numFmtId="0" fontId="116" fillId="0" borderId="0" xfId="12" applyFont="1" applyAlignment="1">
      <alignment horizontal="center" vertical="center"/>
    </xf>
    <xf numFmtId="0" fontId="18" fillId="0" borderId="5" xfId="12" applyNumberFormat="1" applyFont="1" applyFill="1" applyBorder="1" applyAlignment="1">
      <alignment horizontal="center"/>
    </xf>
    <xf numFmtId="0" fontId="26" fillId="0" borderId="5" xfId="12" applyNumberFormat="1" applyFont="1" applyFill="1" applyBorder="1" applyAlignment="1">
      <alignment horizontal="center"/>
    </xf>
    <xf numFmtId="0" fontId="132" fillId="2" borderId="53" xfId="12" applyFont="1" applyFill="1" applyBorder="1" applyAlignment="1">
      <alignment horizontal="center" vertical="center"/>
    </xf>
    <xf numFmtId="0" fontId="132" fillId="2" borderId="51" xfId="12" applyFont="1" applyFill="1" applyBorder="1" applyAlignment="1">
      <alignment horizontal="center" vertical="center"/>
    </xf>
    <xf numFmtId="0" fontId="3" fillId="0" borderId="5" xfId="64" applyFont="1" applyBorder="1"/>
    <xf numFmtId="0" fontId="7" fillId="0" borderId="25" xfId="64" applyBorder="1"/>
    <xf numFmtId="0" fontId="112" fillId="0" borderId="45" xfId="12" applyFont="1" applyBorder="1" applyAlignment="1">
      <alignment horizontal="center" vertical="center"/>
    </xf>
    <xf numFmtId="0" fontId="7" fillId="0" borderId="44" xfId="64" applyBorder="1"/>
    <xf numFmtId="0" fontId="7" fillId="0" borderId="26" xfId="64" applyBorder="1"/>
    <xf numFmtId="0" fontId="2" fillId="0" borderId="5" xfId="64" applyFont="1" applyBorder="1" applyAlignment="1">
      <alignment wrapText="1"/>
    </xf>
    <xf numFmtId="0" fontId="7" fillId="0" borderId="4" xfId="64" applyBorder="1" applyAlignment="1">
      <alignment vertical="center"/>
    </xf>
    <xf numFmtId="0" fontId="43" fillId="0" borderId="0" xfId="42" applyFont="1" applyFill="1" applyAlignment="1">
      <alignment vertical="center"/>
    </xf>
    <xf numFmtId="0" fontId="43" fillId="0" borderId="0" xfId="42" applyFont="1" applyFill="1" applyAlignment="1">
      <alignment vertical="center" wrapText="1"/>
    </xf>
    <xf numFmtId="0" fontId="43" fillId="0" borderId="0" xfId="42" applyFont="1" applyFill="1" applyAlignment="1">
      <alignment horizontal="center" vertical="center"/>
    </xf>
    <xf numFmtId="2" fontId="44" fillId="0" borderId="5" xfId="42" applyNumberFormat="1" applyFont="1" applyBorder="1" applyAlignment="1">
      <alignment horizontal="center" vertical="center" wrapText="1"/>
    </xf>
    <xf numFmtId="2" fontId="44" fillId="0" borderId="5" xfId="42" applyNumberFormat="1" applyFont="1" applyBorder="1" applyAlignment="1">
      <alignment horizontal="center" vertical="center" wrapText="1"/>
    </xf>
    <xf numFmtId="0" fontId="26" fillId="2" borderId="9" xfId="12" applyNumberFormat="1" applyFont="1" applyFill="1" applyBorder="1" applyAlignment="1">
      <alignment horizontal="center"/>
    </xf>
    <xf numFmtId="0" fontId="26" fillId="2" borderId="10" xfId="12" applyNumberFormat="1" applyFont="1" applyFill="1" applyBorder="1" applyAlignment="1">
      <alignment horizontal="center"/>
    </xf>
    <xf numFmtId="0" fontId="26" fillId="2" borderId="17" xfId="12" applyNumberFormat="1" applyFont="1" applyFill="1" applyBorder="1" applyAlignment="1">
      <alignment horizontal="center"/>
    </xf>
    <xf numFmtId="0" fontId="18" fillId="2" borderId="56" xfId="12" applyFont="1" applyFill="1" applyBorder="1" applyAlignment="1">
      <alignment horizontal="center" vertical="center"/>
    </xf>
    <xf numFmtId="0" fontId="18" fillId="2" borderId="68" xfId="12" applyFont="1" applyFill="1" applyBorder="1" applyAlignment="1">
      <alignment horizontal="center" vertical="center"/>
    </xf>
    <xf numFmtId="0" fontId="26" fillId="0" borderId="0" xfId="12" applyFont="1" applyAlignment="1">
      <alignment horizontal="center"/>
    </xf>
    <xf numFmtId="0" fontId="18" fillId="0" borderId="0" xfId="12" applyFont="1" applyAlignment="1">
      <alignment horizontal="center"/>
    </xf>
    <xf numFmtId="14" fontId="30" fillId="0" borderId="18" xfId="12" applyNumberFormat="1" applyFont="1" applyBorder="1" applyAlignment="1">
      <alignment horizontal="left" vertical="center" wrapText="1"/>
    </xf>
    <xf numFmtId="14" fontId="30" fillId="0" borderId="19" xfId="12" applyNumberFormat="1" applyFont="1" applyBorder="1" applyAlignment="1">
      <alignment horizontal="left" vertical="center" wrapText="1"/>
    </xf>
    <xf numFmtId="14" fontId="30" fillId="0" borderId="20" xfId="12" applyNumberFormat="1" applyFont="1" applyBorder="1" applyAlignment="1">
      <alignment horizontal="left" vertical="center" wrapText="1"/>
    </xf>
    <xf numFmtId="14" fontId="16" fillId="0" borderId="0" xfId="12" applyNumberFormat="1" applyFont="1" applyAlignment="1">
      <alignment horizontal="right" vertical="top"/>
    </xf>
    <xf numFmtId="0" fontId="18" fillId="2" borderId="34" xfId="12" applyFont="1" applyFill="1" applyBorder="1" applyAlignment="1">
      <alignment horizontal="center" vertical="center"/>
    </xf>
    <xf numFmtId="0" fontId="20" fillId="2" borderId="56" xfId="12" applyFont="1" applyFill="1" applyBorder="1" applyAlignment="1">
      <alignment horizontal="center" vertical="center"/>
    </xf>
    <xf numFmtId="0" fontId="20" fillId="2" borderId="34" xfId="12" applyFont="1" applyFill="1" applyBorder="1" applyAlignment="1">
      <alignment horizontal="center" vertical="center"/>
    </xf>
    <xf numFmtId="0" fontId="20" fillId="2" borderId="68" xfId="12" applyFont="1" applyFill="1" applyBorder="1" applyAlignment="1">
      <alignment horizontal="center" vertical="center"/>
    </xf>
    <xf numFmtId="0" fontId="18" fillId="2" borderId="49" xfId="12" applyFont="1" applyFill="1" applyBorder="1" applyAlignment="1">
      <alignment horizontal="center" vertical="center"/>
    </xf>
    <xf numFmtId="0" fontId="18" fillId="2" borderId="53" xfId="12" applyFont="1" applyFill="1" applyBorder="1" applyAlignment="1">
      <alignment horizontal="center" vertical="center"/>
    </xf>
    <xf numFmtId="0" fontId="18" fillId="2" borderId="66" xfId="12" applyFont="1" applyFill="1" applyBorder="1" applyAlignment="1">
      <alignment horizontal="center" vertical="center"/>
    </xf>
    <xf numFmtId="0" fontId="18" fillId="2" borderId="50" xfId="12" applyFont="1" applyFill="1" applyBorder="1" applyAlignment="1">
      <alignment horizontal="center" vertical="center"/>
    </xf>
    <xf numFmtId="0" fontId="18" fillId="2" borderId="51" xfId="12" applyFont="1" applyFill="1" applyBorder="1" applyAlignment="1">
      <alignment horizontal="center" vertical="center"/>
    </xf>
    <xf numFmtId="0" fontId="18" fillId="2" borderId="52" xfId="12" applyFont="1" applyFill="1" applyBorder="1" applyAlignment="1">
      <alignment horizontal="center" vertical="center"/>
    </xf>
    <xf numFmtId="0" fontId="18" fillId="2" borderId="18" xfId="12" applyFont="1" applyFill="1" applyBorder="1" applyAlignment="1">
      <alignment horizontal="center"/>
    </xf>
    <xf numFmtId="0" fontId="18" fillId="2" borderId="19" xfId="12" applyFont="1" applyFill="1" applyBorder="1" applyAlignment="1">
      <alignment horizontal="center"/>
    </xf>
    <xf numFmtId="0" fontId="18" fillId="2" borderId="20" xfId="12" applyFont="1" applyFill="1" applyBorder="1" applyAlignment="1">
      <alignment horizontal="center"/>
    </xf>
    <xf numFmtId="0" fontId="18" fillId="2" borderId="56" xfId="12" applyFont="1" applyFill="1" applyBorder="1" applyAlignment="1">
      <alignment horizontal="distributed" vertical="center"/>
    </xf>
    <xf numFmtId="0" fontId="18" fillId="2" borderId="68" xfId="12" applyFont="1" applyFill="1" applyBorder="1" applyAlignment="1">
      <alignment horizontal="distributed" vertical="center"/>
    </xf>
    <xf numFmtId="0" fontId="18" fillId="2" borderId="56" xfId="12" applyFont="1" applyFill="1" applyBorder="1" applyAlignment="1">
      <alignment horizontal="distributed"/>
    </xf>
    <xf numFmtId="0" fontId="18" fillId="2" borderId="68" xfId="12" applyFont="1" applyFill="1" applyBorder="1" applyAlignment="1">
      <alignment horizontal="distributed"/>
    </xf>
    <xf numFmtId="0" fontId="19" fillId="0" borderId="54" xfId="0" applyFont="1" applyBorder="1" applyAlignment="1">
      <alignment horizontal="center"/>
    </xf>
    <xf numFmtId="0" fontId="80" fillId="4" borderId="5" xfId="12" applyFont="1" applyFill="1" applyBorder="1" applyAlignment="1">
      <alignment horizontal="left" vertical="top" wrapText="1"/>
    </xf>
    <xf numFmtId="0" fontId="80" fillId="4" borderId="6" xfId="12" applyFont="1" applyFill="1" applyBorder="1" applyAlignment="1">
      <alignment horizontal="left" vertical="top" wrapText="1"/>
    </xf>
    <xf numFmtId="0" fontId="80" fillId="4" borderId="8" xfId="12" applyFont="1" applyFill="1" applyBorder="1" applyAlignment="1">
      <alignment horizontal="left" vertical="top" wrapText="1"/>
    </xf>
    <xf numFmtId="0" fontId="80" fillId="4" borderId="35" xfId="12" applyFont="1" applyFill="1" applyBorder="1" applyAlignment="1">
      <alignment horizontal="left" vertical="top" wrapText="1"/>
    </xf>
    <xf numFmtId="0" fontId="114" fillId="0" borderId="0" xfId="64" applyFont="1" applyAlignment="1">
      <alignment horizontal="left" vertical="center" wrapText="1"/>
    </xf>
    <xf numFmtId="0" fontId="111" fillId="0" borderId="0" xfId="64" applyFont="1" applyAlignment="1">
      <alignment horizontal="center"/>
    </xf>
    <xf numFmtId="0" fontId="4" fillId="0" borderId="0" xfId="64" applyFont="1" applyAlignment="1">
      <alignment horizontal="center"/>
    </xf>
    <xf numFmtId="0" fontId="7" fillId="0" borderId="0" xfId="64" applyAlignment="1">
      <alignment horizontal="center"/>
    </xf>
    <xf numFmtId="0" fontId="111" fillId="0" borderId="51" xfId="64" applyFont="1" applyBorder="1" applyAlignment="1">
      <alignment horizontal="center"/>
    </xf>
    <xf numFmtId="0" fontId="112" fillId="0" borderId="44" xfId="12" applyFont="1" applyBorder="1" applyAlignment="1">
      <alignment horizontal="center" vertical="center"/>
    </xf>
    <xf numFmtId="0" fontId="112" fillId="0" borderId="47" xfId="12" applyFont="1" applyBorder="1" applyAlignment="1">
      <alignment horizontal="center" vertical="center"/>
    </xf>
    <xf numFmtId="0" fontId="61" fillId="4" borderId="0" xfId="0" applyFont="1" applyFill="1" applyAlignment="1">
      <alignment horizontal="right"/>
    </xf>
    <xf numFmtId="0" fontId="61" fillId="4" borderId="0" xfId="0" applyFont="1" applyFill="1" applyAlignment="1">
      <alignment horizontal="center"/>
    </xf>
    <xf numFmtId="0" fontId="61" fillId="4" borderId="0" xfId="0" applyFont="1" applyFill="1" applyAlignment="1">
      <alignment horizontal="left"/>
    </xf>
    <xf numFmtId="14" fontId="61" fillId="4" borderId="0" xfId="0" applyNumberFormat="1" applyFont="1" applyFill="1" applyAlignment="1">
      <alignment horizontal="left" wrapText="1"/>
    </xf>
    <xf numFmtId="0" fontId="61" fillId="4" borderId="0" xfId="0" applyFont="1" applyFill="1" applyAlignment="1">
      <alignment horizontal="left" wrapText="1"/>
    </xf>
    <xf numFmtId="0" fontId="63" fillId="4" borderId="56" xfId="0" applyFont="1" applyFill="1" applyBorder="1" applyAlignment="1">
      <alignment horizontal="center" vertical="center"/>
    </xf>
    <xf numFmtId="0" fontId="63" fillId="4" borderId="68" xfId="0" applyFont="1" applyFill="1" applyBorder="1" applyAlignment="1">
      <alignment horizontal="center" vertical="center"/>
    </xf>
    <xf numFmtId="0" fontId="103" fillId="4" borderId="0" xfId="0" applyFont="1" applyFill="1" applyBorder="1" applyAlignment="1">
      <alignment horizontal="right"/>
    </xf>
    <xf numFmtId="14" fontId="103" fillId="4" borderId="0" xfId="0" applyNumberFormat="1" applyFont="1" applyFill="1" applyAlignment="1">
      <alignment horizontal="left"/>
    </xf>
    <xf numFmtId="0" fontId="103" fillId="4" borderId="18" xfId="0" applyFont="1" applyFill="1" applyBorder="1" applyAlignment="1">
      <alignment horizontal="center"/>
    </xf>
    <xf numFmtId="0" fontId="103" fillId="4" borderId="19" xfId="0" applyFont="1" applyFill="1" applyBorder="1" applyAlignment="1">
      <alignment horizontal="center"/>
    </xf>
    <xf numFmtId="0" fontId="103" fillId="4" borderId="20" xfId="0" applyFont="1" applyFill="1" applyBorder="1" applyAlignment="1">
      <alignment horizontal="center"/>
    </xf>
    <xf numFmtId="0" fontId="18" fillId="0" borderId="5" xfId="12" applyNumberFormat="1" applyFont="1" applyFill="1" applyBorder="1" applyAlignment="1">
      <alignment horizontal="center"/>
    </xf>
    <xf numFmtId="0" fontId="26" fillId="0" borderId="5" xfId="12" applyNumberFormat="1" applyFont="1" applyFill="1" applyBorder="1" applyAlignment="1">
      <alignment horizontal="center"/>
    </xf>
    <xf numFmtId="0" fontId="26" fillId="2" borderId="18" xfId="12" applyNumberFormat="1" applyFont="1" applyFill="1" applyBorder="1" applyAlignment="1">
      <alignment horizontal="center"/>
    </xf>
    <xf numFmtId="0" fontId="26" fillId="2" borderId="19" xfId="12" applyNumberFormat="1" applyFont="1" applyFill="1" applyBorder="1" applyAlignment="1">
      <alignment horizontal="center"/>
    </xf>
    <xf numFmtId="0" fontId="26" fillId="2" borderId="20" xfId="12" applyNumberFormat="1" applyFont="1" applyFill="1" applyBorder="1" applyAlignment="1">
      <alignment horizontal="center"/>
    </xf>
    <xf numFmtId="0" fontId="18" fillId="2" borderId="54" xfId="12" applyFont="1" applyFill="1" applyBorder="1" applyAlignment="1">
      <alignment horizontal="center" vertical="center"/>
    </xf>
    <xf numFmtId="0" fontId="18" fillId="2" borderId="28" xfId="12" applyFont="1" applyFill="1" applyBorder="1" applyAlignment="1">
      <alignment horizontal="center" vertical="center"/>
    </xf>
    <xf numFmtId="0" fontId="18" fillId="2" borderId="38" xfId="12" applyFont="1" applyFill="1" applyBorder="1" applyAlignment="1">
      <alignment horizontal="distributed" vertical="center"/>
    </xf>
    <xf numFmtId="0" fontId="18" fillId="2" borderId="64" xfId="12" applyFont="1" applyFill="1" applyBorder="1" applyAlignment="1">
      <alignment horizontal="distributed" vertical="center"/>
    </xf>
    <xf numFmtId="0" fontId="18" fillId="2" borderId="0" xfId="12" applyFont="1" applyFill="1" applyBorder="1" applyAlignment="1">
      <alignment horizontal="distributed"/>
    </xf>
    <xf numFmtId="14" fontId="26" fillId="0" borderId="0" xfId="12" applyNumberFormat="1" applyFont="1" applyAlignment="1">
      <alignment horizontal="left" vertical="center" wrapText="1"/>
    </xf>
    <xf numFmtId="0" fontId="18" fillId="2" borderId="21" xfId="12" applyFont="1" applyFill="1" applyBorder="1" applyAlignment="1">
      <alignment horizontal="center" vertical="center"/>
    </xf>
    <xf numFmtId="0" fontId="18" fillId="2" borderId="0" xfId="12" applyFont="1" applyFill="1" applyBorder="1" applyAlignment="1">
      <alignment horizontal="center" vertical="center"/>
    </xf>
    <xf numFmtId="0" fontId="18" fillId="2" borderId="22" xfId="12" applyFont="1" applyFill="1" applyBorder="1" applyAlignment="1">
      <alignment horizontal="center" vertical="center"/>
    </xf>
    <xf numFmtId="0" fontId="18" fillId="2" borderId="38" xfId="12" applyFont="1" applyFill="1" applyBorder="1" applyAlignment="1">
      <alignment horizontal="center" vertical="center"/>
    </xf>
    <xf numFmtId="0" fontId="18" fillId="2" borderId="64" xfId="12" applyFont="1" applyFill="1" applyBorder="1" applyAlignment="1">
      <alignment horizontal="center" vertical="center"/>
    </xf>
    <xf numFmtId="0" fontId="117" fillId="0" borderId="26" xfId="12" applyFont="1" applyFill="1" applyBorder="1" applyAlignment="1">
      <alignment horizontal="center" vertical="center" wrapText="1"/>
    </xf>
    <xf numFmtId="0" fontId="117" fillId="0" borderId="28" xfId="12" applyFont="1" applyFill="1" applyBorder="1" applyAlignment="1">
      <alignment horizontal="center" vertical="center" wrapText="1"/>
    </xf>
    <xf numFmtId="0" fontId="117" fillId="0" borderId="29" xfId="12" applyFont="1" applyFill="1" applyBorder="1" applyAlignment="1">
      <alignment horizontal="center" vertical="center" wrapText="1"/>
    </xf>
    <xf numFmtId="0" fontId="117" fillId="0" borderId="46" xfId="12" applyFont="1" applyFill="1" applyBorder="1" applyAlignment="1">
      <alignment horizontal="center" vertical="center" wrapText="1"/>
    </xf>
    <xf numFmtId="0" fontId="117" fillId="0" borderId="54" xfId="12" applyFont="1" applyFill="1" applyBorder="1" applyAlignment="1">
      <alignment horizontal="center" vertical="center" wrapText="1"/>
    </xf>
    <xf numFmtId="0" fontId="117" fillId="0" borderId="55" xfId="12" applyFont="1" applyFill="1" applyBorder="1" applyAlignment="1">
      <alignment horizontal="center" vertical="center" wrapText="1"/>
    </xf>
    <xf numFmtId="0" fontId="117" fillId="0" borderId="9" xfId="12" applyFont="1" applyFill="1" applyBorder="1" applyAlignment="1">
      <alignment horizontal="center" vertical="center"/>
    </xf>
    <xf numFmtId="0" fontId="117" fillId="0" borderId="10" xfId="12" applyFont="1" applyFill="1" applyBorder="1" applyAlignment="1">
      <alignment horizontal="center" vertical="center"/>
    </xf>
    <xf numFmtId="0" fontId="117" fillId="0" borderId="17" xfId="12" applyFont="1" applyFill="1" applyBorder="1" applyAlignment="1">
      <alignment horizontal="center" vertical="center"/>
    </xf>
    <xf numFmtId="4" fontId="116" fillId="4" borderId="9" xfId="12" applyNumberFormat="1" applyFont="1" applyFill="1" applyBorder="1" applyAlignment="1">
      <alignment horizontal="center" vertical="center"/>
    </xf>
    <xf numFmtId="4" fontId="116" fillId="4" borderId="10" xfId="12" applyNumberFormat="1" applyFont="1" applyFill="1" applyBorder="1" applyAlignment="1">
      <alignment horizontal="center" vertical="center"/>
    </xf>
    <xf numFmtId="4" fontId="116" fillId="4" borderId="17" xfId="12" applyNumberFormat="1" applyFont="1" applyFill="1" applyBorder="1" applyAlignment="1">
      <alignment horizontal="center" vertical="center"/>
    </xf>
    <xf numFmtId="0" fontId="116" fillId="0" borderId="36" xfId="42" applyFont="1" applyFill="1" applyBorder="1" applyAlignment="1">
      <alignment horizontal="center" vertical="center"/>
    </xf>
    <xf numFmtId="0" fontId="116" fillId="0" borderId="10" xfId="42" applyFont="1" applyFill="1" applyBorder="1" applyAlignment="1">
      <alignment horizontal="center" vertical="center"/>
    </xf>
    <xf numFmtId="0" fontId="116" fillId="0" borderId="58" xfId="42" applyFont="1" applyFill="1" applyBorder="1" applyAlignment="1">
      <alignment horizontal="center" vertical="center"/>
    </xf>
    <xf numFmtId="0" fontId="116" fillId="0" borderId="36" xfId="42" quotePrefix="1" applyFont="1" applyFill="1" applyBorder="1" applyAlignment="1">
      <alignment horizontal="center" vertical="center"/>
    </xf>
    <xf numFmtId="0" fontId="116" fillId="0" borderId="10" xfId="42" quotePrefix="1" applyFont="1" applyFill="1" applyBorder="1" applyAlignment="1">
      <alignment horizontal="center" vertical="center"/>
    </xf>
    <xf numFmtId="0" fontId="116" fillId="0" borderId="17" xfId="42" quotePrefix="1" applyFont="1" applyFill="1" applyBorder="1" applyAlignment="1">
      <alignment horizontal="center" vertical="center"/>
    </xf>
    <xf numFmtId="0" fontId="116" fillId="0" borderId="9" xfId="42" quotePrefix="1" applyFont="1" applyFill="1" applyBorder="1" applyAlignment="1">
      <alignment horizontal="center" vertical="center"/>
    </xf>
    <xf numFmtId="49" fontId="116" fillId="4" borderId="5" xfId="42" applyNumberFormat="1" applyFont="1" applyFill="1" applyBorder="1" applyAlignment="1">
      <alignment horizontal="center" vertical="top"/>
    </xf>
    <xf numFmtId="10" fontId="116" fillId="4" borderId="9" xfId="29" applyNumberFormat="1" applyFont="1" applyFill="1" applyBorder="1" applyAlignment="1">
      <alignment horizontal="center" vertical="center"/>
    </xf>
    <xf numFmtId="10" fontId="116" fillId="4" borderId="17" xfId="29" applyNumberFormat="1" applyFont="1" applyFill="1" applyBorder="1" applyAlignment="1">
      <alignment horizontal="center" vertical="center"/>
    </xf>
    <xf numFmtId="164" fontId="116" fillId="4" borderId="5" xfId="2" applyFont="1" applyFill="1" applyBorder="1" applyAlignment="1">
      <alignment vertical="center"/>
    </xf>
    <xf numFmtId="49" fontId="116" fillId="0" borderId="5" xfId="42" applyNumberFormat="1" applyFont="1" applyFill="1" applyBorder="1" applyAlignment="1">
      <alignment horizontal="center" vertical="top"/>
    </xf>
    <xf numFmtId="0" fontId="116" fillId="0" borderId="36" xfId="42" applyFont="1" applyBorder="1" applyAlignment="1">
      <alignment horizontal="center" vertical="center"/>
    </xf>
    <xf numFmtId="0" fontId="116" fillId="0" borderId="10" xfId="42" applyFont="1" applyBorder="1" applyAlignment="1">
      <alignment horizontal="center" vertical="center"/>
    </xf>
    <xf numFmtId="0" fontId="116" fillId="0" borderId="58" xfId="42" applyFont="1" applyBorder="1" applyAlignment="1">
      <alignment horizontal="center" vertical="center"/>
    </xf>
    <xf numFmtId="0" fontId="116" fillId="4" borderId="36" xfId="42" quotePrefix="1" applyFont="1" applyFill="1" applyBorder="1" applyAlignment="1">
      <alignment horizontal="center" vertical="center"/>
    </xf>
    <xf numFmtId="0" fontId="116" fillId="4" borderId="10" xfId="42" quotePrefix="1" applyFont="1" applyFill="1" applyBorder="1" applyAlignment="1">
      <alignment horizontal="center" vertical="center"/>
    </xf>
    <xf numFmtId="0" fontId="116" fillId="4" borderId="17" xfId="42" quotePrefix="1" applyFont="1" applyFill="1" applyBorder="1" applyAlignment="1">
      <alignment horizontal="center" vertical="center"/>
    </xf>
    <xf numFmtId="49" fontId="116" fillId="9" borderId="5" xfId="42" applyNumberFormat="1" applyFont="1" applyFill="1" applyBorder="1" applyAlignment="1">
      <alignment horizontal="center" vertical="top"/>
    </xf>
    <xf numFmtId="0" fontId="116" fillId="4" borderId="36" xfId="42" applyFont="1" applyFill="1" applyBorder="1" applyAlignment="1">
      <alignment horizontal="center" vertical="center"/>
    </xf>
    <xf numFmtId="0" fontId="116" fillId="4" borderId="10" xfId="42" applyFont="1" applyFill="1" applyBorder="1" applyAlignment="1">
      <alignment horizontal="center" vertical="center"/>
    </xf>
    <xf numFmtId="0" fontId="116" fillId="4" borderId="58" xfId="42" applyFont="1" applyFill="1" applyBorder="1" applyAlignment="1">
      <alignment horizontal="center" vertical="center"/>
    </xf>
    <xf numFmtId="0" fontId="116" fillId="4" borderId="9" xfId="42" quotePrefix="1" applyFont="1" applyFill="1" applyBorder="1" applyAlignment="1">
      <alignment horizontal="center" vertical="center"/>
    </xf>
    <xf numFmtId="0" fontId="116" fillId="4" borderId="42" xfId="42" quotePrefix="1" applyFont="1" applyFill="1" applyBorder="1" applyAlignment="1">
      <alignment horizontal="center" vertical="center"/>
    </xf>
    <xf numFmtId="0" fontId="116" fillId="4" borderId="28" xfId="42" quotePrefix="1" applyFont="1" applyFill="1" applyBorder="1" applyAlignment="1">
      <alignment horizontal="center" vertical="center"/>
    </xf>
    <xf numFmtId="0" fontId="116" fillId="4" borderId="29" xfId="42" quotePrefix="1" applyFont="1" applyFill="1" applyBorder="1" applyAlignment="1">
      <alignment horizontal="center" vertical="center"/>
    </xf>
    <xf numFmtId="0" fontId="116" fillId="0" borderId="92" xfId="42" quotePrefix="1" applyFont="1" applyFill="1" applyBorder="1" applyAlignment="1">
      <alignment horizontal="center" vertical="center"/>
    </xf>
    <xf numFmtId="0" fontId="116" fillId="0" borderId="54" xfId="42" quotePrefix="1" applyFont="1" applyFill="1" applyBorder="1" applyAlignment="1">
      <alignment horizontal="center" vertical="center"/>
    </xf>
    <xf numFmtId="0" fontId="116" fillId="0" borderId="55" xfId="42" quotePrefix="1" applyFont="1" applyFill="1" applyBorder="1" applyAlignment="1">
      <alignment horizontal="center" vertical="center"/>
    </xf>
    <xf numFmtId="0" fontId="116" fillId="0" borderId="17" xfId="42" applyFont="1" applyBorder="1" applyAlignment="1">
      <alignment horizontal="center" vertical="center"/>
    </xf>
    <xf numFmtId="0" fontId="117" fillId="4" borderId="18" xfId="42" applyFont="1" applyFill="1" applyBorder="1" applyAlignment="1">
      <alignment horizontal="center" vertical="center"/>
    </xf>
    <xf numFmtId="0" fontId="117" fillId="4" borderId="19" xfId="42" applyFont="1" applyFill="1" applyBorder="1" applyAlignment="1">
      <alignment horizontal="center" vertical="center"/>
    </xf>
    <xf numFmtId="0" fontId="117" fillId="9" borderId="49" xfId="42" applyFont="1" applyFill="1" applyBorder="1" applyAlignment="1">
      <alignment horizontal="center" vertical="center" wrapText="1"/>
    </xf>
    <xf numFmtId="0" fontId="117" fillId="9" borderId="53" xfId="42" applyFont="1" applyFill="1" applyBorder="1" applyAlignment="1">
      <alignment horizontal="center" vertical="center" wrapText="1"/>
    </xf>
    <xf numFmtId="0" fontId="117" fillId="9" borderId="66" xfId="42" applyFont="1" applyFill="1" applyBorder="1" applyAlignment="1">
      <alignment horizontal="center" vertical="center" wrapText="1"/>
    </xf>
    <xf numFmtId="0" fontId="117" fillId="9" borderId="21" xfId="42" applyFont="1" applyFill="1" applyBorder="1" applyAlignment="1">
      <alignment horizontal="center" vertical="center" wrapText="1"/>
    </xf>
    <xf numFmtId="0" fontId="117" fillId="9" borderId="0" xfId="42" applyFont="1" applyFill="1" applyBorder="1" applyAlignment="1">
      <alignment horizontal="center" vertical="center" wrapText="1"/>
    </xf>
    <xf numFmtId="0" fontId="117" fillId="9" borderId="22" xfId="42" applyFont="1" applyFill="1" applyBorder="1" applyAlignment="1">
      <alignment horizontal="center" vertical="center" wrapText="1"/>
    </xf>
    <xf numFmtId="0" fontId="117" fillId="0" borderId="49" xfId="42" applyFont="1" applyFill="1" applyBorder="1" applyAlignment="1">
      <alignment horizontal="center" vertical="center"/>
    </xf>
    <xf numFmtId="0" fontId="117" fillId="0" borderId="53" xfId="42" applyFont="1" applyFill="1" applyBorder="1" applyAlignment="1">
      <alignment horizontal="center" vertical="center"/>
    </xf>
    <xf numFmtId="0" fontId="117" fillId="0" borderId="79" xfId="42" applyFont="1" applyFill="1" applyBorder="1" applyAlignment="1">
      <alignment horizontal="center" vertical="center"/>
    </xf>
    <xf numFmtId="0" fontId="117" fillId="0" borderId="82" xfId="42" applyFont="1" applyFill="1" applyBorder="1" applyAlignment="1">
      <alignment horizontal="center" vertical="center"/>
    </xf>
    <xf numFmtId="0" fontId="116" fillId="0" borderId="60" xfId="42" applyFont="1" applyBorder="1" applyAlignment="1">
      <alignment horizontal="center" vertical="center"/>
    </xf>
    <xf numFmtId="0" fontId="116" fillId="0" borderId="40" xfId="42" applyFont="1" applyBorder="1" applyAlignment="1">
      <alignment horizontal="center" vertical="center"/>
    </xf>
    <xf numFmtId="0" fontId="116" fillId="0" borderId="88" xfId="42" applyFont="1" applyBorder="1" applyAlignment="1">
      <alignment horizontal="center" vertical="center"/>
    </xf>
    <xf numFmtId="0" fontId="116" fillId="0" borderId="60" xfId="42" quotePrefix="1" applyFont="1" applyFill="1" applyBorder="1" applyAlignment="1">
      <alignment horizontal="center" vertical="center"/>
    </xf>
    <xf numFmtId="0" fontId="116" fillId="0" borderId="40" xfId="42" applyFont="1" applyFill="1" applyBorder="1" applyAlignment="1">
      <alignment horizontal="center" vertical="center"/>
    </xf>
    <xf numFmtId="0" fontId="116" fillId="0" borderId="61" xfId="42" applyFont="1" applyFill="1" applyBorder="1" applyAlignment="1">
      <alignment horizontal="center" vertical="center"/>
    </xf>
    <xf numFmtId="0" fontId="116" fillId="0" borderId="57" xfId="42" applyFont="1" applyFill="1" applyBorder="1" applyAlignment="1">
      <alignment horizontal="center" vertical="center"/>
    </xf>
    <xf numFmtId="4" fontId="116" fillId="0" borderId="9" xfId="12" applyNumberFormat="1" applyFont="1" applyFill="1" applyBorder="1" applyAlignment="1">
      <alignment horizontal="center" vertical="center"/>
    </xf>
    <xf numFmtId="4" fontId="116" fillId="0" borderId="10" xfId="12" applyNumberFormat="1" applyFont="1" applyFill="1" applyBorder="1" applyAlignment="1">
      <alignment horizontal="center" vertical="center"/>
    </xf>
    <xf numFmtId="4" fontId="116" fillId="0" borderId="17" xfId="12" applyNumberFormat="1" applyFont="1" applyFill="1" applyBorder="1" applyAlignment="1">
      <alignment horizontal="center" vertical="center"/>
    </xf>
    <xf numFmtId="0" fontId="163" fillId="4" borderId="0" xfId="42" applyFont="1" applyFill="1" applyBorder="1" applyAlignment="1">
      <alignment horizontal="left" vertical="center" wrapText="1"/>
    </xf>
    <xf numFmtId="0" fontId="116" fillId="4" borderId="0" xfId="12" applyFont="1" applyFill="1" applyBorder="1" applyAlignment="1">
      <alignment horizontal="left" vertical="center" wrapText="1"/>
    </xf>
    <xf numFmtId="0" fontId="165" fillId="0" borderId="26" xfId="12" applyFont="1" applyFill="1" applyBorder="1" applyAlignment="1">
      <alignment horizontal="center" vertical="center" wrapText="1"/>
    </xf>
    <xf numFmtId="0" fontId="165" fillId="0" borderId="28" xfId="12" applyFont="1" applyFill="1" applyBorder="1" applyAlignment="1">
      <alignment horizontal="center" vertical="center" wrapText="1"/>
    </xf>
    <xf numFmtId="0" fontId="165" fillId="0" borderId="29" xfId="12" applyFont="1" applyFill="1" applyBorder="1" applyAlignment="1">
      <alignment horizontal="center" vertical="center" wrapText="1"/>
    </xf>
    <xf numFmtId="0" fontId="165" fillId="0" borderId="46" xfId="12" applyFont="1" applyFill="1" applyBorder="1" applyAlignment="1">
      <alignment horizontal="center" vertical="center" wrapText="1"/>
    </xf>
    <xf numFmtId="0" fontId="165" fillId="0" borderId="54" xfId="12" applyFont="1" applyFill="1" applyBorder="1" applyAlignment="1">
      <alignment horizontal="center" vertical="center" wrapText="1"/>
    </xf>
    <xf numFmtId="0" fontId="165" fillId="0" borderId="55" xfId="12" applyFont="1" applyFill="1" applyBorder="1" applyAlignment="1">
      <alignment horizontal="center" vertical="center" wrapText="1"/>
    </xf>
    <xf numFmtId="4" fontId="116" fillId="0" borderId="28" xfId="12" applyNumberFormat="1" applyFont="1" applyFill="1" applyBorder="1" applyAlignment="1">
      <alignment horizontal="center" vertical="center"/>
    </xf>
    <xf numFmtId="4" fontId="117" fillId="4" borderId="9" xfId="42" applyNumberFormat="1" applyFont="1" applyFill="1" applyBorder="1" applyAlignment="1">
      <alignment horizontal="center" vertical="center"/>
    </xf>
    <xf numFmtId="4" fontId="117" fillId="4" borderId="10" xfId="42" applyNumberFormat="1" applyFont="1" applyFill="1" applyBorder="1" applyAlignment="1">
      <alignment horizontal="center" vertical="center"/>
    </xf>
    <xf numFmtId="4" fontId="117" fillId="4" borderId="17" xfId="42" applyNumberFormat="1" applyFont="1" applyFill="1" applyBorder="1" applyAlignment="1">
      <alignment horizontal="center" vertical="center"/>
    </xf>
    <xf numFmtId="4" fontId="117" fillId="0" borderId="9" xfId="42" applyNumberFormat="1" applyFont="1" applyFill="1" applyBorder="1" applyAlignment="1">
      <alignment horizontal="center" vertical="center"/>
    </xf>
    <xf numFmtId="4" fontId="117" fillId="0" borderId="10" xfId="42" applyNumberFormat="1" applyFont="1" applyFill="1" applyBorder="1" applyAlignment="1">
      <alignment horizontal="center" vertical="center"/>
    </xf>
    <xf numFmtId="4" fontId="117" fillId="0" borderId="17" xfId="42" applyNumberFormat="1" applyFont="1" applyFill="1" applyBorder="1" applyAlignment="1">
      <alignment horizontal="center" vertical="center"/>
    </xf>
    <xf numFmtId="0" fontId="117" fillId="0" borderId="9" xfId="42" applyFont="1" applyFill="1" applyBorder="1" applyAlignment="1">
      <alignment horizontal="center" vertical="center"/>
    </xf>
    <xf numFmtId="0" fontId="117" fillId="0" borderId="10" xfId="42" applyFont="1" applyFill="1" applyBorder="1" applyAlignment="1">
      <alignment horizontal="center" vertical="center"/>
    </xf>
    <xf numFmtId="0" fontId="117" fillId="0" borderId="17" xfId="42" applyFont="1" applyFill="1" applyBorder="1" applyAlignment="1">
      <alignment horizontal="center" vertical="center"/>
    </xf>
    <xf numFmtId="0" fontId="117" fillId="4" borderId="9" xfId="42" applyFont="1" applyFill="1" applyBorder="1" applyAlignment="1">
      <alignment horizontal="center" vertical="center"/>
    </xf>
    <xf numFmtId="0" fontId="117" fillId="4" borderId="10" xfId="42" applyFont="1" applyFill="1" applyBorder="1" applyAlignment="1">
      <alignment horizontal="center" vertical="center"/>
    </xf>
    <xf numFmtId="0" fontId="117" fillId="4" borderId="17" xfId="42" applyFont="1" applyFill="1" applyBorder="1" applyAlignment="1">
      <alignment horizontal="center" vertical="center"/>
    </xf>
    <xf numFmtId="4" fontId="116" fillId="4" borderId="9" xfId="42" applyNumberFormat="1" applyFont="1" applyFill="1" applyBorder="1" applyAlignment="1">
      <alignment horizontal="center" vertical="center"/>
    </xf>
    <xf numFmtId="4" fontId="116" fillId="4" borderId="10" xfId="42" applyNumberFormat="1" applyFont="1" applyFill="1" applyBorder="1" applyAlignment="1">
      <alignment horizontal="center" vertical="center"/>
    </xf>
    <xf numFmtId="4" fontId="116" fillId="4" borderId="17" xfId="42" applyNumberFormat="1" applyFont="1" applyFill="1" applyBorder="1" applyAlignment="1">
      <alignment horizontal="center" vertical="center"/>
    </xf>
    <xf numFmtId="0" fontId="130" fillId="0" borderId="43" xfId="42" applyFont="1" applyFill="1" applyBorder="1" applyAlignment="1">
      <alignment horizontal="center" vertical="center"/>
    </xf>
    <xf numFmtId="0" fontId="130" fillId="0" borderId="0" xfId="42" applyFont="1" applyFill="1" applyBorder="1" applyAlignment="1">
      <alignment horizontal="center" vertical="center"/>
    </xf>
    <xf numFmtId="4" fontId="130" fillId="0" borderId="0" xfId="42" applyNumberFormat="1" applyFont="1" applyFill="1" applyBorder="1" applyAlignment="1">
      <alignment horizontal="center" vertical="center"/>
    </xf>
    <xf numFmtId="0" fontId="117" fillId="0" borderId="9" xfId="42" applyNumberFormat="1" applyFont="1" applyFill="1" applyBorder="1" applyAlignment="1">
      <alignment horizontal="center" vertical="center"/>
    </xf>
    <xf numFmtId="0" fontId="117" fillId="0" borderId="17" xfId="42" applyNumberFormat="1" applyFont="1" applyFill="1" applyBorder="1" applyAlignment="1">
      <alignment horizontal="center" vertical="center"/>
    </xf>
    <xf numFmtId="16" fontId="116" fillId="0" borderId="9" xfId="42" applyNumberFormat="1" applyFont="1" applyFill="1" applyBorder="1" applyAlignment="1">
      <alignment horizontal="center" vertical="center"/>
    </xf>
    <xf numFmtId="16" fontId="116" fillId="0" borderId="10" xfId="42" applyNumberFormat="1" applyFont="1" applyFill="1" applyBorder="1" applyAlignment="1">
      <alignment horizontal="center" vertical="center"/>
    </xf>
    <xf numFmtId="16" fontId="116" fillId="0" borderId="17" xfId="42" applyNumberFormat="1" applyFont="1" applyFill="1" applyBorder="1" applyAlignment="1">
      <alignment horizontal="center" vertical="center"/>
    </xf>
    <xf numFmtId="0" fontId="116" fillId="0" borderId="9" xfId="42" applyFont="1" applyBorder="1" applyAlignment="1">
      <alignment horizontal="center" vertical="center"/>
    </xf>
    <xf numFmtId="0" fontId="117" fillId="0" borderId="9" xfId="42" applyFont="1" applyFill="1" applyBorder="1" applyAlignment="1">
      <alignment horizontal="center" vertical="center" wrapText="1"/>
    </xf>
    <xf numFmtId="0" fontId="117" fillId="0" borderId="10" xfId="42" applyFont="1" applyFill="1" applyBorder="1" applyAlignment="1">
      <alignment horizontal="center" vertical="center" wrapText="1"/>
    </xf>
    <xf numFmtId="0" fontId="117" fillId="0" borderId="17" xfId="42" applyFont="1" applyFill="1" applyBorder="1" applyAlignment="1">
      <alignment horizontal="center" vertical="center" wrapText="1"/>
    </xf>
    <xf numFmtId="0" fontId="116" fillId="0" borderId="43" xfId="42" applyFont="1" applyFill="1" applyBorder="1" applyAlignment="1">
      <alignment horizontal="center" vertical="center" wrapText="1"/>
    </xf>
    <xf numFmtId="0" fontId="116" fillId="0" borderId="0" xfId="42" applyFont="1" applyFill="1" applyBorder="1" applyAlignment="1">
      <alignment horizontal="center" vertical="center" wrapText="1"/>
    </xf>
    <xf numFmtId="4" fontId="147" fillId="4" borderId="84" xfId="12" applyNumberFormat="1" applyFont="1" applyFill="1" applyBorder="1" applyAlignment="1">
      <alignment horizontal="center" vertical="center"/>
    </xf>
    <xf numFmtId="4" fontId="147" fillId="4" borderId="19" xfId="12" applyNumberFormat="1" applyFont="1" applyFill="1" applyBorder="1" applyAlignment="1">
      <alignment horizontal="center" vertical="center"/>
    </xf>
    <xf numFmtId="4" fontId="147" fillId="4" borderId="86" xfId="12" applyNumberFormat="1" applyFont="1" applyFill="1" applyBorder="1" applyAlignment="1">
      <alignment horizontal="center" vertical="center"/>
    </xf>
    <xf numFmtId="10" fontId="147" fillId="0" borderId="84" xfId="29" applyNumberFormat="1" applyFont="1" applyFill="1" applyBorder="1" applyAlignment="1">
      <alignment horizontal="center" vertical="center"/>
    </xf>
    <xf numFmtId="10" fontId="147" fillId="0" borderId="19" xfId="29" applyNumberFormat="1" applyFont="1" applyFill="1" applyBorder="1" applyAlignment="1">
      <alignment horizontal="center" vertical="center"/>
    </xf>
    <xf numFmtId="164" fontId="147" fillId="4" borderId="14" xfId="12" applyNumberFormat="1" applyFont="1" applyFill="1" applyBorder="1" applyAlignment="1">
      <alignment horizontal="center" vertical="center"/>
    </xf>
    <xf numFmtId="164" fontId="147" fillId="4" borderId="15" xfId="12" applyNumberFormat="1" applyFont="1" applyFill="1" applyBorder="1" applyAlignment="1">
      <alignment horizontal="center" vertical="center"/>
    </xf>
    <xf numFmtId="164" fontId="147" fillId="4" borderId="59" xfId="12" applyNumberFormat="1" applyFont="1" applyFill="1" applyBorder="1" applyAlignment="1">
      <alignment horizontal="center" vertical="center"/>
    </xf>
    <xf numFmtId="10" fontId="147" fillId="0" borderId="20" xfId="29" applyNumberFormat="1" applyFont="1" applyFill="1" applyBorder="1" applyAlignment="1">
      <alignment horizontal="center" vertical="center"/>
    </xf>
    <xf numFmtId="0" fontId="117" fillId="0" borderId="26" xfId="42" applyFont="1" applyFill="1" applyBorder="1" applyAlignment="1">
      <alignment horizontal="center" vertical="center" wrapText="1"/>
    </xf>
    <xf numFmtId="0" fontId="117" fillId="0" borderId="29" xfId="42" applyFont="1" applyFill="1" applyBorder="1" applyAlignment="1">
      <alignment horizontal="center" vertical="center" wrapText="1"/>
    </xf>
    <xf numFmtId="0" fontId="117" fillId="0" borderId="46" xfId="42" applyFont="1" applyFill="1" applyBorder="1" applyAlignment="1">
      <alignment horizontal="center" vertical="center" wrapText="1"/>
    </xf>
    <xf numFmtId="0" fontId="117" fillId="0" borderId="55" xfId="42" applyFont="1" applyFill="1" applyBorder="1" applyAlignment="1">
      <alignment horizontal="center" vertical="center" wrapText="1"/>
    </xf>
    <xf numFmtId="0" fontId="117" fillId="0" borderId="26" xfId="42" applyFont="1" applyBorder="1" applyAlignment="1">
      <alignment horizontal="center" vertical="center"/>
    </xf>
    <xf numFmtId="0" fontId="117" fillId="0" borderId="28" xfId="42" applyFont="1" applyBorder="1" applyAlignment="1">
      <alignment horizontal="center" vertical="center"/>
    </xf>
    <xf numFmtId="0" fontId="117" fillId="0" borderId="29" xfId="42" applyFont="1" applyBorder="1" applyAlignment="1">
      <alignment horizontal="center" vertical="center"/>
    </xf>
    <xf numFmtId="0" fontId="117" fillId="0" borderId="46" xfId="42" applyFont="1" applyBorder="1" applyAlignment="1">
      <alignment horizontal="center" vertical="center"/>
    </xf>
    <xf numFmtId="0" fontId="117" fillId="0" borderId="54" xfId="42" applyFont="1" applyBorder="1" applyAlignment="1">
      <alignment horizontal="center" vertical="center"/>
    </xf>
    <xf numFmtId="0" fontId="117" fillId="0" borderId="55" xfId="42" applyFont="1" applyBorder="1" applyAlignment="1">
      <alignment horizontal="center" vertical="center"/>
    </xf>
    <xf numFmtId="0" fontId="161" fillId="0" borderId="18" xfId="12" applyFont="1" applyFill="1" applyBorder="1" applyAlignment="1">
      <alignment horizontal="center" vertical="center"/>
    </xf>
    <xf numFmtId="0" fontId="161" fillId="0" borderId="19" xfId="12" applyFont="1" applyFill="1" applyBorder="1" applyAlignment="1">
      <alignment horizontal="center" vertical="center"/>
    </xf>
    <xf numFmtId="0" fontId="161" fillId="0" borderId="86" xfId="12" applyFont="1" applyFill="1" applyBorder="1" applyAlignment="1">
      <alignment horizontal="center" vertical="center"/>
    </xf>
    <xf numFmtId="164" fontId="147" fillId="4" borderId="84" xfId="2" applyFont="1" applyFill="1" applyBorder="1" applyAlignment="1">
      <alignment horizontal="center" vertical="center"/>
    </xf>
    <xf numFmtId="164" fontId="147" fillId="4" borderId="19" xfId="2" applyFont="1" applyFill="1" applyBorder="1" applyAlignment="1">
      <alignment horizontal="center" vertical="center"/>
    </xf>
    <xf numFmtId="164" fontId="147" fillId="4" borderId="86" xfId="2" applyFont="1" applyFill="1" applyBorder="1" applyAlignment="1">
      <alignment horizontal="center" vertical="center"/>
    </xf>
    <xf numFmtId="4" fontId="147" fillId="0" borderId="84" xfId="12" applyNumberFormat="1" applyFont="1" applyFill="1" applyBorder="1" applyAlignment="1">
      <alignment horizontal="center" vertical="center"/>
    </xf>
    <xf numFmtId="4" fontId="147" fillId="0" borderId="19" xfId="12" applyNumberFormat="1" applyFont="1" applyFill="1" applyBorder="1" applyAlignment="1">
      <alignment horizontal="center" vertical="center"/>
    </xf>
    <xf numFmtId="4" fontId="147" fillId="0" borderId="86" xfId="12" applyNumberFormat="1" applyFont="1" applyFill="1" applyBorder="1" applyAlignment="1">
      <alignment horizontal="center" vertical="center"/>
    </xf>
    <xf numFmtId="10" fontId="147" fillId="0" borderId="86" xfId="29" applyNumberFormat="1" applyFont="1" applyFill="1" applyBorder="1" applyAlignment="1">
      <alignment horizontal="center" vertical="center"/>
    </xf>
    <xf numFmtId="4" fontId="147" fillId="26" borderId="84" xfId="12" applyNumberFormat="1" applyFont="1" applyFill="1" applyBorder="1" applyAlignment="1">
      <alignment horizontal="center" vertical="center"/>
    </xf>
    <xf numFmtId="4" fontId="147" fillId="26" borderId="19" xfId="12" applyNumberFormat="1" applyFont="1" applyFill="1" applyBorder="1" applyAlignment="1">
      <alignment horizontal="center" vertical="center"/>
    </xf>
    <xf numFmtId="4" fontId="147" fillId="26" borderId="86" xfId="12" applyNumberFormat="1" applyFont="1" applyFill="1" applyBorder="1" applyAlignment="1">
      <alignment horizontal="center" vertical="center"/>
    </xf>
    <xf numFmtId="0" fontId="117" fillId="0" borderId="51" xfId="12" applyFont="1" applyFill="1" applyBorder="1" applyAlignment="1">
      <alignment horizontal="left" vertical="center"/>
    </xf>
    <xf numFmtId="0" fontId="117" fillId="5" borderId="49" xfId="12" applyFont="1" applyFill="1" applyBorder="1" applyAlignment="1">
      <alignment horizontal="center" vertical="justify"/>
    </xf>
    <xf numFmtId="0" fontId="117" fillId="5" borderId="53" xfId="12" applyFont="1" applyFill="1" applyBorder="1" applyAlignment="1">
      <alignment horizontal="center" vertical="justify"/>
    </xf>
    <xf numFmtId="0" fontId="117" fillId="5" borderId="79" xfId="12" applyFont="1" applyFill="1" applyBorder="1" applyAlignment="1">
      <alignment horizontal="center" vertical="justify"/>
    </xf>
    <xf numFmtId="0" fontId="117" fillId="5" borderId="50" xfId="12" applyFont="1" applyFill="1" applyBorder="1" applyAlignment="1">
      <alignment horizontal="center" vertical="justify"/>
    </xf>
    <xf numFmtId="0" fontId="117" fillId="5" borderId="51" xfId="12" applyFont="1" applyFill="1" applyBorder="1" applyAlignment="1">
      <alignment horizontal="center" vertical="justify"/>
    </xf>
    <xf numFmtId="0" fontId="117" fillId="5" borderId="87" xfId="12" applyFont="1" applyFill="1" applyBorder="1" applyAlignment="1">
      <alignment horizontal="center" vertical="justify"/>
    </xf>
    <xf numFmtId="0" fontId="117" fillId="5" borderId="82" xfId="12" applyFont="1" applyFill="1" applyBorder="1" applyAlignment="1">
      <alignment horizontal="center" vertical="center" wrapText="1"/>
    </xf>
    <xf numFmtId="0" fontId="117" fillId="5" borderId="53" xfId="12" applyFont="1" applyFill="1" applyBorder="1" applyAlignment="1">
      <alignment horizontal="center" vertical="center" wrapText="1"/>
    </xf>
    <xf numFmtId="0" fontId="117" fillId="5" borderId="79" xfId="12" applyFont="1" applyFill="1" applyBorder="1" applyAlignment="1">
      <alignment horizontal="center" vertical="center" wrapText="1"/>
    </xf>
    <xf numFmtId="0" fontId="117" fillId="5" borderId="89" xfId="12" applyFont="1" applyFill="1" applyBorder="1" applyAlignment="1">
      <alignment horizontal="center" vertical="center" wrapText="1"/>
    </xf>
    <xf numFmtId="0" fontId="117" fillId="5" borderId="51" xfId="12" applyFont="1" applyFill="1" applyBorder="1" applyAlignment="1">
      <alignment horizontal="center" vertical="center" wrapText="1"/>
    </xf>
    <xf numFmtId="0" fontId="117" fillId="5" borderId="87" xfId="12" applyFont="1" applyFill="1" applyBorder="1" applyAlignment="1">
      <alignment horizontal="center" vertical="center" wrapText="1"/>
    </xf>
    <xf numFmtId="0" fontId="117" fillId="5" borderId="57" xfId="12" applyFont="1" applyFill="1" applyBorder="1" applyAlignment="1">
      <alignment horizontal="center" vertical="center"/>
    </xf>
    <xf numFmtId="0" fontId="117" fillId="5" borderId="40" xfId="12" applyFont="1" applyFill="1" applyBorder="1" applyAlignment="1">
      <alignment horizontal="center" vertical="center"/>
    </xf>
    <xf numFmtId="0" fontId="117" fillId="5" borderId="61" xfId="12" applyFont="1" applyFill="1" applyBorder="1" applyAlignment="1">
      <alignment horizontal="center" vertical="center"/>
    </xf>
    <xf numFmtId="0" fontId="117" fillId="5" borderId="88" xfId="12" applyFont="1" applyFill="1" applyBorder="1" applyAlignment="1">
      <alignment horizontal="center" vertical="center"/>
    </xf>
    <xf numFmtId="0" fontId="117" fillId="5" borderId="63" xfId="12" applyFont="1" applyFill="1" applyBorder="1" applyAlignment="1">
      <alignment horizontal="center" vertical="center"/>
    </xf>
    <xf numFmtId="0" fontId="117" fillId="5" borderId="41" xfId="12" applyFont="1" applyFill="1" applyBorder="1" applyAlignment="1">
      <alignment horizontal="center" vertical="center"/>
    </xf>
    <xf numFmtId="0" fontId="117" fillId="5" borderId="62" xfId="12" applyFont="1" applyFill="1" applyBorder="1" applyAlignment="1">
      <alignment horizontal="center" vertical="center"/>
    </xf>
    <xf numFmtId="0" fontId="117" fillId="5" borderId="30" xfId="12" applyFont="1" applyFill="1" applyBorder="1" applyAlignment="1">
      <alignment horizontal="center" vertical="center"/>
    </xf>
    <xf numFmtId="10" fontId="147" fillId="0" borderId="9" xfId="29" applyNumberFormat="1" applyFont="1" applyFill="1" applyBorder="1" applyAlignment="1">
      <alignment horizontal="center" vertical="center"/>
    </xf>
    <xf numFmtId="10" fontId="147" fillId="0" borderId="58" xfId="29" applyNumberFormat="1" applyFont="1" applyFill="1" applyBorder="1" applyAlignment="1">
      <alignment horizontal="center" vertical="center"/>
    </xf>
    <xf numFmtId="0" fontId="161" fillId="0" borderId="7" xfId="12" applyFont="1" applyFill="1" applyBorder="1" applyAlignment="1">
      <alignment horizontal="center" vertical="center"/>
    </xf>
    <xf numFmtId="0" fontId="161" fillId="0" borderId="8" xfId="12" applyFont="1" applyFill="1" applyBorder="1" applyAlignment="1">
      <alignment horizontal="center" vertical="center"/>
    </xf>
    <xf numFmtId="164" fontId="147" fillId="0" borderId="8" xfId="2" applyFont="1" applyFill="1" applyBorder="1" applyAlignment="1">
      <alignment horizontal="center" vertical="center"/>
    </xf>
    <xf numFmtId="4" fontId="147" fillId="4" borderId="8" xfId="12" applyNumberFormat="1" applyFont="1" applyFill="1" applyBorder="1" applyAlignment="1">
      <alignment horizontal="center" vertical="center"/>
    </xf>
    <xf numFmtId="10" fontId="147" fillId="0" borderId="8" xfId="29" applyNumberFormat="1" applyFont="1" applyFill="1" applyBorder="1" applyAlignment="1">
      <alignment horizontal="center" vertical="center"/>
    </xf>
    <xf numFmtId="4" fontId="147" fillId="0" borderId="8" xfId="12" applyNumberFormat="1" applyFont="1" applyFill="1" applyBorder="1" applyAlignment="1">
      <alignment horizontal="center" vertical="center"/>
    </xf>
    <xf numFmtId="164" fontId="147" fillId="0" borderId="8" xfId="12" applyNumberFormat="1" applyFont="1" applyFill="1" applyBorder="1" applyAlignment="1">
      <alignment horizontal="center" vertical="center"/>
    </xf>
    <xf numFmtId="10" fontId="147" fillId="0" borderId="35" xfId="29" applyNumberFormat="1" applyFont="1" applyFill="1" applyBorder="1" applyAlignment="1">
      <alignment horizontal="center" vertical="center"/>
    </xf>
    <xf numFmtId="0" fontId="161" fillId="0" borderId="4" xfId="12" applyFont="1" applyFill="1" applyBorder="1" applyAlignment="1">
      <alignment horizontal="center" vertical="center"/>
    </xf>
    <xf numFmtId="0" fontId="161" fillId="0" borderId="5" xfId="12" applyFont="1" applyFill="1" applyBorder="1" applyAlignment="1">
      <alignment horizontal="center" vertical="center"/>
    </xf>
    <xf numFmtId="164" fontId="147" fillId="0" borderId="5" xfId="2" applyFont="1" applyFill="1" applyBorder="1" applyAlignment="1">
      <alignment horizontal="center" vertical="center"/>
    </xf>
    <xf numFmtId="4" fontId="147" fillId="0" borderId="5" xfId="12" applyNumberFormat="1" applyFont="1" applyFill="1" applyBorder="1" applyAlignment="1">
      <alignment horizontal="center" vertical="center"/>
    </xf>
    <xf numFmtId="10" fontId="147" fillId="0" borderId="5" xfId="29" applyNumberFormat="1" applyFont="1" applyFill="1" applyBorder="1" applyAlignment="1">
      <alignment horizontal="center" vertical="center"/>
    </xf>
    <xf numFmtId="4" fontId="147" fillId="4" borderId="5" xfId="12" applyNumberFormat="1" applyFont="1" applyFill="1" applyBorder="1" applyAlignment="1">
      <alignment horizontal="center" vertical="center"/>
    </xf>
    <xf numFmtId="4" fontId="147" fillId="0" borderId="9" xfId="12" applyNumberFormat="1" applyFont="1" applyFill="1" applyBorder="1" applyAlignment="1">
      <alignment horizontal="center" vertical="center"/>
    </xf>
    <xf numFmtId="4" fontId="147" fillId="0" borderId="10" xfId="12" applyNumberFormat="1" applyFont="1" applyFill="1" applyBorder="1" applyAlignment="1">
      <alignment horizontal="center" vertical="center"/>
    </xf>
    <xf numFmtId="4" fontId="147" fillId="0" borderId="17" xfId="12" applyNumberFormat="1" applyFont="1" applyFill="1" applyBorder="1" applyAlignment="1">
      <alignment horizontal="center" vertical="center"/>
    </xf>
    <xf numFmtId="10" fontId="147" fillId="0" borderId="17" xfId="29" applyNumberFormat="1" applyFont="1" applyFill="1" applyBorder="1" applyAlignment="1">
      <alignment horizontal="center" vertical="center"/>
    </xf>
    <xf numFmtId="164" fontId="147" fillId="0" borderId="9" xfId="12" applyNumberFormat="1" applyFont="1" applyFill="1" applyBorder="1" applyAlignment="1">
      <alignment horizontal="center" vertical="center"/>
    </xf>
    <xf numFmtId="164" fontId="147" fillId="0" borderId="10" xfId="12" applyNumberFormat="1" applyFont="1" applyFill="1" applyBorder="1" applyAlignment="1">
      <alignment horizontal="center" vertical="center"/>
    </xf>
    <xf numFmtId="164" fontId="147" fillId="0" borderId="17" xfId="12" applyNumberFormat="1" applyFont="1" applyFill="1" applyBorder="1" applyAlignment="1">
      <alignment horizontal="center" vertical="center"/>
    </xf>
    <xf numFmtId="4" fontId="147" fillId="4" borderId="2" xfId="12" applyNumberFormat="1" applyFont="1" applyFill="1" applyBorder="1" applyAlignment="1">
      <alignment horizontal="center" vertical="center"/>
    </xf>
    <xf numFmtId="10" fontId="147" fillId="4" borderId="2" xfId="29" applyNumberFormat="1" applyFont="1" applyFill="1" applyBorder="1" applyAlignment="1">
      <alignment horizontal="center" vertical="center"/>
    </xf>
    <xf numFmtId="164" fontId="147" fillId="4" borderId="2" xfId="12" applyNumberFormat="1" applyFont="1" applyFill="1" applyBorder="1" applyAlignment="1">
      <alignment horizontal="center" vertical="center"/>
    </xf>
    <xf numFmtId="10" fontId="147" fillId="4" borderId="3" xfId="29" applyNumberFormat="1" applyFont="1" applyFill="1" applyBorder="1" applyAlignment="1">
      <alignment horizontal="center" vertical="center"/>
    </xf>
    <xf numFmtId="164" fontId="147" fillId="4" borderId="5" xfId="2" applyFont="1" applyFill="1" applyBorder="1" applyAlignment="1">
      <alignment horizontal="center" vertical="center"/>
    </xf>
    <xf numFmtId="10" fontId="147" fillId="4" borderId="5" xfId="29" applyNumberFormat="1" applyFont="1" applyFill="1" applyBorder="1" applyAlignment="1">
      <alignment horizontal="center" vertical="center"/>
    </xf>
    <xf numFmtId="4" fontId="147" fillId="26" borderId="5" xfId="12" applyNumberFormat="1" applyFont="1" applyFill="1" applyBorder="1" applyAlignment="1">
      <alignment horizontal="center" vertical="center"/>
    </xf>
    <xf numFmtId="0" fontId="161" fillId="0" borderId="1" xfId="12" applyFont="1" applyFill="1" applyBorder="1" applyAlignment="1">
      <alignment horizontal="center" vertical="center"/>
    </xf>
    <xf numFmtId="0" fontId="161" fillId="0" borderId="2" xfId="12" applyFont="1" applyFill="1" applyBorder="1" applyAlignment="1">
      <alignment horizontal="center" vertical="center"/>
    </xf>
    <xf numFmtId="164" fontId="147" fillId="4" borderId="2" xfId="2" applyFont="1" applyFill="1" applyBorder="1" applyAlignment="1">
      <alignment horizontal="center" vertical="center"/>
    </xf>
    <xf numFmtId="4" fontId="147" fillId="4" borderId="78" xfId="12" applyNumberFormat="1" applyFont="1" applyFill="1" applyBorder="1" applyAlignment="1">
      <alignment horizontal="center" vertical="center"/>
    </xf>
    <xf numFmtId="4" fontId="147" fillId="26" borderId="2" xfId="12" applyNumberFormat="1" applyFont="1" applyFill="1" applyBorder="1" applyAlignment="1">
      <alignment horizontal="center" vertical="center"/>
    </xf>
    <xf numFmtId="164" fontId="147" fillId="4" borderId="5" xfId="12" applyNumberFormat="1" applyFont="1" applyFill="1" applyBorder="1" applyAlignment="1">
      <alignment horizontal="center" vertical="center"/>
    </xf>
    <xf numFmtId="10" fontId="147" fillId="4" borderId="6" xfId="29" applyNumberFormat="1" applyFont="1" applyFill="1" applyBorder="1" applyAlignment="1">
      <alignment horizontal="center" vertical="center"/>
    </xf>
    <xf numFmtId="0" fontId="117" fillId="0" borderId="9" xfId="12" applyFont="1" applyFill="1" applyBorder="1" applyAlignment="1">
      <alignment horizontal="left" vertical="center"/>
    </xf>
    <xf numFmtId="0" fontId="117" fillId="0" borderId="10" xfId="12" applyFont="1" applyFill="1" applyBorder="1" applyAlignment="1">
      <alignment horizontal="left" vertical="center"/>
    </xf>
    <xf numFmtId="0" fontId="117" fillId="0" borderId="17" xfId="12" applyFont="1" applyFill="1" applyBorder="1" applyAlignment="1">
      <alignment horizontal="left" vertical="center"/>
    </xf>
    <xf numFmtId="0" fontId="117" fillId="5" borderId="42" xfId="12" applyFont="1" applyFill="1" applyBorder="1" applyAlignment="1">
      <alignment horizontal="center" vertical="center"/>
    </xf>
    <xf numFmtId="0" fontId="117" fillId="5" borderId="28" xfId="12" applyFont="1" applyFill="1" applyBorder="1" applyAlignment="1">
      <alignment horizontal="center" vertical="center"/>
    </xf>
    <xf numFmtId="0" fontId="117" fillId="5" borderId="29" xfId="12" applyFont="1" applyFill="1" applyBorder="1" applyAlignment="1">
      <alignment horizontal="center" vertical="center"/>
    </xf>
    <xf numFmtId="0" fontId="117" fillId="5" borderId="21" xfId="12" applyFont="1" applyFill="1" applyBorder="1" applyAlignment="1">
      <alignment horizontal="center" vertical="center"/>
    </xf>
    <xf numFmtId="0" fontId="117" fillId="5" borderId="0" xfId="12" applyFont="1" applyFill="1" applyBorder="1" applyAlignment="1">
      <alignment horizontal="center" vertical="center"/>
    </xf>
    <xf numFmtId="0" fontId="117" fillId="5" borderId="85" xfId="12" applyFont="1" applyFill="1" applyBorder="1" applyAlignment="1">
      <alignment horizontal="center" vertical="center"/>
    </xf>
    <xf numFmtId="0" fontId="117" fillId="5" borderId="26" xfId="12" applyFont="1" applyFill="1" applyBorder="1" applyAlignment="1">
      <alignment horizontal="center" vertical="center" wrapText="1"/>
    </xf>
    <xf numFmtId="0" fontId="117" fillId="5" borderId="28" xfId="12" applyFont="1" applyFill="1" applyBorder="1" applyAlignment="1">
      <alignment horizontal="center" vertical="center" wrapText="1"/>
    </xf>
    <xf numFmtId="0" fontId="117" fillId="5" borderId="29" xfId="12" applyFont="1" applyFill="1" applyBorder="1" applyAlignment="1">
      <alignment horizontal="center" vertical="center" wrapText="1"/>
    </xf>
    <xf numFmtId="0" fontId="117" fillId="5" borderId="43" xfId="12" applyFont="1" applyFill="1" applyBorder="1" applyAlignment="1">
      <alignment horizontal="center" vertical="center" wrapText="1"/>
    </xf>
    <xf numFmtId="0" fontId="117" fillId="5" borderId="0" xfId="12" applyFont="1" applyFill="1" applyBorder="1" applyAlignment="1">
      <alignment horizontal="center" vertical="center" wrapText="1"/>
    </xf>
    <xf numFmtId="0" fontId="117" fillId="5" borderId="85" xfId="12" applyFont="1" applyFill="1" applyBorder="1" applyAlignment="1">
      <alignment horizontal="center" vertical="center" wrapText="1"/>
    </xf>
    <xf numFmtId="0" fontId="117" fillId="5" borderId="9" xfId="12" applyFont="1" applyFill="1" applyBorder="1" applyAlignment="1">
      <alignment horizontal="center" vertical="center"/>
    </xf>
    <xf numFmtId="0" fontId="117" fillId="5" borderId="10" xfId="12" applyFont="1" applyFill="1" applyBorder="1" applyAlignment="1">
      <alignment horizontal="center" vertical="center"/>
    </xf>
    <xf numFmtId="0" fontId="117" fillId="5" borderId="17" xfId="12" applyFont="1" applyFill="1" applyBorder="1" applyAlignment="1">
      <alignment horizontal="center" vertical="center"/>
    </xf>
    <xf numFmtId="0" fontId="117" fillId="5" borderId="58" xfId="12" applyFont="1" applyFill="1" applyBorder="1" applyAlignment="1">
      <alignment horizontal="center" vertical="center"/>
    </xf>
    <xf numFmtId="0" fontId="117" fillId="5" borderId="26" xfId="12" applyFont="1" applyFill="1" applyBorder="1" applyAlignment="1">
      <alignment horizontal="center" vertical="center"/>
    </xf>
    <xf numFmtId="0" fontId="117" fillId="5" borderId="70" xfId="12" applyFont="1" applyFill="1" applyBorder="1" applyAlignment="1">
      <alignment horizontal="center" vertical="center"/>
    </xf>
    <xf numFmtId="0" fontId="117" fillId="0" borderId="37" xfId="12" applyFont="1" applyFill="1" applyBorder="1" applyAlignment="1">
      <alignment horizontal="center" vertical="center"/>
    </xf>
    <xf numFmtId="0" fontId="117" fillId="0" borderId="41" xfId="12" applyFont="1" applyFill="1" applyBorder="1" applyAlignment="1">
      <alignment horizontal="center" vertical="center"/>
    </xf>
    <xf numFmtId="0" fontId="117" fillId="0" borderId="62" xfId="12" applyFont="1" applyFill="1" applyBorder="1" applyAlignment="1">
      <alignment horizontal="center" vertical="center"/>
    </xf>
    <xf numFmtId="164" fontId="116" fillId="0" borderId="63" xfId="2" applyFont="1" applyFill="1" applyBorder="1" applyAlignment="1">
      <alignment horizontal="center" vertical="center"/>
    </xf>
    <xf numFmtId="164" fontId="116" fillId="0" borderId="41" xfId="2" applyFont="1" applyFill="1" applyBorder="1" applyAlignment="1">
      <alignment horizontal="center" vertical="center"/>
    </xf>
    <xf numFmtId="164" fontId="116" fillId="0" borderId="62" xfId="2" applyFont="1" applyFill="1" applyBorder="1" applyAlignment="1">
      <alignment horizontal="center" vertical="center"/>
    </xf>
    <xf numFmtId="4" fontId="116" fillId="0" borderId="63" xfId="12" applyNumberFormat="1" applyFont="1" applyFill="1" applyBorder="1" applyAlignment="1">
      <alignment horizontal="center" vertical="center"/>
    </xf>
    <xf numFmtId="4" fontId="116" fillId="0" borderId="41" xfId="12" applyNumberFormat="1" applyFont="1" applyFill="1" applyBorder="1" applyAlignment="1">
      <alignment horizontal="center" vertical="center"/>
    </xf>
    <xf numFmtId="4" fontId="116" fillId="0" borderId="62" xfId="12" applyNumberFormat="1" applyFont="1" applyFill="1" applyBorder="1" applyAlignment="1">
      <alignment horizontal="center" vertical="center"/>
    </xf>
    <xf numFmtId="10" fontId="116" fillId="0" borderId="63" xfId="12" applyNumberFormat="1" applyFont="1" applyFill="1" applyBorder="1" applyAlignment="1">
      <alignment horizontal="center" vertical="center"/>
    </xf>
    <xf numFmtId="10" fontId="116" fillId="0" borderId="62" xfId="12" applyNumberFormat="1" applyFont="1" applyFill="1" applyBorder="1" applyAlignment="1">
      <alignment horizontal="center" vertical="center"/>
    </xf>
    <xf numFmtId="0" fontId="161" fillId="0" borderId="36" xfId="12" applyFont="1" applyFill="1" applyBorder="1" applyAlignment="1">
      <alignment horizontal="center" vertical="center"/>
    </xf>
    <xf numFmtId="0" fontId="161" fillId="0" borderId="10" xfId="12" applyFont="1" applyFill="1" applyBorder="1" applyAlignment="1">
      <alignment horizontal="center" vertical="center"/>
    </xf>
    <xf numFmtId="0" fontId="161" fillId="0" borderId="17" xfId="12" applyFont="1" applyFill="1" applyBorder="1" applyAlignment="1">
      <alignment horizontal="center" vertical="center"/>
    </xf>
    <xf numFmtId="164" fontId="147" fillId="0" borderId="9" xfId="2" applyFont="1" applyFill="1" applyBorder="1" applyAlignment="1">
      <alignment horizontal="center" vertical="center"/>
    </xf>
    <xf numFmtId="164" fontId="147" fillId="0" borderId="10" xfId="2" applyFont="1" applyFill="1" applyBorder="1" applyAlignment="1">
      <alignment horizontal="center" vertical="center"/>
    </xf>
    <xf numFmtId="164" fontId="147" fillId="0" borderId="17" xfId="2" applyFont="1" applyFill="1" applyBorder="1" applyAlignment="1">
      <alignment horizontal="center" vertical="center"/>
    </xf>
    <xf numFmtId="4" fontId="147" fillId="4" borderId="9" xfId="12" applyNumberFormat="1" applyFont="1" applyFill="1" applyBorder="1" applyAlignment="1">
      <alignment horizontal="center" vertical="center"/>
    </xf>
    <xf numFmtId="4" fontId="147" fillId="4" borderId="10" xfId="12" applyNumberFormat="1" applyFont="1" applyFill="1" applyBorder="1" applyAlignment="1">
      <alignment horizontal="center" vertical="center"/>
    </xf>
    <xf numFmtId="4" fontId="147" fillId="4" borderId="17" xfId="12" applyNumberFormat="1" applyFont="1" applyFill="1" applyBorder="1" applyAlignment="1">
      <alignment horizontal="center" vertical="center"/>
    </xf>
    <xf numFmtId="0" fontId="116" fillId="0" borderId="63" xfId="12" applyFont="1" applyFill="1" applyBorder="1" applyAlignment="1">
      <alignment horizontal="center" vertical="center"/>
    </xf>
    <xf numFmtId="0" fontId="116" fillId="0" borderId="41" xfId="12" applyFont="1" applyFill="1" applyBorder="1" applyAlignment="1">
      <alignment horizontal="center" vertical="center"/>
    </xf>
    <xf numFmtId="0" fontId="116" fillId="0" borderId="62" xfId="12" applyFont="1" applyFill="1" applyBorder="1" applyAlignment="1">
      <alignment horizontal="center" vertical="center"/>
    </xf>
    <xf numFmtId="10" fontId="116" fillId="0" borderId="30" xfId="12" applyNumberFormat="1" applyFont="1" applyFill="1" applyBorder="1" applyAlignment="1">
      <alignment horizontal="center" vertical="center"/>
    </xf>
    <xf numFmtId="10" fontId="147" fillId="4" borderId="9" xfId="29" applyNumberFormat="1" applyFont="1" applyFill="1" applyBorder="1" applyAlignment="1">
      <alignment horizontal="center" vertical="center"/>
    </xf>
    <xf numFmtId="10" fontId="147" fillId="4" borderId="17" xfId="29" applyNumberFormat="1" applyFont="1" applyFill="1" applyBorder="1" applyAlignment="1">
      <alignment horizontal="center" vertical="center"/>
    </xf>
    <xf numFmtId="164" fontId="147" fillId="4" borderId="9" xfId="12" applyNumberFormat="1" applyFont="1" applyFill="1" applyBorder="1" applyAlignment="1">
      <alignment horizontal="center" vertical="center"/>
    </xf>
    <xf numFmtId="164" fontId="147" fillId="4" borderId="10" xfId="12" applyNumberFormat="1" applyFont="1" applyFill="1" applyBorder="1" applyAlignment="1">
      <alignment horizontal="center" vertical="center"/>
    </xf>
    <xf numFmtId="164" fontId="147" fillId="4" borderId="17" xfId="12" applyNumberFormat="1" applyFont="1" applyFill="1" applyBorder="1" applyAlignment="1">
      <alignment horizontal="center" vertical="center"/>
    </xf>
    <xf numFmtId="10" fontId="147" fillId="4" borderId="58" xfId="29" applyNumberFormat="1" applyFont="1" applyFill="1" applyBorder="1" applyAlignment="1">
      <alignment horizontal="center" vertical="center"/>
    </xf>
    <xf numFmtId="164" fontId="161" fillId="0" borderId="9" xfId="2" applyFont="1" applyFill="1" applyBorder="1" applyAlignment="1">
      <alignment horizontal="center" vertical="center"/>
    </xf>
    <xf numFmtId="164" fontId="161" fillId="0" borderId="10" xfId="2" applyFont="1" applyFill="1" applyBorder="1" applyAlignment="1">
      <alignment horizontal="center" vertical="center"/>
    </xf>
    <xf numFmtId="164" fontId="161" fillId="0" borderId="17" xfId="2" applyFont="1" applyFill="1" applyBorder="1" applyAlignment="1">
      <alignment horizontal="center" vertical="center"/>
    </xf>
    <xf numFmtId="10" fontId="116" fillId="4" borderId="58" xfId="29" applyNumberFormat="1" applyFont="1" applyFill="1" applyBorder="1" applyAlignment="1">
      <alignment horizontal="center" vertical="center"/>
    </xf>
    <xf numFmtId="0" fontId="147" fillId="4" borderId="42" xfId="12" applyFont="1" applyFill="1" applyBorder="1" applyAlignment="1">
      <alignment horizontal="left" vertical="center" wrapText="1"/>
    </xf>
    <xf numFmtId="0" fontId="147" fillId="4" borderId="28" xfId="12" applyFont="1" applyFill="1" applyBorder="1" applyAlignment="1">
      <alignment horizontal="left" vertical="center" wrapText="1"/>
    </xf>
    <xf numFmtId="0" fontId="147" fillId="4" borderId="70" xfId="12" applyFont="1" applyFill="1" applyBorder="1" applyAlignment="1">
      <alignment horizontal="left" vertical="center" wrapText="1"/>
    </xf>
    <xf numFmtId="4" fontId="116" fillId="4" borderId="42" xfId="12" applyNumberFormat="1" applyFont="1" applyFill="1" applyBorder="1" applyAlignment="1">
      <alignment horizontal="center" vertical="center"/>
    </xf>
    <xf numFmtId="4" fontId="116" fillId="4" borderId="28" xfId="12" applyNumberFormat="1" applyFont="1" applyFill="1" applyBorder="1" applyAlignment="1">
      <alignment horizontal="center" vertical="center"/>
    </xf>
    <xf numFmtId="4" fontId="116" fillId="4" borderId="29" xfId="12" applyNumberFormat="1" applyFont="1" applyFill="1" applyBorder="1" applyAlignment="1">
      <alignment horizontal="center" vertical="center"/>
    </xf>
    <xf numFmtId="4" fontId="116" fillId="4" borderId="26" xfId="12" applyNumberFormat="1" applyFont="1" applyFill="1" applyBorder="1" applyAlignment="1">
      <alignment horizontal="center" vertical="center"/>
    </xf>
    <xf numFmtId="10" fontId="116" fillId="4" borderId="26" xfId="29" applyNumberFormat="1" applyFont="1" applyFill="1" applyBorder="1" applyAlignment="1">
      <alignment horizontal="center" vertical="center"/>
    </xf>
    <xf numFmtId="10" fontId="116" fillId="4" borderId="29" xfId="29" applyNumberFormat="1" applyFont="1" applyFill="1" applyBorder="1" applyAlignment="1">
      <alignment horizontal="center" vertical="center"/>
    </xf>
    <xf numFmtId="10" fontId="19" fillId="4" borderId="26" xfId="29" applyNumberFormat="1" applyFont="1" applyFill="1" applyBorder="1" applyAlignment="1">
      <alignment horizontal="center" vertical="center"/>
    </xf>
    <xf numFmtId="10" fontId="19" fillId="4" borderId="29" xfId="29" applyNumberFormat="1" applyFont="1" applyFill="1" applyBorder="1" applyAlignment="1">
      <alignment horizontal="center" vertical="center"/>
    </xf>
    <xf numFmtId="4" fontId="117" fillId="24" borderId="84" xfId="12" applyNumberFormat="1" applyFont="1" applyFill="1" applyBorder="1" applyAlignment="1">
      <alignment horizontal="center" vertical="center"/>
    </xf>
    <xf numFmtId="4" fontId="117" fillId="24" borderId="19" xfId="12" applyNumberFormat="1" applyFont="1" applyFill="1" applyBorder="1" applyAlignment="1">
      <alignment horizontal="center" vertical="center"/>
    </xf>
    <xf numFmtId="4" fontId="117" fillId="24" borderId="86" xfId="12" applyNumberFormat="1" applyFont="1" applyFill="1" applyBorder="1" applyAlignment="1">
      <alignment horizontal="center" vertical="center"/>
    </xf>
    <xf numFmtId="10" fontId="117" fillId="24" borderId="84" xfId="29" applyNumberFormat="1" applyFont="1" applyFill="1" applyBorder="1" applyAlignment="1">
      <alignment horizontal="center" vertical="center"/>
    </xf>
    <xf numFmtId="10" fontId="117" fillId="24" borderId="86" xfId="29" applyNumberFormat="1" applyFont="1" applyFill="1" applyBorder="1" applyAlignment="1">
      <alignment horizontal="center" vertical="center"/>
    </xf>
    <xf numFmtId="164" fontId="117" fillId="24" borderId="84" xfId="12" applyNumberFormat="1" applyFont="1" applyFill="1" applyBorder="1" applyAlignment="1">
      <alignment horizontal="center" vertical="center"/>
    </xf>
    <xf numFmtId="164" fontId="117" fillId="24" borderId="19" xfId="12" applyNumberFormat="1" applyFont="1" applyFill="1" applyBorder="1" applyAlignment="1">
      <alignment horizontal="center" vertical="center"/>
    </xf>
    <xf numFmtId="164" fontId="117" fillId="24" borderId="86" xfId="12" applyNumberFormat="1" applyFont="1" applyFill="1" applyBorder="1" applyAlignment="1">
      <alignment horizontal="center" vertical="center"/>
    </xf>
    <xf numFmtId="10" fontId="117" fillId="24" borderId="20" xfId="29" applyNumberFormat="1" applyFont="1" applyFill="1" applyBorder="1" applyAlignment="1">
      <alignment horizontal="center" vertical="center"/>
    </xf>
    <xf numFmtId="10" fontId="116" fillId="9" borderId="54" xfId="12" applyNumberFormat="1" applyFont="1" applyFill="1" applyBorder="1" applyAlignment="1">
      <alignment horizontal="center" vertical="center"/>
    </xf>
    <xf numFmtId="0" fontId="116" fillId="9" borderId="63" xfId="12" applyFont="1" applyFill="1" applyBorder="1" applyAlignment="1">
      <alignment horizontal="left" vertical="center"/>
    </xf>
    <xf numFmtId="0" fontId="116" fillId="9" borderId="41" xfId="12" applyFont="1" applyFill="1" applyBorder="1" applyAlignment="1">
      <alignment horizontal="left" vertical="center"/>
    </xf>
    <xf numFmtId="0" fontId="116" fillId="9" borderId="62" xfId="12" applyFont="1" applyFill="1" applyBorder="1" applyAlignment="1">
      <alignment horizontal="left" vertical="center"/>
    </xf>
    <xf numFmtId="4" fontId="116" fillId="0" borderId="26" xfId="12" applyNumberFormat="1" applyFont="1" applyFill="1" applyBorder="1" applyAlignment="1">
      <alignment horizontal="center" vertical="center"/>
    </xf>
    <xf numFmtId="4" fontId="116" fillId="0" borderId="29" xfId="12" applyNumberFormat="1" applyFont="1" applyFill="1" applyBorder="1" applyAlignment="1">
      <alignment horizontal="center" vertical="center"/>
    </xf>
    <xf numFmtId="10" fontId="116" fillId="0" borderId="26" xfId="29" applyNumberFormat="1" applyFont="1" applyFill="1" applyBorder="1" applyAlignment="1">
      <alignment horizontal="center" vertical="center"/>
    </xf>
    <xf numFmtId="10" fontId="116" fillId="0" borderId="29" xfId="29" applyNumberFormat="1" applyFont="1" applyFill="1" applyBorder="1" applyAlignment="1">
      <alignment horizontal="center" vertical="center"/>
    </xf>
    <xf numFmtId="10" fontId="116" fillId="0" borderId="70" xfId="29" applyNumberFormat="1" applyFont="1" applyFill="1" applyBorder="1" applyAlignment="1">
      <alignment horizontal="center" vertical="center"/>
    </xf>
    <xf numFmtId="0" fontId="164" fillId="24" borderId="18" xfId="12" applyFont="1" applyFill="1" applyBorder="1" applyAlignment="1">
      <alignment horizontal="left" vertical="center" wrapText="1"/>
    </xf>
    <xf numFmtId="0" fontId="164" fillId="24" borderId="19" xfId="12" applyFont="1" applyFill="1" applyBorder="1" applyAlignment="1">
      <alignment horizontal="left" vertical="center" wrapText="1"/>
    </xf>
    <xf numFmtId="0" fontId="164" fillId="24" borderId="20" xfId="12" applyFont="1" applyFill="1" applyBorder="1" applyAlignment="1">
      <alignment horizontal="left" vertical="center" wrapText="1"/>
    </xf>
    <xf numFmtId="4" fontId="117" fillId="24" borderId="18" xfId="12" applyNumberFormat="1" applyFont="1" applyFill="1" applyBorder="1" applyAlignment="1">
      <alignment horizontal="center" vertical="center"/>
    </xf>
    <xf numFmtId="10" fontId="26" fillId="24" borderId="84" xfId="29" applyNumberFormat="1" applyFont="1" applyFill="1" applyBorder="1" applyAlignment="1">
      <alignment horizontal="center" vertical="center"/>
    </xf>
    <xf numFmtId="10" fontId="26" fillId="24" borderId="86" xfId="29" applyNumberFormat="1" applyFont="1" applyFill="1" applyBorder="1" applyAlignment="1">
      <alignment horizontal="center" vertical="center"/>
    </xf>
    <xf numFmtId="0" fontId="147" fillId="4" borderId="36" xfId="12" applyFont="1" applyFill="1" applyBorder="1" applyAlignment="1">
      <alignment horizontal="left" vertical="center" wrapText="1"/>
    </xf>
    <xf numFmtId="0" fontId="147" fillId="4" borderId="10" xfId="12" applyFont="1" applyFill="1" applyBorder="1" applyAlignment="1">
      <alignment horizontal="left" vertical="center" wrapText="1"/>
    </xf>
    <xf numFmtId="0" fontId="147" fillId="4" borderId="58" xfId="12" applyFont="1" applyFill="1" applyBorder="1" applyAlignment="1">
      <alignment horizontal="left" vertical="center" wrapText="1"/>
    </xf>
    <xf numFmtId="4" fontId="116" fillId="4" borderId="36" xfId="12" applyNumberFormat="1" applyFont="1" applyFill="1" applyBorder="1" applyAlignment="1">
      <alignment horizontal="center" vertical="center"/>
    </xf>
    <xf numFmtId="10" fontId="19" fillId="4" borderId="9" xfId="29" applyNumberFormat="1" applyFont="1" applyFill="1" applyBorder="1" applyAlignment="1">
      <alignment horizontal="center" vertical="center"/>
    </xf>
    <xf numFmtId="10" fontId="19" fillId="4" borderId="17" xfId="29" applyNumberFormat="1" applyFont="1" applyFill="1" applyBorder="1" applyAlignment="1">
      <alignment horizontal="center" vertical="center"/>
    </xf>
    <xf numFmtId="10" fontId="116" fillId="0" borderId="9" xfId="29" applyNumberFormat="1" applyFont="1" applyFill="1" applyBorder="1" applyAlignment="1">
      <alignment horizontal="center" vertical="center"/>
    </xf>
    <xf numFmtId="10" fontId="116" fillId="0" borderId="58" xfId="29" applyNumberFormat="1" applyFont="1" applyFill="1" applyBorder="1" applyAlignment="1">
      <alignment horizontal="center" vertical="center"/>
    </xf>
    <xf numFmtId="0" fontId="116" fillId="4" borderId="36" xfId="12" applyFont="1" applyFill="1" applyBorder="1" applyAlignment="1">
      <alignment horizontal="left" vertical="center" wrapText="1"/>
    </xf>
    <xf numFmtId="0" fontId="116" fillId="4" borderId="10" xfId="12" applyFont="1" applyFill="1" applyBorder="1" applyAlignment="1">
      <alignment horizontal="left" vertical="center" wrapText="1"/>
    </xf>
    <xf numFmtId="0" fontId="116" fillId="4" borderId="58" xfId="12" applyFont="1" applyFill="1" applyBorder="1" applyAlignment="1">
      <alignment horizontal="left" vertical="center" wrapText="1"/>
    </xf>
    <xf numFmtId="10" fontId="116" fillId="14" borderId="9" xfId="29" applyNumberFormat="1" applyFont="1" applyFill="1" applyBorder="1" applyAlignment="1">
      <alignment horizontal="center" vertical="center"/>
    </xf>
    <xf numFmtId="10" fontId="116" fillId="14" borderId="58" xfId="29" applyNumberFormat="1" applyFont="1" applyFill="1" applyBorder="1" applyAlignment="1">
      <alignment horizontal="center" vertical="center"/>
    </xf>
    <xf numFmtId="10" fontId="116" fillId="0" borderId="17" xfId="29" applyNumberFormat="1" applyFont="1" applyFill="1" applyBorder="1" applyAlignment="1">
      <alignment horizontal="center" vertical="center"/>
    </xf>
    <xf numFmtId="0" fontId="161" fillId="14" borderId="36" xfId="12" applyFont="1" applyFill="1" applyBorder="1" applyAlignment="1">
      <alignment horizontal="left" vertical="center" wrapText="1"/>
    </xf>
    <xf numFmtId="0" fontId="161" fillId="14" borderId="10" xfId="12" applyFont="1" applyFill="1" applyBorder="1" applyAlignment="1">
      <alignment horizontal="left" vertical="center" wrapText="1"/>
    </xf>
    <xf numFmtId="0" fontId="161" fillId="14" borderId="58" xfId="12" applyFont="1" applyFill="1" applyBorder="1" applyAlignment="1">
      <alignment horizontal="left" vertical="center" wrapText="1"/>
    </xf>
    <xf numFmtId="4" fontId="117" fillId="14" borderId="36" xfId="12" applyNumberFormat="1" applyFont="1" applyFill="1" applyBorder="1" applyAlignment="1">
      <alignment horizontal="center" vertical="center"/>
    </xf>
    <xf numFmtId="4" fontId="117" fillId="14" borderId="10" xfId="12" applyNumberFormat="1" applyFont="1" applyFill="1" applyBorder="1" applyAlignment="1">
      <alignment horizontal="center" vertical="center"/>
    </xf>
    <xf numFmtId="4" fontId="117" fillId="14" borderId="17" xfId="12" applyNumberFormat="1" applyFont="1" applyFill="1" applyBorder="1" applyAlignment="1">
      <alignment horizontal="center" vertical="center"/>
    </xf>
    <xf numFmtId="10" fontId="117" fillId="14" borderId="9" xfId="29" applyNumberFormat="1" applyFont="1" applyFill="1" applyBorder="1" applyAlignment="1">
      <alignment horizontal="center" vertical="center"/>
    </xf>
    <xf numFmtId="10" fontId="117" fillId="14" borderId="17" xfId="29" applyNumberFormat="1" applyFont="1" applyFill="1" applyBorder="1" applyAlignment="1">
      <alignment horizontal="center" vertical="center"/>
    </xf>
    <xf numFmtId="4" fontId="117" fillId="14" borderId="9" xfId="12" applyNumberFormat="1" applyFont="1" applyFill="1" applyBorder="1" applyAlignment="1">
      <alignment horizontal="center" vertical="center"/>
    </xf>
    <xf numFmtId="10" fontId="116" fillId="14" borderId="17" xfId="29" applyNumberFormat="1" applyFont="1" applyFill="1" applyBorder="1" applyAlignment="1">
      <alignment horizontal="center" vertical="center"/>
    </xf>
    <xf numFmtId="10" fontId="117" fillId="24" borderId="9" xfId="12" applyNumberFormat="1" applyFont="1" applyFill="1" applyBorder="1" applyAlignment="1">
      <alignment horizontal="center" vertical="center"/>
    </xf>
    <xf numFmtId="10" fontId="117" fillId="24" borderId="58" xfId="12" applyNumberFormat="1" applyFont="1" applyFill="1" applyBorder="1" applyAlignment="1">
      <alignment horizontal="center" vertical="center"/>
    </xf>
    <xf numFmtId="4" fontId="116" fillId="4" borderId="9" xfId="12" applyNumberFormat="1" applyFont="1" applyFill="1" applyBorder="1" applyAlignment="1">
      <alignment horizontal="right" vertical="center"/>
    </xf>
    <xf numFmtId="4" fontId="116" fillId="4" borderId="10" xfId="12" applyNumberFormat="1" applyFont="1" applyFill="1" applyBorder="1" applyAlignment="1">
      <alignment horizontal="right" vertical="center"/>
    </xf>
    <xf numFmtId="0" fontId="161" fillId="24" borderId="36" xfId="12" applyFont="1" applyFill="1" applyBorder="1" applyAlignment="1">
      <alignment horizontal="left" vertical="center" wrapText="1"/>
    </xf>
    <xf numFmtId="0" fontId="161" fillId="24" borderId="10" xfId="12" applyFont="1" applyFill="1" applyBorder="1" applyAlignment="1">
      <alignment horizontal="left" vertical="center" wrapText="1"/>
    </xf>
    <xf numFmtId="0" fontId="161" fillId="24" borderId="58" xfId="12" applyFont="1" applyFill="1" applyBorder="1" applyAlignment="1">
      <alignment horizontal="left" vertical="center" wrapText="1"/>
    </xf>
    <xf numFmtId="4" fontId="117" fillId="24" borderId="36" xfId="12" applyNumberFormat="1" applyFont="1" applyFill="1" applyBorder="1" applyAlignment="1">
      <alignment horizontal="center" vertical="center"/>
    </xf>
    <xf numFmtId="0" fontId="117" fillId="24" borderId="10" xfId="12" applyFont="1" applyFill="1" applyBorder="1" applyAlignment="1">
      <alignment horizontal="center" vertical="center"/>
    </xf>
    <xf numFmtId="0" fontId="117" fillId="24" borderId="17" xfId="12" applyFont="1" applyFill="1" applyBorder="1" applyAlignment="1">
      <alignment horizontal="center" vertical="center"/>
    </xf>
    <xf numFmtId="4" fontId="117" fillId="24" borderId="9" xfId="12" applyNumberFormat="1" applyFont="1" applyFill="1" applyBorder="1" applyAlignment="1">
      <alignment horizontal="center" vertical="center"/>
    </xf>
    <xf numFmtId="4" fontId="117" fillId="24" borderId="10" xfId="12" applyNumberFormat="1" applyFont="1" applyFill="1" applyBorder="1" applyAlignment="1">
      <alignment horizontal="center" vertical="center"/>
    </xf>
    <xf numFmtId="4" fontId="117" fillId="24" borderId="17" xfId="12" applyNumberFormat="1" applyFont="1" applyFill="1" applyBorder="1" applyAlignment="1">
      <alignment horizontal="center" vertical="center"/>
    </xf>
    <xf numFmtId="10" fontId="116" fillId="24" borderId="9" xfId="29" applyNumberFormat="1" applyFont="1" applyFill="1" applyBorder="1" applyAlignment="1">
      <alignment horizontal="center" vertical="center"/>
    </xf>
    <xf numFmtId="10" fontId="116" fillId="24" borderId="17" xfId="29" applyNumberFormat="1" applyFont="1" applyFill="1" applyBorder="1" applyAlignment="1">
      <alignment horizontal="center" vertical="center"/>
    </xf>
    <xf numFmtId="10" fontId="117" fillId="24" borderId="9" xfId="29" applyNumberFormat="1" applyFont="1" applyFill="1" applyBorder="1" applyAlignment="1">
      <alignment horizontal="center" vertical="center"/>
    </xf>
    <xf numFmtId="10" fontId="117" fillId="24" borderId="17" xfId="29" applyNumberFormat="1" applyFont="1" applyFill="1" applyBorder="1" applyAlignment="1">
      <alignment horizontal="center" vertical="center"/>
    </xf>
    <xf numFmtId="10" fontId="117" fillId="14" borderId="57" xfId="29" applyNumberFormat="1" applyFont="1" applyFill="1" applyBorder="1" applyAlignment="1">
      <alignment horizontal="center" vertical="center"/>
    </xf>
    <xf numFmtId="10" fontId="117" fillId="14" borderId="88" xfId="29" applyNumberFormat="1" applyFont="1" applyFill="1" applyBorder="1" applyAlignment="1">
      <alignment horizontal="center" vertical="center"/>
    </xf>
    <xf numFmtId="0" fontId="117" fillId="24" borderId="36" xfId="12" applyFont="1" applyFill="1" applyBorder="1" applyAlignment="1">
      <alignment horizontal="left" vertical="center" wrapText="1"/>
    </xf>
    <xf numFmtId="0" fontId="117" fillId="24" borderId="10" xfId="12" applyFont="1" applyFill="1" applyBorder="1" applyAlignment="1">
      <alignment horizontal="left" vertical="center" wrapText="1"/>
    </xf>
    <xf numFmtId="0" fontId="117" fillId="24" borderId="58" xfId="12" applyFont="1" applyFill="1" applyBorder="1" applyAlignment="1">
      <alignment horizontal="left" vertical="center" wrapText="1"/>
    </xf>
    <xf numFmtId="10" fontId="117" fillId="24" borderId="58" xfId="29" applyNumberFormat="1" applyFont="1" applyFill="1" applyBorder="1" applyAlignment="1">
      <alignment horizontal="center" vertical="center"/>
    </xf>
    <xf numFmtId="0" fontId="117" fillId="14" borderId="60" xfId="12" applyFont="1" applyFill="1" applyBorder="1" applyAlignment="1">
      <alignment horizontal="left" vertical="center"/>
    </xf>
    <xf numFmtId="0" fontId="117" fillId="14" borderId="40" xfId="12" applyFont="1" applyFill="1" applyBorder="1" applyAlignment="1">
      <alignment horizontal="left" vertical="center"/>
    </xf>
    <xf numFmtId="0" fontId="117" fillId="14" borderId="88" xfId="12" applyFont="1" applyFill="1" applyBorder="1" applyAlignment="1">
      <alignment horizontal="left" vertical="center"/>
    </xf>
    <xf numFmtId="4" fontId="117" fillId="14" borderId="60" xfId="12" applyNumberFormat="1" applyFont="1" applyFill="1" applyBorder="1" applyAlignment="1">
      <alignment horizontal="center" vertical="center"/>
    </xf>
    <xf numFmtId="4" fontId="117" fillId="14" borderId="40" xfId="12" applyNumberFormat="1" applyFont="1" applyFill="1" applyBorder="1" applyAlignment="1">
      <alignment horizontal="center" vertical="center"/>
    </xf>
    <xf numFmtId="4" fontId="117" fillId="14" borderId="61" xfId="12" applyNumberFormat="1" applyFont="1" applyFill="1" applyBorder="1" applyAlignment="1">
      <alignment horizontal="center" vertical="center"/>
    </xf>
    <xf numFmtId="4" fontId="117" fillId="14" borderId="57" xfId="12" applyNumberFormat="1" applyFont="1" applyFill="1" applyBorder="1" applyAlignment="1">
      <alignment horizontal="center" vertical="center"/>
    </xf>
    <xf numFmtId="10" fontId="117" fillId="14" borderId="61" xfId="29" applyNumberFormat="1" applyFont="1" applyFill="1" applyBorder="1" applyAlignment="1">
      <alignment horizontal="center" vertical="center"/>
    </xf>
    <xf numFmtId="0" fontId="116" fillId="0" borderId="60" xfId="12" applyFont="1" applyFill="1" applyBorder="1" applyAlignment="1">
      <alignment horizontal="center" vertical="center"/>
    </xf>
    <xf numFmtId="0" fontId="116" fillId="0" borderId="40" xfId="12" applyFont="1" applyFill="1" applyBorder="1" applyAlignment="1">
      <alignment horizontal="center" vertical="center"/>
    </xf>
    <xf numFmtId="0" fontId="116" fillId="0" borderId="88" xfId="12" applyFont="1" applyFill="1" applyBorder="1" applyAlignment="1">
      <alignment horizontal="center" vertical="center"/>
    </xf>
    <xf numFmtId="4" fontId="116" fillId="4" borderId="60" xfId="12" applyNumberFormat="1" applyFont="1" applyFill="1" applyBorder="1" applyAlignment="1">
      <alignment horizontal="center" vertical="center"/>
    </xf>
    <xf numFmtId="4" fontId="116" fillId="4" borderId="40" xfId="12" applyNumberFormat="1" applyFont="1" applyFill="1" applyBorder="1" applyAlignment="1">
      <alignment horizontal="center" vertical="center"/>
    </xf>
    <xf numFmtId="4" fontId="116" fillId="4" borderId="61" xfId="12" applyNumberFormat="1" applyFont="1" applyFill="1" applyBorder="1" applyAlignment="1">
      <alignment horizontal="center" vertical="center"/>
    </xf>
    <xf numFmtId="4" fontId="116" fillId="26" borderId="57" xfId="12" applyNumberFormat="1" applyFont="1" applyFill="1" applyBorder="1" applyAlignment="1">
      <alignment horizontal="center" vertical="center"/>
    </xf>
    <xf numFmtId="4" fontId="116" fillId="26" borderId="40" xfId="12" applyNumberFormat="1" applyFont="1" applyFill="1" applyBorder="1" applyAlignment="1">
      <alignment horizontal="center" vertical="center"/>
    </xf>
    <xf numFmtId="4" fontId="116" fillId="26" borderId="61" xfId="12" applyNumberFormat="1" applyFont="1" applyFill="1" applyBorder="1" applyAlignment="1">
      <alignment horizontal="center" vertical="center"/>
    </xf>
    <xf numFmtId="10" fontId="116" fillId="26" borderId="57" xfId="29" applyNumberFormat="1" applyFont="1" applyFill="1" applyBorder="1" applyAlignment="1">
      <alignment horizontal="center" vertical="center"/>
    </xf>
    <xf numFmtId="10" fontId="116" fillId="26" borderId="61" xfId="29" applyNumberFormat="1" applyFont="1" applyFill="1" applyBorder="1" applyAlignment="1">
      <alignment horizontal="center" vertical="center"/>
    </xf>
    <xf numFmtId="164" fontId="116" fillId="4" borderId="57" xfId="12" applyNumberFormat="1" applyFont="1" applyFill="1" applyBorder="1" applyAlignment="1">
      <alignment horizontal="center" vertical="center"/>
    </xf>
    <xf numFmtId="164" fontId="116" fillId="4" borderId="40" xfId="12" applyNumberFormat="1" applyFont="1" applyFill="1" applyBorder="1" applyAlignment="1">
      <alignment horizontal="center" vertical="center"/>
    </xf>
    <xf numFmtId="164" fontId="116" fillId="4" borderId="61" xfId="12" applyNumberFormat="1" applyFont="1" applyFill="1" applyBorder="1" applyAlignment="1">
      <alignment horizontal="center" vertical="center"/>
    </xf>
    <xf numFmtId="10" fontId="116" fillId="4" borderId="57" xfId="29" applyNumberFormat="1" applyFont="1" applyFill="1" applyBorder="1" applyAlignment="1">
      <alignment horizontal="center" vertical="center"/>
    </xf>
    <xf numFmtId="10" fontId="116" fillId="4" borderId="88" xfId="29" applyNumberFormat="1" applyFont="1" applyFill="1" applyBorder="1" applyAlignment="1">
      <alignment horizontal="center" vertical="center"/>
    </xf>
    <xf numFmtId="14" fontId="116" fillId="0" borderId="9" xfId="42" applyNumberFormat="1" applyFont="1" applyFill="1" applyBorder="1" applyAlignment="1">
      <alignment horizontal="center" vertical="center"/>
    </xf>
    <xf numFmtId="14" fontId="116" fillId="0" borderId="10" xfId="42" applyNumberFormat="1" applyFont="1" applyFill="1" applyBorder="1" applyAlignment="1">
      <alignment horizontal="center" vertical="center"/>
    </xf>
    <xf numFmtId="14" fontId="116" fillId="0" borderId="17" xfId="42" applyNumberFormat="1" applyFont="1" applyFill="1" applyBorder="1" applyAlignment="1">
      <alignment horizontal="center" vertical="center"/>
    </xf>
    <xf numFmtId="0" fontId="116" fillId="0" borderId="43" xfId="42" applyFont="1" applyFill="1" applyBorder="1" applyAlignment="1">
      <alignment horizontal="right"/>
    </xf>
    <xf numFmtId="0" fontId="116" fillId="0" borderId="0" xfId="42" applyFont="1" applyFill="1" applyBorder="1" applyAlignment="1">
      <alignment horizontal="right"/>
    </xf>
    <xf numFmtId="0" fontId="116" fillId="0" borderId="85" xfId="42" applyFont="1" applyFill="1" applyBorder="1" applyAlignment="1">
      <alignment horizontal="right"/>
    </xf>
    <xf numFmtId="0" fontId="116" fillId="0" borderId="9" xfId="42" applyFont="1" applyFill="1" applyBorder="1" applyAlignment="1">
      <alignment horizontal="center" vertical="center" wrapText="1"/>
    </xf>
    <xf numFmtId="0" fontId="116" fillId="0" borderId="10" xfId="42" applyFont="1" applyFill="1" applyBorder="1" applyAlignment="1">
      <alignment horizontal="center" vertical="center" wrapText="1"/>
    </xf>
    <xf numFmtId="0" fontId="116" fillId="0" borderId="17" xfId="42" applyFont="1" applyFill="1" applyBorder="1" applyAlignment="1">
      <alignment horizontal="center" vertical="center" wrapText="1"/>
    </xf>
    <xf numFmtId="0" fontId="116" fillId="0" borderId="9" xfId="42" applyFont="1" applyFill="1" applyBorder="1" applyAlignment="1">
      <alignment horizontal="center" vertical="center"/>
    </xf>
    <xf numFmtId="0" fontId="116" fillId="0" borderId="17" xfId="42" applyFont="1" applyFill="1" applyBorder="1" applyAlignment="1">
      <alignment horizontal="center" vertical="center"/>
    </xf>
    <xf numFmtId="0" fontId="116" fillId="0" borderId="0" xfId="42" applyFont="1" applyFill="1" applyAlignment="1">
      <alignment horizontal="right"/>
    </xf>
    <xf numFmtId="0" fontId="116" fillId="0" borderId="9" xfId="42" applyFont="1" applyFill="1" applyBorder="1" applyAlignment="1">
      <alignment horizontal="center"/>
    </xf>
    <xf numFmtId="0" fontId="116" fillId="0" borderId="10" xfId="42" applyFont="1" applyFill="1" applyBorder="1" applyAlignment="1">
      <alignment horizontal="center"/>
    </xf>
    <xf numFmtId="0" fontId="116" fillId="0" borderId="17" xfId="42" applyFont="1" applyFill="1" applyBorder="1" applyAlignment="1">
      <alignment horizontal="center"/>
    </xf>
    <xf numFmtId="14" fontId="116" fillId="0" borderId="9" xfId="42" applyNumberFormat="1" applyFont="1" applyFill="1" applyBorder="1" applyAlignment="1">
      <alignment horizontal="center"/>
    </xf>
    <xf numFmtId="14" fontId="116" fillId="0" borderId="10" xfId="42" applyNumberFormat="1" applyFont="1" applyFill="1" applyBorder="1" applyAlignment="1">
      <alignment horizontal="center"/>
    </xf>
    <xf numFmtId="14" fontId="116" fillId="0" borderId="17" xfId="42" applyNumberFormat="1" applyFont="1" applyFill="1" applyBorder="1" applyAlignment="1">
      <alignment horizontal="center"/>
    </xf>
    <xf numFmtId="14" fontId="116" fillId="0" borderId="18" xfId="12" quotePrefix="1" applyNumberFormat="1" applyFont="1" applyFill="1" applyBorder="1" applyAlignment="1">
      <alignment horizontal="center" vertical="center"/>
    </xf>
    <xf numFmtId="14" fontId="116" fillId="0" borderId="19" xfId="12" quotePrefix="1" applyNumberFormat="1" applyFont="1" applyFill="1" applyBorder="1" applyAlignment="1">
      <alignment horizontal="center" vertical="center"/>
    </xf>
    <xf numFmtId="14" fontId="116" fillId="0" borderId="20" xfId="12" quotePrefix="1" applyNumberFormat="1" applyFont="1" applyFill="1" applyBorder="1" applyAlignment="1">
      <alignment horizontal="center" vertical="center"/>
    </xf>
    <xf numFmtId="14" fontId="116" fillId="0" borderId="86" xfId="12" quotePrefix="1" applyNumberFormat="1" applyFont="1" applyFill="1" applyBorder="1" applyAlignment="1">
      <alignment horizontal="center" vertical="center"/>
    </xf>
    <xf numFmtId="14" fontId="116" fillId="0" borderId="84" xfId="12" quotePrefix="1" applyNumberFormat="1" applyFont="1" applyFill="1" applyBorder="1" applyAlignment="1">
      <alignment horizontal="center" vertical="center"/>
    </xf>
    <xf numFmtId="14" fontId="116" fillId="7" borderId="84" xfId="12" quotePrefix="1" applyNumberFormat="1" applyFont="1" applyFill="1" applyBorder="1" applyAlignment="1">
      <alignment horizontal="center" vertical="center"/>
    </xf>
    <xf numFmtId="14" fontId="116" fillId="7" borderId="19" xfId="12" quotePrefix="1" applyNumberFormat="1" applyFont="1" applyFill="1" applyBorder="1" applyAlignment="1">
      <alignment horizontal="center" vertical="center"/>
    </xf>
    <xf numFmtId="14" fontId="116" fillId="7" borderId="86" xfId="12" quotePrefix="1" applyNumberFormat="1" applyFont="1" applyFill="1" applyBorder="1" applyAlignment="1">
      <alignment horizontal="center" vertical="center"/>
    </xf>
    <xf numFmtId="14" fontId="116" fillId="0" borderId="53" xfId="12" quotePrefix="1" applyNumberFormat="1" applyFont="1" applyFill="1" applyBorder="1" applyAlignment="1">
      <alignment horizontal="center" vertical="center"/>
    </xf>
    <xf numFmtId="166" fontId="117" fillId="5" borderId="26" xfId="12" applyNumberFormat="1" applyFont="1" applyFill="1" applyBorder="1" applyAlignment="1">
      <alignment horizontal="center" vertical="center"/>
    </xf>
    <xf numFmtId="166" fontId="117" fillId="5" borderId="28" xfId="12" applyNumberFormat="1" applyFont="1" applyFill="1" applyBorder="1" applyAlignment="1">
      <alignment horizontal="center" vertical="center"/>
    </xf>
    <xf numFmtId="164" fontId="116" fillId="0" borderId="0" xfId="12" applyNumberFormat="1" applyFont="1" applyAlignment="1">
      <alignment horizontal="center" vertical="center"/>
    </xf>
    <xf numFmtId="0" fontId="116" fillId="0" borderId="18" xfId="12" applyFont="1" applyFill="1" applyBorder="1" applyAlignment="1">
      <alignment horizontal="center" vertical="justify" wrapText="1"/>
    </xf>
    <xf numFmtId="0" fontId="116" fillId="0" borderId="19" xfId="12" applyFont="1" applyFill="1" applyBorder="1" applyAlignment="1">
      <alignment horizontal="center" vertical="justify" wrapText="1"/>
    </xf>
    <xf numFmtId="0" fontId="116" fillId="0" borderId="86" xfId="12" applyFont="1" applyFill="1" applyBorder="1" applyAlignment="1">
      <alignment horizontal="center" vertical="justify" wrapText="1"/>
    </xf>
    <xf numFmtId="0" fontId="116" fillId="0" borderId="84" xfId="12" applyFont="1" applyFill="1" applyBorder="1" applyAlignment="1">
      <alignment horizontal="center" vertical="justify" wrapText="1"/>
    </xf>
    <xf numFmtId="0" fontId="116" fillId="0" borderId="20" xfId="12" applyFont="1" applyFill="1" applyBorder="1" applyAlignment="1">
      <alignment horizontal="center" vertical="justify" wrapText="1"/>
    </xf>
    <xf numFmtId="0" fontId="116" fillId="0" borderId="5" xfId="12" applyFont="1" applyBorder="1" applyAlignment="1">
      <alignment horizontal="center" vertical="center"/>
    </xf>
    <xf numFmtId="164" fontId="116" fillId="0" borderId="5" xfId="12" applyNumberFormat="1" applyFont="1" applyBorder="1" applyAlignment="1">
      <alignment horizontal="center" vertical="center"/>
    </xf>
    <xf numFmtId="164" fontId="116" fillId="0" borderId="5" xfId="2" applyFont="1" applyBorder="1" applyAlignment="1">
      <alignment horizontal="center" vertical="center"/>
    </xf>
    <xf numFmtId="166" fontId="117" fillId="0" borderId="5" xfId="12" applyNumberFormat="1" applyFont="1" applyBorder="1" applyAlignment="1">
      <alignment horizontal="center" vertical="center"/>
    </xf>
    <xf numFmtId="175" fontId="117" fillId="0" borderId="5" xfId="12" applyNumberFormat="1" applyFont="1" applyBorder="1" applyAlignment="1">
      <alignment horizontal="right" vertical="center"/>
    </xf>
    <xf numFmtId="175" fontId="117" fillId="0" borderId="5" xfId="12" applyNumberFormat="1" applyFont="1" applyBorder="1" applyAlignment="1">
      <alignment horizontal="center" vertical="center"/>
    </xf>
    <xf numFmtId="164" fontId="117" fillId="0" borderId="5" xfId="2" applyFont="1" applyBorder="1" applyAlignment="1">
      <alignment horizontal="center" vertical="center"/>
    </xf>
    <xf numFmtId="166" fontId="117" fillId="5" borderId="9" xfId="12" applyNumberFormat="1" applyFont="1" applyFill="1" applyBorder="1" applyAlignment="1">
      <alignment horizontal="center" vertical="center"/>
    </xf>
    <xf numFmtId="166" fontId="117" fillId="5" borderId="10" xfId="12" applyNumberFormat="1" applyFont="1" applyFill="1" applyBorder="1" applyAlignment="1">
      <alignment horizontal="center" vertical="center"/>
    </xf>
    <xf numFmtId="166" fontId="117" fillId="5" borderId="17" xfId="12" applyNumberFormat="1" applyFont="1" applyFill="1" applyBorder="1" applyAlignment="1">
      <alignment horizontal="center" vertical="center"/>
    </xf>
    <xf numFmtId="164" fontId="117" fillId="0" borderId="5" xfId="12" applyNumberFormat="1" applyFont="1" applyBorder="1" applyAlignment="1">
      <alignment horizontal="center" vertical="center"/>
    </xf>
    <xf numFmtId="4" fontId="116" fillId="0" borderId="5" xfId="12" applyNumberFormat="1" applyFont="1" applyBorder="1" applyAlignment="1">
      <alignment horizontal="right" vertical="center"/>
    </xf>
    <xf numFmtId="0" fontId="117" fillId="10" borderId="5" xfId="12" applyFont="1" applyFill="1" applyBorder="1" applyAlignment="1">
      <alignment horizontal="center" vertical="center"/>
    </xf>
    <xf numFmtId="0" fontId="116" fillId="0" borderId="9" xfId="12" applyFont="1" applyBorder="1" applyAlignment="1">
      <alignment horizontal="left" vertical="center"/>
    </xf>
    <xf numFmtId="0" fontId="116" fillId="0" borderId="10" xfId="12" applyFont="1" applyBorder="1" applyAlignment="1">
      <alignment horizontal="left" vertical="center"/>
    </xf>
    <xf numFmtId="0" fontId="116" fillId="0" borderId="17" xfId="12" applyFont="1" applyBorder="1" applyAlignment="1">
      <alignment horizontal="left" vertical="center"/>
    </xf>
    <xf numFmtId="0" fontId="117" fillId="0" borderId="0" xfId="12" applyFont="1" applyBorder="1" applyAlignment="1">
      <alignment horizontal="left" vertical="center" wrapText="1"/>
    </xf>
    <xf numFmtId="0" fontId="116" fillId="0" borderId="0" xfId="12" applyFont="1" applyBorder="1" applyAlignment="1">
      <alignment vertical="center"/>
    </xf>
    <xf numFmtId="4" fontId="117" fillId="0" borderId="5" xfId="2" applyNumberFormat="1" applyFont="1" applyBorder="1" applyAlignment="1">
      <alignment horizontal="center" vertical="center"/>
    </xf>
    <xf numFmtId="164" fontId="117" fillId="0" borderId="5" xfId="2" applyFont="1" applyBorder="1" applyAlignment="1">
      <alignment horizontal="center" vertical="top"/>
    </xf>
    <xf numFmtId="0" fontId="116" fillId="0" borderId="9" xfId="12" applyFont="1" applyFill="1" applyBorder="1" applyAlignment="1">
      <alignment vertical="center"/>
    </xf>
    <xf numFmtId="0" fontId="116" fillId="0" borderId="10" xfId="12" applyFont="1" applyFill="1" applyBorder="1" applyAlignment="1">
      <alignment vertical="center"/>
    </xf>
    <xf numFmtId="0" fontId="116" fillId="0" borderId="17" xfId="12" applyFont="1" applyFill="1" applyBorder="1" applyAlignment="1">
      <alignment vertical="center"/>
    </xf>
    <xf numFmtId="0" fontId="116" fillId="0" borderId="9" xfId="12" applyFont="1" applyFill="1" applyBorder="1" applyAlignment="1">
      <alignment horizontal="center" vertical="center"/>
    </xf>
    <xf numFmtId="0" fontId="116" fillId="0" borderId="10" xfId="12" applyFont="1" applyFill="1" applyBorder="1" applyAlignment="1">
      <alignment horizontal="center" vertical="center"/>
    </xf>
    <xf numFmtId="0" fontId="116" fillId="0" borderId="17" xfId="12" applyFont="1" applyFill="1" applyBorder="1" applyAlignment="1">
      <alignment horizontal="center" vertical="center"/>
    </xf>
    <xf numFmtId="0" fontId="116" fillId="0" borderId="9" xfId="12" applyFont="1" applyFill="1" applyBorder="1" applyAlignment="1">
      <alignment horizontal="left" vertical="center"/>
    </xf>
    <xf numFmtId="0" fontId="116" fillId="0" borderId="10" xfId="12" applyFont="1" applyFill="1" applyBorder="1" applyAlignment="1">
      <alignment horizontal="left" vertical="center"/>
    </xf>
    <xf numFmtId="0" fontId="116" fillId="0" borderId="17" xfId="12" applyFont="1" applyFill="1" applyBorder="1" applyAlignment="1">
      <alignment horizontal="left" vertical="center"/>
    </xf>
    <xf numFmtId="0" fontId="116" fillId="0" borderId="0" xfId="12" applyFont="1" applyBorder="1" applyAlignment="1">
      <alignment horizontal="left" vertical="center" wrapText="1"/>
    </xf>
    <xf numFmtId="4" fontId="116" fillId="0" borderId="0" xfId="12" applyNumberFormat="1" applyFont="1" applyFill="1" applyAlignment="1">
      <alignment horizontal="left"/>
    </xf>
    <xf numFmtId="0" fontId="116" fillId="0" borderId="0" xfId="12" applyFont="1" applyFill="1" applyBorder="1" applyAlignment="1">
      <alignment horizontal="left" vertical="center"/>
    </xf>
    <xf numFmtId="0" fontId="117" fillId="9" borderId="0" xfId="12" applyFont="1" applyFill="1" applyAlignment="1">
      <alignment horizontal="center" vertical="center"/>
    </xf>
    <xf numFmtId="0" fontId="118" fillId="4" borderId="0" xfId="42" applyFont="1" applyFill="1" applyBorder="1" applyAlignment="1">
      <alignment horizontal="center" vertical="center"/>
    </xf>
    <xf numFmtId="0" fontId="129" fillId="0" borderId="0" xfId="42" applyFont="1" applyBorder="1" applyAlignment="1">
      <alignment horizontal="center" vertical="center"/>
    </xf>
    <xf numFmtId="0" fontId="116" fillId="5" borderId="9" xfId="12" applyFont="1" applyFill="1" applyBorder="1" applyAlignment="1">
      <alignment horizontal="left" vertical="center"/>
    </xf>
    <xf numFmtId="0" fontId="116" fillId="5" borderId="10" xfId="12" applyFont="1" applyFill="1" applyBorder="1" applyAlignment="1">
      <alignment horizontal="left" vertical="center"/>
    </xf>
    <xf numFmtId="0" fontId="116" fillId="5" borderId="17" xfId="12" applyFont="1" applyFill="1" applyBorder="1" applyAlignment="1">
      <alignment horizontal="left" vertical="center"/>
    </xf>
    <xf numFmtId="0" fontId="117" fillId="5" borderId="18" xfId="12" applyFont="1" applyFill="1" applyBorder="1" applyAlignment="1">
      <alignment horizontal="left" vertical="center" wrapText="1"/>
    </xf>
    <xf numFmtId="0" fontId="117" fillId="5" borderId="19" xfId="12" applyFont="1" applyFill="1" applyBorder="1" applyAlignment="1">
      <alignment horizontal="left" vertical="center" wrapText="1"/>
    </xf>
    <xf numFmtId="0" fontId="117" fillId="5" borderId="20" xfId="12" applyFont="1" applyFill="1" applyBorder="1" applyAlignment="1">
      <alignment horizontal="left" vertical="center" wrapText="1"/>
    </xf>
    <xf numFmtId="14" fontId="117" fillId="4" borderId="9" xfId="12" applyNumberFormat="1" applyFont="1" applyFill="1" applyBorder="1" applyAlignment="1">
      <alignment horizontal="left" vertical="center"/>
    </xf>
    <xf numFmtId="14" fontId="117" fillId="4" borderId="10" xfId="12" applyNumberFormat="1" applyFont="1" applyFill="1" applyBorder="1" applyAlignment="1">
      <alignment horizontal="left" vertical="center"/>
    </xf>
    <xf numFmtId="14" fontId="117" fillId="4" borderId="17" xfId="12" applyNumberFormat="1" applyFont="1" applyFill="1" applyBorder="1" applyAlignment="1">
      <alignment horizontal="left" vertical="center"/>
    </xf>
    <xf numFmtId="0" fontId="116" fillId="0" borderId="0" xfId="12" applyFont="1" applyAlignment="1">
      <alignment horizontal="center" vertical="center"/>
    </xf>
    <xf numFmtId="0" fontId="117" fillId="0" borderId="0" xfId="12" applyFont="1" applyAlignment="1">
      <alignment horizontal="left" vertical="center"/>
    </xf>
    <xf numFmtId="0" fontId="117" fillId="0" borderId="57" xfId="12" applyFont="1" applyBorder="1" applyAlignment="1">
      <alignment horizontal="left" vertical="center"/>
    </xf>
    <xf numFmtId="0" fontId="117" fillId="0" borderId="40" xfId="12" applyFont="1" applyBorder="1" applyAlignment="1">
      <alignment horizontal="left" vertical="center"/>
    </xf>
    <xf numFmtId="0" fontId="117" fillId="0" borderId="61" xfId="12" applyFont="1" applyBorder="1" applyAlignment="1">
      <alignment horizontal="left" vertical="center"/>
    </xf>
    <xf numFmtId="4" fontId="116" fillId="4" borderId="63" xfId="12" applyNumberFormat="1" applyFont="1" applyFill="1" applyBorder="1" applyAlignment="1">
      <alignment horizontal="center" vertical="center"/>
    </xf>
    <xf numFmtId="4" fontId="116" fillId="4" borderId="41" xfId="12" applyNumberFormat="1" applyFont="1" applyFill="1" applyBorder="1" applyAlignment="1">
      <alignment horizontal="center" vertical="center"/>
    </xf>
    <xf numFmtId="0" fontId="132" fillId="2" borderId="56" xfId="12" applyFont="1" applyFill="1" applyBorder="1" applyAlignment="1">
      <alignment horizontal="center" vertical="center"/>
    </xf>
    <xf numFmtId="0" fontId="132" fillId="2" borderId="34" xfId="12" applyFont="1" applyFill="1" applyBorder="1" applyAlignment="1">
      <alignment horizontal="center" vertical="center"/>
    </xf>
    <xf numFmtId="0" fontId="132" fillId="2" borderId="68" xfId="12" applyFont="1" applyFill="1" applyBorder="1" applyAlignment="1">
      <alignment horizontal="center" vertical="center"/>
    </xf>
    <xf numFmtId="0" fontId="157" fillId="0" borderId="5" xfId="12" applyFont="1" applyFill="1" applyBorder="1" applyAlignment="1">
      <alignment horizontal="left" vertical="top" wrapText="1"/>
    </xf>
    <xf numFmtId="0" fontId="170" fillId="0" borderId="0" xfId="12" applyFont="1" applyFill="1" applyBorder="1" applyAlignment="1">
      <alignment horizontal="left" vertical="top" wrapText="1"/>
    </xf>
    <xf numFmtId="0" fontId="44" fillId="0" borderId="0" xfId="42" applyFont="1" applyAlignment="1">
      <alignment vertical="center" wrapText="1"/>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153" fillId="0" borderId="0" xfId="42" applyFont="1" applyAlignment="1">
      <alignment horizontal="center" vertical="center"/>
    </xf>
    <xf numFmtId="0" fontId="154" fillId="0" borderId="0" xfId="42" applyFont="1" applyAlignment="1">
      <alignment horizontal="center" vertical="center"/>
    </xf>
    <xf numFmtId="0" fontId="155" fillId="0" borderId="0" xfId="42" applyFont="1" applyAlignment="1">
      <alignment horizontal="center" vertical="center"/>
    </xf>
    <xf numFmtId="0" fontId="43" fillId="0" borderId="0" xfId="42" applyFont="1" applyAlignment="1">
      <alignment vertical="center"/>
    </xf>
    <xf numFmtId="0" fontId="156" fillId="0" borderId="0" xfId="42" applyFont="1" applyAlignment="1">
      <alignment vertical="top" wrapText="1"/>
    </xf>
    <xf numFmtId="0" fontId="156" fillId="0" borderId="0" xfId="42" applyFont="1" applyAlignment="1">
      <alignment horizontal="justify" vertical="center" wrapText="1"/>
    </xf>
    <xf numFmtId="0" fontId="44" fillId="0" borderId="0" xfId="42" applyFont="1" applyAlignment="1">
      <alignment horizontal="left" vertical="center" wrapText="1"/>
    </xf>
    <xf numFmtId="0" fontId="43" fillId="0" borderId="5" xfId="42" applyFont="1" applyBorder="1" applyAlignment="1">
      <alignment horizontal="center" vertical="center" wrapText="1"/>
    </xf>
    <xf numFmtId="0" fontId="44" fillId="0" borderId="5" xfId="42" applyFont="1" applyBorder="1" applyAlignment="1">
      <alignment horizontal="left" vertical="center" wrapText="1"/>
    </xf>
    <xf numFmtId="0" fontId="44" fillId="0" borderId="25" xfId="42" applyFont="1" applyBorder="1" applyAlignment="1">
      <alignment horizontal="center" vertical="center" wrapText="1"/>
    </xf>
    <xf numFmtId="0" fontId="44" fillId="0" borderId="11" xfId="42" applyFont="1" applyBorder="1" applyAlignment="1">
      <alignment horizontal="center" vertical="center" wrapText="1"/>
    </xf>
    <xf numFmtId="0" fontId="44" fillId="0" borderId="13" xfId="42" applyFont="1" applyBorder="1" applyAlignment="1">
      <alignment horizontal="center" vertical="center" wrapText="1"/>
    </xf>
    <xf numFmtId="0" fontId="44" fillId="0" borderId="9" xfId="42" applyFont="1" applyBorder="1" applyAlignment="1">
      <alignment horizontal="left" vertical="center" wrapText="1"/>
    </xf>
    <xf numFmtId="0" fontId="44" fillId="0" borderId="10" xfId="42" applyFont="1" applyBorder="1" applyAlignment="1">
      <alignment horizontal="left" vertical="center" wrapText="1"/>
    </xf>
    <xf numFmtId="0" fontId="44" fillId="0" borderId="17" xfId="42" applyFont="1" applyBorder="1" applyAlignment="1">
      <alignment horizontal="left" vertical="center" wrapText="1"/>
    </xf>
    <xf numFmtId="0" fontId="178" fillId="0" borderId="0" xfId="42" applyFont="1" applyAlignment="1">
      <alignment horizontal="center"/>
    </xf>
    <xf numFmtId="0" fontId="179" fillId="0" borderId="0" xfId="42" applyFont="1" applyAlignment="1">
      <alignment horizontal="center"/>
    </xf>
    <xf numFmtId="4" fontId="179" fillId="0" borderId="0" xfId="42" applyNumberFormat="1" applyFont="1" applyFill="1" applyAlignment="1">
      <alignment horizontal="right" vertical="center" wrapText="1"/>
    </xf>
    <xf numFmtId="4" fontId="179" fillId="0" borderId="0" xfId="42" applyNumberFormat="1" applyFont="1" applyFill="1" applyAlignment="1">
      <alignment horizontal="center" vertical="center" wrapText="1"/>
    </xf>
    <xf numFmtId="184" fontId="183" fillId="10" borderId="5" xfId="62" applyFont="1" applyFill="1" applyBorder="1" applyAlignment="1">
      <alignment horizontal="center" vertical="center" wrapText="1"/>
    </xf>
    <xf numFmtId="184" fontId="184" fillId="10" borderId="5" xfId="62" applyFont="1" applyFill="1" applyBorder="1" applyAlignment="1">
      <alignment horizontal="center" vertical="top" wrapText="1"/>
    </xf>
    <xf numFmtId="184" fontId="184" fillId="31" borderId="5" xfId="62" applyFont="1" applyFill="1" applyBorder="1" applyAlignment="1">
      <alignment horizontal="center" vertical="top" wrapText="1"/>
    </xf>
    <xf numFmtId="0" fontId="179" fillId="29" borderId="5" xfId="42" applyNumberFormat="1" applyFont="1" applyFill="1" applyBorder="1" applyAlignment="1" applyProtection="1">
      <alignment horizontal="center" vertical="center"/>
    </xf>
    <xf numFmtId="0" fontId="178" fillId="29" borderId="5" xfId="42" applyNumberFormat="1" applyFont="1" applyFill="1" applyBorder="1" applyAlignment="1" applyProtection="1">
      <alignment horizontal="center"/>
    </xf>
    <xf numFmtId="0" fontId="179" fillId="29" borderId="5" xfId="42" applyNumberFormat="1" applyFont="1" applyFill="1" applyBorder="1" applyAlignment="1" applyProtection="1">
      <alignment horizontal="center"/>
    </xf>
    <xf numFmtId="0" fontId="180" fillId="30" borderId="5" xfId="42" applyFont="1" applyFill="1" applyBorder="1" applyAlignment="1">
      <alignment horizontal="center" vertical="top" wrapText="1"/>
    </xf>
    <xf numFmtId="184" fontId="183" fillId="10" borderId="5" xfId="62" applyFont="1" applyFill="1" applyBorder="1" applyAlignment="1">
      <alignment horizontal="left" vertical="center" wrapText="1"/>
    </xf>
    <xf numFmtId="0" fontId="181" fillId="29" borderId="5" xfId="42" applyNumberFormat="1" applyFont="1" applyFill="1" applyBorder="1" applyAlignment="1" applyProtection="1">
      <alignment horizontal="center" vertical="center"/>
    </xf>
    <xf numFmtId="0" fontId="181" fillId="29" borderId="5" xfId="42" applyNumberFormat="1" applyFont="1" applyFill="1" applyBorder="1" applyAlignment="1" applyProtection="1">
      <alignment horizontal="center" vertical="center" wrapText="1"/>
    </xf>
    <xf numFmtId="0" fontId="19" fillId="0" borderId="0" xfId="14" applyBorder="1" applyAlignment="1">
      <alignment horizontal="center" vertical="center" wrapText="1"/>
    </xf>
    <xf numFmtId="0" fontId="19" fillId="0" borderId="9" xfId="14" applyBorder="1" applyAlignment="1">
      <alignment horizontal="center" vertical="center"/>
    </xf>
    <xf numFmtId="0" fontId="19" fillId="0" borderId="10" xfId="14" applyBorder="1" applyAlignment="1">
      <alignment horizontal="center" vertical="center"/>
    </xf>
    <xf numFmtId="0" fontId="19" fillId="0" borderId="17" xfId="14" applyBorder="1" applyAlignment="1">
      <alignment horizontal="center" vertical="center"/>
    </xf>
    <xf numFmtId="0" fontId="60" fillId="0" borderId="54" xfId="14" applyFont="1" applyBorder="1" applyAlignment="1">
      <alignment horizontal="center"/>
    </xf>
    <xf numFmtId="0" fontId="60" fillId="0" borderId="0" xfId="14" applyFont="1" applyBorder="1" applyAlignment="1">
      <alignment horizontal="center"/>
    </xf>
    <xf numFmtId="4" fontId="26" fillId="0" borderId="9" xfId="14" applyNumberFormat="1" applyFont="1" applyBorder="1" applyAlignment="1">
      <alignment horizontal="right" vertical="center"/>
    </xf>
    <xf numFmtId="4" fontId="26" fillId="0" borderId="10" xfId="14" applyNumberFormat="1" applyFont="1" applyBorder="1" applyAlignment="1">
      <alignment horizontal="right" vertical="center"/>
    </xf>
    <xf numFmtId="4" fontId="26" fillId="0" borderId="17" xfId="14" applyNumberFormat="1" applyFont="1" applyBorder="1" applyAlignment="1">
      <alignment horizontal="right" vertical="center"/>
    </xf>
    <xf numFmtId="0" fontId="18" fillId="6" borderId="9" xfId="14" applyFont="1" applyFill="1" applyBorder="1" applyAlignment="1">
      <alignment horizontal="center"/>
    </xf>
    <xf numFmtId="0" fontId="18" fillId="6" borderId="10" xfId="14" applyFont="1" applyFill="1" applyBorder="1" applyAlignment="1">
      <alignment horizontal="center"/>
    </xf>
    <xf numFmtId="0" fontId="18" fillId="6" borderId="17" xfId="14" applyFont="1" applyFill="1" applyBorder="1" applyAlignment="1">
      <alignment horizontal="center"/>
    </xf>
    <xf numFmtId="0" fontId="189" fillId="32" borderId="60" xfId="0" applyFont="1" applyFill="1" applyBorder="1" applyAlignment="1">
      <alignment horizontal="center" vertical="center"/>
    </xf>
    <xf numFmtId="0" fontId="189" fillId="32" borderId="88" xfId="0" applyFont="1" applyFill="1" applyBorder="1" applyAlignment="1">
      <alignment horizontal="center" vertical="center"/>
    </xf>
    <xf numFmtId="0" fontId="18" fillId="6" borderId="5" xfId="14" applyFont="1" applyFill="1" applyBorder="1" applyAlignment="1">
      <alignment horizontal="center" vertical="center"/>
    </xf>
    <xf numFmtId="0" fontId="18" fillId="6" borderId="36" xfId="14" applyFont="1" applyFill="1" applyBorder="1" applyAlignment="1">
      <alignment horizontal="center"/>
    </xf>
    <xf numFmtId="0" fontId="26" fillId="6" borderId="9" xfId="14" applyFont="1" applyFill="1" applyBorder="1" applyAlignment="1">
      <alignment horizontal="center" vertical="center" wrapText="1"/>
    </xf>
    <xf numFmtId="0" fontId="26" fillId="6" borderId="17" xfId="14" applyFont="1" applyFill="1" applyBorder="1" applyAlignment="1">
      <alignment horizontal="center" vertical="center" wrapText="1"/>
    </xf>
    <xf numFmtId="0" fontId="26" fillId="6" borderId="25" xfId="14" applyFont="1" applyFill="1" applyBorder="1" applyAlignment="1">
      <alignment horizontal="center" vertical="center" wrapText="1"/>
    </xf>
    <xf numFmtId="0" fontId="26" fillId="6" borderId="13" xfId="14" applyFont="1" applyFill="1" applyBorder="1" applyAlignment="1">
      <alignment horizontal="center" vertical="center" wrapText="1"/>
    </xf>
    <xf numFmtId="0" fontId="18" fillId="6" borderId="25" xfId="14" applyFont="1" applyFill="1" applyBorder="1" applyAlignment="1">
      <alignment horizontal="center" vertical="center"/>
    </xf>
    <xf numFmtId="0" fontId="18" fillId="6" borderId="13" xfId="14" applyFont="1" applyFill="1" applyBorder="1" applyAlignment="1">
      <alignment horizontal="center" vertical="center"/>
    </xf>
    <xf numFmtId="0" fontId="19" fillId="0" borderId="9" xfId="14" applyBorder="1" applyAlignment="1">
      <alignment horizontal="center"/>
    </xf>
    <xf numFmtId="0" fontId="19" fillId="0" borderId="10" xfId="14" applyBorder="1" applyAlignment="1">
      <alignment horizontal="center"/>
    </xf>
    <xf numFmtId="0" fontId="19" fillId="0" borderId="17" xfId="14" applyBorder="1" applyAlignment="1">
      <alignment horizontal="center"/>
    </xf>
    <xf numFmtId="14" fontId="148" fillId="0" borderId="0" xfId="58" applyNumberFormat="1" applyFont="1" applyAlignment="1">
      <alignment horizontal="left" vertical="center" wrapText="1"/>
    </xf>
    <xf numFmtId="167" fontId="148" fillId="4" borderId="0" xfId="58" applyNumberFormat="1" applyFont="1" applyFill="1" applyAlignment="1">
      <alignment horizontal="left"/>
    </xf>
    <xf numFmtId="167" fontId="148" fillId="4" borderId="0" xfId="58" applyNumberFormat="1" applyFont="1" applyFill="1" applyAlignment="1">
      <alignment horizontal="left" vertical="center"/>
    </xf>
    <xf numFmtId="171" fontId="148" fillId="0" borderId="0" xfId="58" applyNumberFormat="1" applyFont="1" applyAlignment="1">
      <alignment horizontal="left"/>
    </xf>
    <xf numFmtId="0" fontId="65" fillId="0" borderId="0" xfId="19" applyFont="1" applyAlignment="1">
      <alignment horizontal="center"/>
    </xf>
    <xf numFmtId="49" fontId="66" fillId="0" borderId="0" xfId="19" applyNumberFormat="1" applyFont="1" applyAlignment="1">
      <alignment horizontal="center"/>
    </xf>
    <xf numFmtId="0" fontId="66" fillId="0" borderId="0" xfId="19" applyFont="1" applyAlignment="1">
      <alignment horizontal="center"/>
    </xf>
    <xf numFmtId="49" fontId="84" fillId="0" borderId="0" xfId="19" applyNumberFormat="1" applyFont="1" applyAlignment="1">
      <alignment horizontal="center"/>
    </xf>
    <xf numFmtId="0" fontId="84" fillId="0" borderId="0" xfId="19" applyFont="1" applyAlignment="1">
      <alignment horizontal="center"/>
    </xf>
    <xf numFmtId="4" fontId="46" fillId="0" borderId="78" xfId="12" applyNumberFormat="1" applyFont="1" applyFill="1" applyBorder="1" applyAlignment="1">
      <alignment horizontal="center" vertical="center"/>
    </xf>
    <xf numFmtId="4" fontId="46" fillId="0" borderId="13" xfId="12" applyNumberFormat="1" applyFont="1" applyFill="1" applyBorder="1" applyAlignment="1">
      <alignment horizontal="center" vertical="center"/>
    </xf>
    <xf numFmtId="10" fontId="46" fillId="0" borderId="78" xfId="29" applyNumberFormat="1" applyFont="1" applyFill="1" applyBorder="1" applyAlignment="1">
      <alignment horizontal="center" vertical="center"/>
    </xf>
    <xf numFmtId="10" fontId="46" fillId="0" borderId="13" xfId="29" applyNumberFormat="1" applyFont="1" applyFill="1" applyBorder="1" applyAlignment="1">
      <alignment horizontal="center" vertical="center"/>
    </xf>
    <xf numFmtId="49" fontId="46" fillId="0" borderId="82" xfId="12" applyNumberFormat="1" applyFont="1" applyFill="1" applyBorder="1" applyAlignment="1">
      <alignment horizontal="left" vertical="center" wrapText="1"/>
    </xf>
    <xf numFmtId="49" fontId="46" fillId="0" borderId="79" xfId="12" applyNumberFormat="1" applyFont="1" applyFill="1" applyBorder="1" applyAlignment="1">
      <alignment horizontal="left" vertical="center" wrapText="1"/>
    </xf>
    <xf numFmtId="49" fontId="46" fillId="0" borderId="46" xfId="12" applyNumberFormat="1" applyFont="1" applyFill="1" applyBorder="1" applyAlignment="1">
      <alignment horizontal="left" vertical="center" wrapText="1"/>
    </xf>
    <xf numFmtId="49" fontId="46" fillId="0" borderId="55" xfId="12" applyNumberFormat="1" applyFont="1" applyFill="1" applyBorder="1" applyAlignment="1">
      <alignment horizontal="left" vertical="center" wrapText="1"/>
    </xf>
    <xf numFmtId="0" fontId="46" fillId="0" borderId="77" xfId="12" applyFont="1" applyFill="1" applyBorder="1" applyAlignment="1">
      <alignment horizontal="center" vertical="center"/>
    </xf>
    <xf numFmtId="0" fontId="46" fillId="0" borderId="47" xfId="12" applyFont="1" applyFill="1" applyBorder="1" applyAlignment="1">
      <alignment horizontal="center" vertical="center"/>
    </xf>
    <xf numFmtId="0" fontId="26" fillId="5" borderId="1" xfId="12" applyFont="1" applyFill="1" applyBorder="1" applyAlignment="1">
      <alignment horizontal="center" vertical="center"/>
    </xf>
    <xf numFmtId="0" fontId="26" fillId="5" borderId="4" xfId="12" applyFont="1" applyFill="1" applyBorder="1" applyAlignment="1">
      <alignment horizontal="center" vertical="center"/>
    </xf>
    <xf numFmtId="0" fontId="26" fillId="5" borderId="7" xfId="12" applyFont="1" applyFill="1" applyBorder="1" applyAlignment="1">
      <alignment horizontal="center" vertical="center"/>
    </xf>
    <xf numFmtId="0" fontId="26" fillId="5" borderId="2" xfId="12" applyFont="1" applyFill="1" applyBorder="1" applyAlignment="1">
      <alignment horizontal="center" vertical="center"/>
    </xf>
    <xf numFmtId="0" fontId="26" fillId="5" borderId="5" xfId="12" applyFont="1" applyFill="1" applyBorder="1" applyAlignment="1">
      <alignment horizontal="center" vertical="center"/>
    </xf>
    <xf numFmtId="0" fontId="26" fillId="5" borderId="8" xfId="12" applyFont="1" applyFill="1" applyBorder="1" applyAlignment="1">
      <alignment horizontal="center" vertical="center"/>
    </xf>
    <xf numFmtId="10" fontId="26" fillId="5" borderId="18" xfId="12" applyNumberFormat="1" applyFont="1" applyFill="1" applyBorder="1" applyAlignment="1">
      <alignment horizontal="center"/>
    </xf>
    <xf numFmtId="10" fontId="26" fillId="5" borderId="20" xfId="12" applyNumberFormat="1" applyFont="1" applyFill="1" applyBorder="1" applyAlignment="1">
      <alignment horizontal="center"/>
    </xf>
    <xf numFmtId="0" fontId="26" fillId="5" borderId="16" xfId="12" applyNumberFormat="1" applyFont="1" applyFill="1" applyBorder="1" applyAlignment="1">
      <alignment horizontal="left"/>
    </xf>
    <xf numFmtId="0" fontId="144" fillId="0" borderId="5" xfId="12" applyFont="1" applyFill="1" applyBorder="1" applyAlignment="1">
      <alignment horizontal="left" vertical="center"/>
    </xf>
    <xf numFmtId="0" fontId="46" fillId="0" borderId="25" xfId="12" applyFont="1" applyFill="1" applyBorder="1" applyAlignment="1">
      <alignment horizontal="left" vertical="center"/>
    </xf>
    <xf numFmtId="0" fontId="26" fillId="0" borderId="14" xfId="12" applyNumberFormat="1" applyFont="1" applyBorder="1" applyAlignment="1">
      <alignment horizontal="left"/>
    </xf>
    <xf numFmtId="0" fontId="26" fillId="0" borderId="15" xfId="12" applyNumberFormat="1" applyFont="1" applyBorder="1" applyAlignment="1">
      <alignment horizontal="left"/>
    </xf>
    <xf numFmtId="0" fontId="26" fillId="5" borderId="18" xfId="12" applyNumberFormat="1" applyFont="1" applyFill="1" applyBorder="1" applyAlignment="1">
      <alignment horizontal="left"/>
    </xf>
    <xf numFmtId="0" fontId="26" fillId="5" borderId="19" xfId="12" applyNumberFormat="1" applyFont="1" applyFill="1" applyBorder="1" applyAlignment="1">
      <alignment horizontal="left"/>
    </xf>
    <xf numFmtId="0" fontId="26" fillId="5" borderId="20" xfId="12" applyNumberFormat="1" applyFont="1" applyFill="1" applyBorder="1" applyAlignment="1">
      <alignment horizontal="left"/>
    </xf>
    <xf numFmtId="0" fontId="26" fillId="5" borderId="3" xfId="12" applyFont="1" applyFill="1" applyBorder="1" applyAlignment="1">
      <alignment horizontal="center" vertical="center"/>
    </xf>
    <xf numFmtId="0" fontId="26" fillId="5" borderId="6" xfId="12" applyFont="1" applyFill="1" applyBorder="1" applyAlignment="1">
      <alignment horizontal="center" vertical="center"/>
    </xf>
    <xf numFmtId="0" fontId="26" fillId="5" borderId="5" xfId="12" applyFont="1" applyFill="1" applyBorder="1" applyAlignment="1">
      <alignment horizontal="center"/>
    </xf>
    <xf numFmtId="0" fontId="26" fillId="5" borderId="5" xfId="12" applyFont="1" applyFill="1" applyBorder="1" applyAlignment="1">
      <alignment horizontal="center" vertical="center" wrapText="1"/>
    </xf>
    <xf numFmtId="0" fontId="26" fillId="5" borderId="8" xfId="12" applyFont="1" applyFill="1" applyBorder="1" applyAlignment="1">
      <alignment horizontal="center" vertical="center" wrapText="1"/>
    </xf>
    <xf numFmtId="0" fontId="26" fillId="5" borderId="35" xfId="12" applyFont="1" applyFill="1" applyBorder="1" applyAlignment="1">
      <alignment horizontal="center" vertical="center"/>
    </xf>
    <xf numFmtId="0" fontId="46" fillId="0" borderId="13" xfId="12" applyFont="1" applyFill="1" applyBorder="1" applyAlignment="1">
      <alignment horizontal="left" vertical="center"/>
    </xf>
    <xf numFmtId="0" fontId="26" fillId="0" borderId="4" xfId="12" applyNumberFormat="1" applyFont="1" applyBorder="1" applyAlignment="1">
      <alignment horizontal="left"/>
    </xf>
    <xf numFmtId="0" fontId="26" fillId="0" borderId="5" xfId="12" applyNumberFormat="1" applyFont="1" applyBorder="1" applyAlignment="1">
      <alignment horizontal="left"/>
    </xf>
    <xf numFmtId="0" fontId="141" fillId="0" borderId="36" xfId="12" applyNumberFormat="1" applyFont="1" applyBorder="1" applyAlignment="1">
      <alignment horizontal="left"/>
    </xf>
    <xf numFmtId="0" fontId="141" fillId="0" borderId="10" xfId="12" applyNumberFormat="1" applyFont="1" applyBorder="1" applyAlignment="1">
      <alignment horizontal="left"/>
    </xf>
    <xf numFmtId="0" fontId="141" fillId="0" borderId="17" xfId="12" applyNumberFormat="1" applyFont="1" applyBorder="1" applyAlignment="1">
      <alignment horizontal="left"/>
    </xf>
    <xf numFmtId="14" fontId="30" fillId="0" borderId="0" xfId="12" applyNumberFormat="1" applyFont="1" applyAlignment="1">
      <alignment horizontal="left" vertical="center" wrapText="1"/>
    </xf>
    <xf numFmtId="0" fontId="26" fillId="5" borderId="2" xfId="12" applyFont="1" applyFill="1" applyBorder="1" applyAlignment="1">
      <alignment horizontal="center"/>
    </xf>
    <xf numFmtId="0" fontId="26" fillId="5" borderId="25" xfId="12" applyFont="1" applyFill="1" applyBorder="1" applyAlignment="1">
      <alignment horizontal="center" vertical="center" wrapText="1"/>
    </xf>
    <xf numFmtId="0" fontId="26" fillId="5" borderId="67" xfId="12" applyFont="1" applyFill="1" applyBorder="1" applyAlignment="1">
      <alignment horizontal="center" vertical="center" wrapText="1"/>
    </xf>
    <xf numFmtId="0" fontId="46" fillId="0" borderId="37" xfId="12" applyNumberFormat="1" applyFont="1" applyBorder="1" applyAlignment="1">
      <alignment horizontal="left"/>
    </xf>
    <xf numFmtId="0" fontId="46" fillId="0" borderId="41" xfId="12" applyNumberFormat="1" applyFont="1" applyBorder="1" applyAlignment="1">
      <alignment horizontal="left"/>
    </xf>
    <xf numFmtId="0" fontId="46" fillId="0" borderId="62" xfId="12" applyNumberFormat="1" applyFont="1" applyBorder="1" applyAlignment="1">
      <alignment horizontal="left"/>
    </xf>
    <xf numFmtId="0" fontId="46" fillId="0" borderId="36" xfId="12" applyNumberFormat="1" applyFont="1" applyBorder="1" applyAlignment="1">
      <alignment horizontal="left"/>
    </xf>
    <xf numFmtId="0" fontId="46" fillId="0" borderId="10" xfId="12" applyNumberFormat="1" applyFont="1" applyBorder="1" applyAlignment="1">
      <alignment horizontal="left"/>
    </xf>
    <xf numFmtId="0" fontId="46" fillId="0" borderId="17" xfId="12" applyNumberFormat="1" applyFont="1" applyBorder="1" applyAlignment="1">
      <alignment horizontal="left"/>
    </xf>
    <xf numFmtId="0" fontId="46" fillId="0" borderId="9" xfId="12" applyFont="1" applyBorder="1" applyAlignment="1">
      <alignment horizontal="left"/>
    </xf>
    <xf numFmtId="0" fontId="143" fillId="0" borderId="17" xfId="12" applyFont="1" applyBorder="1" applyAlignment="1">
      <alignment horizontal="left"/>
    </xf>
    <xf numFmtId="4" fontId="46" fillId="0" borderId="82" xfId="12" applyNumberFormat="1" applyFont="1" applyFill="1" applyBorder="1" applyAlignment="1">
      <alignment horizontal="center" vertical="center"/>
    </xf>
    <xf numFmtId="4" fontId="46" fillId="0" borderId="43" xfId="12" applyNumberFormat="1" applyFont="1" applyFill="1" applyBorder="1" applyAlignment="1">
      <alignment horizontal="center" vertical="center"/>
    </xf>
    <xf numFmtId="10" fontId="19" fillId="0" borderId="3" xfId="29" applyNumberFormat="1" applyFont="1" applyFill="1" applyBorder="1" applyAlignment="1">
      <alignment horizontal="center" vertical="center"/>
    </xf>
    <xf numFmtId="10" fontId="19" fillId="0" borderId="6" xfId="29" applyNumberFormat="1" applyFont="1" applyFill="1" applyBorder="1" applyAlignment="1">
      <alignment horizontal="center" vertical="center"/>
    </xf>
    <xf numFmtId="0" fontId="124" fillId="17" borderId="0" xfId="0" applyFont="1" applyFill="1" applyAlignment="1">
      <alignment horizontal="center"/>
    </xf>
    <xf numFmtId="0" fontId="123" fillId="17" borderId="0" xfId="0" applyFont="1" applyFill="1" applyAlignment="1">
      <alignment horizontal="center"/>
    </xf>
    <xf numFmtId="0" fontId="103" fillId="4" borderId="51" xfId="0" applyFont="1" applyFill="1" applyBorder="1" applyAlignment="1">
      <alignment horizontal="center"/>
    </xf>
    <xf numFmtId="0" fontId="45" fillId="2" borderId="56" xfId="12" applyFont="1" applyFill="1" applyBorder="1" applyAlignment="1">
      <alignment horizontal="center" vertical="center"/>
    </xf>
    <xf numFmtId="0" fontId="45" fillId="2" borderId="34" xfId="12" applyFont="1" applyFill="1" applyBorder="1" applyAlignment="1">
      <alignment horizontal="center" vertical="center"/>
    </xf>
    <xf numFmtId="0" fontId="45" fillId="2" borderId="68" xfId="12" applyFont="1" applyFill="1" applyBorder="1" applyAlignment="1">
      <alignment horizontal="center" vertical="center"/>
    </xf>
    <xf numFmtId="0" fontId="132" fillId="2" borderId="49" xfId="12" applyFont="1" applyFill="1" applyBorder="1" applyAlignment="1">
      <alignment horizontal="center" vertical="center"/>
    </xf>
    <xf numFmtId="0" fontId="132" fillId="2" borderId="53" xfId="12" applyFont="1" applyFill="1" applyBorder="1" applyAlignment="1">
      <alignment horizontal="center" vertical="center"/>
    </xf>
    <xf numFmtId="0" fontId="132" fillId="2" borderId="66" xfId="12" applyFont="1" applyFill="1" applyBorder="1" applyAlignment="1">
      <alignment horizontal="center" vertical="center"/>
    </xf>
    <xf numFmtId="0" fontId="132" fillId="2" borderId="50" xfId="12" applyFont="1" applyFill="1" applyBorder="1" applyAlignment="1">
      <alignment horizontal="center" vertical="center"/>
    </xf>
    <xf numFmtId="0" fontId="132" fillId="2" borderId="51" xfId="12" applyFont="1" applyFill="1" applyBorder="1" applyAlignment="1">
      <alignment horizontal="center" vertical="center"/>
    </xf>
    <xf numFmtId="0" fontId="132" fillId="2" borderId="52" xfId="12" applyFont="1" applyFill="1" applyBorder="1" applyAlignment="1">
      <alignment horizontal="center" vertical="center"/>
    </xf>
    <xf numFmtId="0" fontId="132" fillId="2" borderId="18" xfId="12" applyFont="1" applyFill="1" applyBorder="1" applyAlignment="1">
      <alignment horizontal="center"/>
    </xf>
    <xf numFmtId="0" fontId="132" fillId="2" borderId="19" xfId="12" applyFont="1" applyFill="1" applyBorder="1" applyAlignment="1">
      <alignment horizontal="center"/>
    </xf>
    <xf numFmtId="0" fontId="132" fillId="2" borderId="20" xfId="12" applyFont="1" applyFill="1" applyBorder="1" applyAlignment="1">
      <alignment horizontal="center"/>
    </xf>
    <xf numFmtId="0" fontId="132" fillId="0" borderId="0" xfId="12" applyFont="1" applyAlignment="1">
      <alignment horizontal="center"/>
    </xf>
    <xf numFmtId="14" fontId="45" fillId="0" borderId="0" xfId="12" applyNumberFormat="1" applyFont="1" applyBorder="1" applyAlignment="1">
      <alignment horizontal="left" vertical="center" wrapText="1"/>
    </xf>
    <xf numFmtId="14" fontId="45" fillId="0" borderId="0" xfId="12" applyNumberFormat="1" applyFont="1" applyAlignment="1">
      <alignment horizontal="right" vertical="center"/>
    </xf>
    <xf numFmtId="0" fontId="132" fillId="7" borderId="56" xfId="12" applyFont="1" applyFill="1" applyBorder="1" applyAlignment="1">
      <alignment horizontal="center" vertical="center"/>
    </xf>
    <xf numFmtId="0" fontId="132" fillId="7" borderId="68" xfId="12" applyFont="1" applyFill="1" applyBorder="1" applyAlignment="1">
      <alignment horizontal="center" vertical="center"/>
    </xf>
    <xf numFmtId="0" fontId="132" fillId="7" borderId="56" xfId="12" applyFont="1" applyFill="1" applyBorder="1" applyAlignment="1">
      <alignment horizontal="center" vertical="center" wrapText="1"/>
    </xf>
    <xf numFmtId="0" fontId="132" fillId="7" borderId="68" xfId="12" applyFont="1" applyFill="1" applyBorder="1" applyAlignment="1">
      <alignment horizontal="center" vertical="center" wrapText="1"/>
    </xf>
    <xf numFmtId="0" fontId="132" fillId="2" borderId="56" xfId="12" applyFont="1" applyFill="1" applyBorder="1" applyAlignment="1">
      <alignment horizontal="distributed" vertical="center"/>
    </xf>
    <xf numFmtId="0" fontId="132" fillId="2" borderId="68" xfId="12" applyFont="1" applyFill="1" applyBorder="1" applyAlignment="1">
      <alignment horizontal="distributed" vertical="center"/>
    </xf>
    <xf numFmtId="0" fontId="132" fillId="0" borderId="18" xfId="12" applyFont="1" applyBorder="1" applyAlignment="1">
      <alignment horizontal="center"/>
    </xf>
    <xf numFmtId="0" fontId="132" fillId="0" borderId="19" xfId="12" applyFont="1" applyBorder="1" applyAlignment="1">
      <alignment horizontal="center"/>
    </xf>
    <xf numFmtId="0" fontId="132" fillId="0" borderId="20" xfId="12" applyFont="1" applyBorder="1" applyAlignment="1">
      <alignment horizontal="center"/>
    </xf>
    <xf numFmtId="0" fontId="26" fillId="4" borderId="9" xfId="12" applyNumberFormat="1" applyFont="1" applyFill="1" applyBorder="1" applyAlignment="1">
      <alignment horizontal="center"/>
    </xf>
    <xf numFmtId="0" fontId="26" fillId="4" borderId="10" xfId="12" applyNumberFormat="1" applyFont="1" applyFill="1" applyBorder="1" applyAlignment="1">
      <alignment horizontal="center"/>
    </xf>
    <xf numFmtId="0" fontId="26" fillId="4" borderId="17" xfId="12" applyNumberFormat="1" applyFont="1" applyFill="1" applyBorder="1" applyAlignment="1">
      <alignment horizontal="center"/>
    </xf>
    <xf numFmtId="0" fontId="132" fillId="28" borderId="56" xfId="12" applyFont="1" applyFill="1" applyBorder="1" applyAlignment="1">
      <alignment horizontal="center" vertical="center"/>
    </xf>
    <xf numFmtId="0" fontId="132" fillId="28" borderId="68" xfId="12" applyFont="1" applyFill="1" applyBorder="1" applyAlignment="1">
      <alignment horizontal="center" vertical="center"/>
    </xf>
    <xf numFmtId="0" fontId="132" fillId="22" borderId="19" xfId="12" applyFont="1" applyFill="1" applyBorder="1" applyAlignment="1">
      <alignment horizontal="center"/>
    </xf>
    <xf numFmtId="0" fontId="132" fillId="0" borderId="19" xfId="12" applyFont="1" applyFill="1" applyBorder="1" applyAlignment="1">
      <alignment horizontal="center"/>
    </xf>
    <xf numFmtId="0" fontId="52" fillId="4" borderId="0" xfId="12" applyFont="1" applyFill="1" applyAlignment="1">
      <alignment horizontal="center"/>
    </xf>
    <xf numFmtId="14" fontId="45" fillId="4" borderId="0" xfId="12" applyNumberFormat="1" applyFont="1" applyFill="1" applyAlignment="1">
      <alignment horizontal="left" wrapText="1"/>
    </xf>
    <xf numFmtId="14" fontId="201" fillId="4" borderId="0" xfId="12" applyNumberFormat="1" applyFont="1" applyFill="1" applyAlignment="1">
      <alignment horizontal="right" vertical="center"/>
    </xf>
    <xf numFmtId="0" fontId="132" fillId="2" borderId="56" xfId="12" applyFont="1" applyFill="1" applyBorder="1" applyAlignment="1">
      <alignment horizontal="center" vertical="center" wrapText="1"/>
    </xf>
    <xf numFmtId="0" fontId="132" fillId="2" borderId="68" xfId="12" applyFont="1" applyFill="1" applyBorder="1" applyAlignment="1">
      <alignment horizontal="center" vertical="center" wrapText="1"/>
    </xf>
    <xf numFmtId="0" fontId="132" fillId="11" borderId="56" xfId="12" applyFont="1" applyFill="1" applyBorder="1" applyAlignment="1">
      <alignment horizontal="center" vertical="center" wrapText="1"/>
    </xf>
    <xf numFmtId="0" fontId="132" fillId="11" borderId="68" xfId="12" applyFont="1" applyFill="1" applyBorder="1" applyAlignment="1">
      <alignment horizontal="center" vertical="center" wrapText="1"/>
    </xf>
    <xf numFmtId="0" fontId="132" fillId="26" borderId="56" xfId="12" applyFont="1" applyFill="1" applyBorder="1" applyAlignment="1">
      <alignment horizontal="center" vertical="center" wrapText="1"/>
    </xf>
    <xf numFmtId="0" fontId="132" fillId="26" borderId="68" xfId="12" applyFont="1" applyFill="1" applyBorder="1" applyAlignment="1">
      <alignment horizontal="center" vertical="center" wrapText="1"/>
    </xf>
    <xf numFmtId="0" fontId="132" fillId="22" borderId="0" xfId="12" applyFont="1" applyFill="1" applyAlignment="1">
      <alignment horizontal="center"/>
    </xf>
    <xf numFmtId="0" fontId="132" fillId="0" borderId="0" xfId="12" applyFont="1" applyFill="1" applyAlignment="1">
      <alignment horizontal="center"/>
    </xf>
    <xf numFmtId="0" fontId="132" fillId="2" borderId="34" xfId="12" applyFont="1" applyFill="1" applyBorder="1" applyAlignment="1">
      <alignment horizontal="center" vertical="center" wrapText="1"/>
    </xf>
    <xf numFmtId="0" fontId="132" fillId="2" borderId="16" xfId="12" applyFont="1" applyFill="1" applyBorder="1" applyAlignment="1">
      <alignment horizontal="center"/>
    </xf>
    <xf numFmtId="0" fontId="169" fillId="2" borderId="18" xfId="12" applyFont="1" applyFill="1" applyBorder="1" applyAlignment="1">
      <alignment horizontal="center"/>
    </xf>
    <xf numFmtId="0" fontId="169" fillId="2" borderId="19" xfId="12" applyFont="1" applyFill="1" applyBorder="1" applyAlignment="1">
      <alignment horizontal="center"/>
    </xf>
    <xf numFmtId="0" fontId="169" fillId="22" borderId="19" xfId="12" applyFont="1" applyFill="1" applyBorder="1" applyAlignment="1">
      <alignment horizontal="center"/>
    </xf>
    <xf numFmtId="0" fontId="169" fillId="0" borderId="19" xfId="12" applyFont="1" applyFill="1" applyBorder="1" applyAlignment="1">
      <alignment horizontal="center"/>
    </xf>
    <xf numFmtId="0" fontId="169" fillId="2" borderId="20" xfId="12" applyFont="1" applyFill="1" applyBorder="1" applyAlignment="1">
      <alignment horizontal="center"/>
    </xf>
    <xf numFmtId="0" fontId="132" fillId="4" borderId="18" xfId="12" applyFont="1" applyFill="1" applyBorder="1" applyAlignment="1">
      <alignment horizontal="center"/>
    </xf>
    <xf numFmtId="0" fontId="132" fillId="4" borderId="19" xfId="12" applyFont="1" applyFill="1" applyBorder="1" applyAlignment="1">
      <alignment horizontal="center"/>
    </xf>
    <xf numFmtId="0" fontId="132" fillId="4" borderId="20" xfId="12" applyFont="1" applyFill="1" applyBorder="1" applyAlignment="1">
      <alignment horizontal="center"/>
    </xf>
    <xf numFmtId="14" fontId="132" fillId="0" borderId="18" xfId="12" applyNumberFormat="1" applyFont="1" applyBorder="1" applyAlignment="1">
      <alignment horizontal="left" vertical="center" wrapText="1"/>
    </xf>
    <xf numFmtId="14" fontId="132" fillId="0" borderId="19" xfId="12" applyNumberFormat="1" applyFont="1" applyBorder="1" applyAlignment="1">
      <alignment horizontal="left" vertical="center" wrapText="1"/>
    </xf>
    <xf numFmtId="14" fontId="132" fillId="22" borderId="19" xfId="12" applyNumberFormat="1" applyFont="1" applyFill="1" applyBorder="1" applyAlignment="1">
      <alignment horizontal="left" vertical="center" wrapText="1"/>
    </xf>
    <xf numFmtId="14" fontId="132" fillId="0" borderId="19" xfId="12" applyNumberFormat="1" applyFont="1" applyFill="1" applyBorder="1" applyAlignment="1">
      <alignment horizontal="left" vertical="center" wrapText="1"/>
    </xf>
    <xf numFmtId="14" fontId="132" fillId="0" borderId="20" xfId="12" applyNumberFormat="1" applyFont="1" applyBorder="1" applyAlignment="1">
      <alignment horizontal="left" vertical="center" wrapText="1"/>
    </xf>
    <xf numFmtId="14" fontId="157" fillId="0" borderId="0" xfId="12" applyNumberFormat="1" applyFont="1" applyAlignment="1">
      <alignment horizontal="right" vertical="center"/>
    </xf>
    <xf numFmtId="0" fontId="132" fillId="2" borderId="49" xfId="12" applyFont="1" applyFill="1" applyBorder="1" applyAlignment="1">
      <alignment horizontal="center" vertical="center" wrapText="1"/>
    </xf>
    <xf numFmtId="0" fontId="132" fillId="2" borderId="53" xfId="12" applyFont="1" applyFill="1" applyBorder="1" applyAlignment="1">
      <alignment horizontal="center" vertical="center" wrapText="1"/>
    </xf>
    <xf numFmtId="0" fontId="132" fillId="2" borderId="66" xfId="12" applyFont="1" applyFill="1" applyBorder="1" applyAlignment="1">
      <alignment horizontal="center" vertical="center" wrapText="1"/>
    </xf>
    <xf numFmtId="0" fontId="132" fillId="2" borderId="50" xfId="12" applyFont="1" applyFill="1" applyBorder="1" applyAlignment="1">
      <alignment horizontal="center" vertical="center" wrapText="1"/>
    </xf>
    <xf numFmtId="0" fontId="132" fillId="2" borderId="51" xfId="12" applyFont="1" applyFill="1" applyBorder="1" applyAlignment="1">
      <alignment horizontal="center" vertical="center" wrapText="1"/>
    </xf>
    <xf numFmtId="0" fontId="132" fillId="2" borderId="52" xfId="12" applyFont="1" applyFill="1" applyBorder="1" applyAlignment="1">
      <alignment horizontal="center" vertical="center" wrapText="1"/>
    </xf>
    <xf numFmtId="0" fontId="169" fillId="2" borderId="56" xfId="12" applyFont="1" applyFill="1" applyBorder="1" applyAlignment="1">
      <alignment horizontal="center" vertical="center"/>
    </xf>
    <xf numFmtId="0" fontId="169" fillId="2" borderId="34" xfId="12" applyFont="1" applyFill="1" applyBorder="1" applyAlignment="1">
      <alignment horizontal="center" vertical="center"/>
    </xf>
    <xf numFmtId="0" fontId="169" fillId="2" borderId="68" xfId="12" applyFont="1" applyFill="1" applyBorder="1" applyAlignment="1">
      <alignment horizontal="center" vertical="center"/>
    </xf>
    <xf numFmtId="0" fontId="140" fillId="2" borderId="56" xfId="12" applyFont="1" applyFill="1" applyBorder="1" applyAlignment="1">
      <alignment horizontal="center" vertical="center"/>
    </xf>
    <xf numFmtId="0" fontId="140" fillId="2" borderId="34" xfId="12" applyFont="1" applyFill="1" applyBorder="1" applyAlignment="1">
      <alignment horizontal="center" vertical="center"/>
    </xf>
    <xf numFmtId="0" fontId="140" fillId="2" borderId="68" xfId="12" applyFont="1" applyFill="1" applyBorder="1" applyAlignment="1">
      <alignment horizontal="center" vertical="center"/>
    </xf>
    <xf numFmtId="0" fontId="169" fillId="2" borderId="49" xfId="12" applyFont="1" applyFill="1" applyBorder="1" applyAlignment="1">
      <alignment horizontal="center" vertical="center"/>
    </xf>
    <xf numFmtId="0" fontId="169" fillId="2" borderId="53" xfId="12" applyFont="1" applyFill="1" applyBorder="1" applyAlignment="1">
      <alignment horizontal="center" vertical="center"/>
    </xf>
    <xf numFmtId="0" fontId="169" fillId="2" borderId="66" xfId="12" applyFont="1" applyFill="1" applyBorder="1" applyAlignment="1">
      <alignment horizontal="center" vertical="center"/>
    </xf>
    <xf numFmtId="0" fontId="169" fillId="2" borderId="50" xfId="12" applyFont="1" applyFill="1" applyBorder="1" applyAlignment="1">
      <alignment horizontal="center" vertical="center"/>
    </xf>
    <xf numFmtId="0" fontId="169" fillId="2" borderId="51" xfId="12" applyFont="1" applyFill="1" applyBorder="1" applyAlignment="1">
      <alignment horizontal="center" vertical="center"/>
    </xf>
    <xf numFmtId="0" fontId="169" fillId="2" borderId="52" xfId="12" applyFont="1" applyFill="1" applyBorder="1" applyAlignment="1">
      <alignment horizontal="center" vertical="center"/>
    </xf>
    <xf numFmtId="0" fontId="168" fillId="0" borderId="0" xfId="12" applyFont="1" applyAlignment="1">
      <alignment horizontal="center"/>
    </xf>
    <xf numFmtId="0" fontId="168" fillId="22" borderId="0" xfId="12" applyFont="1" applyFill="1" applyAlignment="1">
      <alignment horizontal="center"/>
    </xf>
    <xf numFmtId="0" fontId="168" fillId="0" borderId="0" xfId="12" applyFont="1" applyFill="1" applyAlignment="1">
      <alignment horizontal="center"/>
    </xf>
    <xf numFmtId="0" fontId="168" fillId="4" borderId="0" xfId="12" applyFont="1" applyFill="1" applyAlignment="1">
      <alignment horizontal="center"/>
    </xf>
    <xf numFmtId="14" fontId="140" fillId="0" borderId="0" xfId="12" applyNumberFormat="1" applyFont="1" applyAlignment="1">
      <alignment horizontal="left" wrapText="1"/>
    </xf>
    <xf numFmtId="0" fontId="169" fillId="7" borderId="56" xfId="12" applyFont="1" applyFill="1" applyBorder="1" applyAlignment="1">
      <alignment horizontal="center" vertical="center" wrapText="1"/>
    </xf>
    <xf numFmtId="0" fontId="169" fillId="7" borderId="68" xfId="12" applyFont="1" applyFill="1" applyBorder="1" applyAlignment="1">
      <alignment horizontal="center" vertical="center" wrapText="1"/>
    </xf>
    <xf numFmtId="0" fontId="169" fillId="2" borderId="56" xfId="12" applyFont="1" applyFill="1" applyBorder="1" applyAlignment="1">
      <alignment horizontal="center" vertical="center" wrapText="1"/>
    </xf>
    <xf numFmtId="0" fontId="169" fillId="2" borderId="68" xfId="12" applyFont="1" applyFill="1" applyBorder="1" applyAlignment="1">
      <alignment horizontal="center" vertical="center" wrapText="1"/>
    </xf>
    <xf numFmtId="0" fontId="169" fillId="2" borderId="56" xfId="12" applyFont="1" applyFill="1" applyBorder="1" applyAlignment="1">
      <alignment horizontal="distributed" vertical="center"/>
    </xf>
    <xf numFmtId="0" fontId="169" fillId="2" borderId="68" xfId="12" applyFont="1" applyFill="1" applyBorder="1" applyAlignment="1">
      <alignment horizontal="distributed" vertical="center"/>
    </xf>
    <xf numFmtId="0" fontId="132" fillId="0" borderId="0" xfId="12" applyFont="1" applyAlignment="1">
      <alignment horizontal="center" vertical="center"/>
    </xf>
    <xf numFmtId="0" fontId="132" fillId="22" borderId="0" xfId="12" applyFont="1" applyFill="1" applyAlignment="1">
      <alignment horizontal="center" vertical="center"/>
    </xf>
    <xf numFmtId="0" fontId="132" fillId="0" borderId="0" xfId="12" applyFont="1" applyFill="1" applyAlignment="1">
      <alignment horizontal="center" vertical="center"/>
    </xf>
    <xf numFmtId="0" fontId="158" fillId="0" borderId="0" xfId="12" applyFont="1" applyAlignment="1">
      <alignment horizontal="center"/>
    </xf>
    <xf numFmtId="0" fontId="158" fillId="22" borderId="0" xfId="12" applyFont="1" applyFill="1" applyAlignment="1">
      <alignment horizontal="center"/>
    </xf>
    <xf numFmtId="0" fontId="158" fillId="0" borderId="0" xfId="12" applyFont="1" applyFill="1" applyAlignment="1">
      <alignment horizontal="center"/>
    </xf>
    <xf numFmtId="0" fontId="52" fillId="0" borderId="51" xfId="12" applyFont="1" applyBorder="1" applyAlignment="1">
      <alignment horizontal="center"/>
    </xf>
    <xf numFmtId="0" fontId="46" fillId="0" borderId="57" xfId="12" applyFont="1" applyFill="1" applyBorder="1" applyAlignment="1">
      <alignment horizontal="left" vertical="center"/>
    </xf>
    <xf numFmtId="0" fontId="46" fillId="0" borderId="61" xfId="12" applyFont="1" applyFill="1" applyBorder="1" applyAlignment="1">
      <alignment horizontal="left" vertical="center"/>
    </xf>
    <xf numFmtId="0" fontId="46" fillId="0" borderId="9" xfId="12" applyFont="1" applyFill="1" applyBorder="1" applyAlignment="1">
      <alignment horizontal="left" vertical="center"/>
    </xf>
    <xf numFmtId="0" fontId="46" fillId="0" borderId="17" xfId="12" applyFont="1" applyFill="1" applyBorder="1" applyAlignment="1">
      <alignment horizontal="left" vertical="center"/>
    </xf>
    <xf numFmtId="0" fontId="46" fillId="0" borderId="63" xfId="12" applyFont="1" applyFill="1" applyBorder="1" applyAlignment="1">
      <alignment horizontal="left" vertical="center"/>
    </xf>
    <xf numFmtId="0" fontId="46" fillId="0" borderId="62" xfId="12" applyFont="1" applyFill="1" applyBorder="1" applyAlignment="1">
      <alignment horizontal="left" vertical="center"/>
    </xf>
    <xf numFmtId="0" fontId="26" fillId="0" borderId="18" xfId="12" applyNumberFormat="1" applyFont="1" applyBorder="1" applyAlignment="1">
      <alignment horizontal="left"/>
    </xf>
    <xf numFmtId="0" fontId="26" fillId="0" borderId="19" xfId="12" applyNumberFormat="1" applyFont="1" applyBorder="1" applyAlignment="1">
      <alignment horizontal="left"/>
    </xf>
    <xf numFmtId="0" fontId="26" fillId="0" borderId="86" xfId="12" applyNumberFormat="1" applyFont="1" applyBorder="1" applyAlignment="1">
      <alignment horizontal="left"/>
    </xf>
    <xf numFmtId="0" fontId="26" fillId="5" borderId="82" xfId="12" applyFont="1" applyFill="1" applyBorder="1" applyAlignment="1">
      <alignment horizontal="center" vertical="center"/>
    </xf>
    <xf numFmtId="0" fontId="26" fillId="5" borderId="66" xfId="12" applyFont="1" applyFill="1" applyBorder="1" applyAlignment="1">
      <alignment horizontal="center" vertical="center"/>
    </xf>
    <xf numFmtId="0" fontId="26" fillId="5" borderId="46" xfId="12" applyFont="1" applyFill="1" applyBorder="1" applyAlignment="1">
      <alignment horizontal="center" vertical="center"/>
    </xf>
    <xf numFmtId="0" fontId="26" fillId="5" borderId="90" xfId="12" applyFont="1" applyFill="1" applyBorder="1" applyAlignment="1">
      <alignment horizontal="center" vertical="center"/>
    </xf>
    <xf numFmtId="0" fontId="26" fillId="5" borderId="9" xfId="12" applyFont="1" applyFill="1" applyBorder="1" applyAlignment="1">
      <alignment horizontal="center"/>
    </xf>
    <xf numFmtId="0" fontId="26" fillId="5" borderId="17" xfId="12" applyFont="1" applyFill="1" applyBorder="1" applyAlignment="1">
      <alignment horizontal="center"/>
    </xf>
    <xf numFmtId="0" fontId="26" fillId="5" borderId="25" xfId="12" applyFont="1" applyFill="1" applyBorder="1" applyAlignment="1">
      <alignment horizontal="center" vertical="center"/>
    </xf>
    <xf numFmtId="0" fontId="26" fillId="5" borderId="67" xfId="12" applyFont="1" applyFill="1" applyBorder="1" applyAlignment="1">
      <alignment horizontal="center" vertical="center"/>
    </xf>
    <xf numFmtId="0" fontId="26" fillId="5" borderId="45" xfId="12" applyFont="1" applyFill="1" applyBorder="1" applyAlignment="1">
      <alignment horizontal="center" vertical="center"/>
    </xf>
    <xf numFmtId="0" fontId="26" fillId="5" borderId="69" xfId="12" applyFont="1" applyFill="1" applyBorder="1" applyAlignment="1">
      <alignment horizontal="center" vertical="center"/>
    </xf>
    <xf numFmtId="0" fontId="26" fillId="0" borderId="37" xfId="12" applyNumberFormat="1" applyFont="1" applyBorder="1" applyAlignment="1">
      <alignment horizontal="left"/>
    </xf>
    <xf numFmtId="0" fontId="26" fillId="0" borderId="41" xfId="12" applyNumberFormat="1" applyFont="1" applyBorder="1" applyAlignment="1">
      <alignment horizontal="left"/>
    </xf>
    <xf numFmtId="0" fontId="26" fillId="0" borderId="62" xfId="12" applyNumberFormat="1" applyFont="1" applyBorder="1" applyAlignment="1">
      <alignment horizontal="left"/>
    </xf>
    <xf numFmtId="0" fontId="26" fillId="5" borderId="77" xfId="12" applyFont="1" applyFill="1" applyBorder="1" applyAlignment="1">
      <alignment horizontal="center" vertical="center"/>
    </xf>
    <xf numFmtId="0" fontId="26" fillId="5" borderId="91" xfId="12" applyFont="1" applyFill="1" applyBorder="1" applyAlignment="1">
      <alignment horizontal="center" vertical="center"/>
    </xf>
    <xf numFmtId="0" fontId="26" fillId="5" borderId="65" xfId="12" applyFont="1" applyFill="1" applyBorder="1" applyAlignment="1">
      <alignment horizontal="center" vertical="center"/>
    </xf>
    <xf numFmtId="0" fontId="26" fillId="5" borderId="79" xfId="12" applyFont="1" applyFill="1" applyBorder="1" applyAlignment="1">
      <alignment horizontal="center" vertical="center"/>
    </xf>
    <xf numFmtId="0" fontId="26" fillId="5" borderId="43" xfId="12" applyFont="1" applyFill="1" applyBorder="1" applyAlignment="1">
      <alignment horizontal="center" vertical="center"/>
    </xf>
    <xf numFmtId="0" fontId="26" fillId="5" borderId="85" xfId="12" applyFont="1" applyFill="1" applyBorder="1" applyAlignment="1">
      <alignment horizontal="center" vertical="center"/>
    </xf>
    <xf numFmtId="0" fontId="26" fillId="5" borderId="89" xfId="12" applyFont="1" applyFill="1" applyBorder="1" applyAlignment="1">
      <alignment horizontal="center" vertical="center"/>
    </xf>
    <xf numFmtId="0" fontId="26" fillId="5" borderId="87" xfId="12" applyFont="1" applyFill="1" applyBorder="1" applyAlignment="1">
      <alignment horizontal="center" vertical="center"/>
    </xf>
    <xf numFmtId="0" fontId="26" fillId="5" borderId="78" xfId="12" applyFont="1" applyFill="1" applyBorder="1" applyAlignment="1">
      <alignment horizontal="center" vertical="center"/>
    </xf>
    <xf numFmtId="0" fontId="26" fillId="5" borderId="11" xfId="12" applyFont="1" applyFill="1" applyBorder="1" applyAlignment="1">
      <alignment horizontal="center" vertical="center"/>
    </xf>
    <xf numFmtId="0" fontId="26" fillId="5" borderId="57" xfId="12" applyFont="1" applyFill="1" applyBorder="1" applyAlignment="1">
      <alignment horizontal="center"/>
    </xf>
    <xf numFmtId="0" fontId="26" fillId="5" borderId="40" xfId="12" applyFont="1" applyFill="1" applyBorder="1" applyAlignment="1">
      <alignment horizontal="center"/>
    </xf>
    <xf numFmtId="0" fontId="26" fillId="5" borderId="61" xfId="12" applyFont="1" applyFill="1" applyBorder="1" applyAlignment="1">
      <alignment horizontal="center"/>
    </xf>
    <xf numFmtId="10" fontId="19" fillId="0" borderId="81" xfId="29" applyNumberFormat="1" applyFont="1" applyFill="1" applyBorder="1" applyAlignment="1">
      <alignment horizontal="center" vertical="center"/>
    </xf>
    <xf numFmtId="10" fontId="19" fillId="0" borderId="48" xfId="29" applyNumberFormat="1" applyFont="1" applyFill="1" applyBorder="1" applyAlignment="1">
      <alignment horizontal="center" vertical="center"/>
    </xf>
    <xf numFmtId="2" fontId="31" fillId="0" borderId="0" xfId="23" applyNumberFormat="1" applyFont="1" applyFill="1" applyBorder="1" applyAlignment="1">
      <alignment horizontal="center"/>
    </xf>
    <xf numFmtId="2" fontId="17" fillId="0" borderId="0" xfId="23" applyNumberFormat="1" applyFont="1" applyFill="1" applyBorder="1" applyAlignment="1">
      <alignment horizontal="center"/>
    </xf>
    <xf numFmtId="2" fontId="17" fillId="5" borderId="1" xfId="23" applyNumberFormat="1" applyFont="1" applyFill="1" applyBorder="1" applyAlignment="1">
      <alignment horizontal="center" vertical="center" wrapText="1"/>
    </xf>
    <xf numFmtId="2" fontId="17" fillId="5" borderId="7" xfId="23" applyNumberFormat="1" applyFont="1" applyFill="1" applyBorder="1" applyAlignment="1">
      <alignment horizontal="center" vertical="center" wrapText="1"/>
    </xf>
    <xf numFmtId="2" fontId="17" fillId="5" borderId="2" xfId="23" applyNumberFormat="1" applyFont="1" applyFill="1" applyBorder="1" applyAlignment="1">
      <alignment horizontal="center" vertical="center" wrapText="1"/>
    </xf>
    <xf numFmtId="2" fontId="17" fillId="5" borderId="8" xfId="23" applyNumberFormat="1" applyFont="1" applyFill="1" applyBorder="1" applyAlignment="1">
      <alignment horizontal="center" vertical="center" wrapText="1"/>
    </xf>
    <xf numFmtId="2" fontId="17" fillId="5" borderId="2" xfId="23" applyNumberFormat="1" applyFont="1" applyFill="1" applyBorder="1" applyAlignment="1">
      <alignment horizontal="center"/>
    </xf>
    <xf numFmtId="2" fontId="17" fillId="5" borderId="81" xfId="23" applyNumberFormat="1" applyFont="1" applyFill="1" applyBorder="1" applyAlignment="1">
      <alignment horizontal="center" vertical="center"/>
    </xf>
    <xf numFmtId="2" fontId="17" fillId="5" borderId="69" xfId="23" applyNumberFormat="1" applyFont="1" applyFill="1" applyBorder="1" applyAlignment="1">
      <alignment horizontal="center" vertical="center"/>
    </xf>
    <xf numFmtId="4" fontId="19" fillId="0" borderId="5" xfId="0" applyNumberFormat="1" applyFont="1" applyFill="1" applyBorder="1" applyAlignment="1">
      <alignment horizontal="center"/>
    </xf>
    <xf numFmtId="167" fontId="90" fillId="4" borderId="9" xfId="38" applyNumberFormat="1" applyFont="1" applyFill="1" applyBorder="1" applyAlignment="1">
      <alignment horizontal="right"/>
    </xf>
    <xf numFmtId="167" fontId="90" fillId="4" borderId="17" xfId="38" applyNumberFormat="1" applyFont="1" applyFill="1" applyBorder="1" applyAlignment="1">
      <alignment horizontal="right"/>
    </xf>
    <xf numFmtId="167" fontId="90" fillId="0" borderId="9" xfId="38" applyNumberFormat="1" applyFont="1" applyBorder="1" applyAlignment="1">
      <alignment horizontal="right"/>
    </xf>
    <xf numFmtId="167" fontId="90" fillId="0" borderId="17" xfId="38" applyNumberFormat="1" applyFont="1" applyBorder="1" applyAlignment="1">
      <alignment horizontal="right"/>
    </xf>
    <xf numFmtId="167" fontId="89" fillId="0" borderId="9" xfId="38" applyNumberFormat="1" applyFont="1" applyBorder="1" applyAlignment="1">
      <alignment horizontal="right"/>
    </xf>
    <xf numFmtId="0" fontId="89" fillId="0" borderId="17" xfId="38" applyFont="1" applyBorder="1" applyAlignment="1">
      <alignment horizontal="right"/>
    </xf>
    <xf numFmtId="10" fontId="92" fillId="4" borderId="9" xfId="38" applyNumberFormat="1" applyFont="1" applyFill="1" applyBorder="1" applyAlignment="1">
      <alignment horizontal="center"/>
    </xf>
    <xf numFmtId="0" fontId="92" fillId="4" borderId="17" xfId="38" applyFont="1" applyFill="1" applyBorder="1" applyAlignment="1">
      <alignment horizontal="center"/>
    </xf>
    <xf numFmtId="10" fontId="92" fillId="4" borderId="63" xfId="38" applyNumberFormat="1" applyFont="1" applyFill="1" applyBorder="1" applyAlignment="1">
      <alignment horizontal="center"/>
    </xf>
    <xf numFmtId="0" fontId="92" fillId="4" borderId="62" xfId="38" applyFont="1" applyFill="1" applyBorder="1" applyAlignment="1">
      <alignment horizontal="center"/>
    </xf>
    <xf numFmtId="167" fontId="89" fillId="4" borderId="9" xfId="38" applyNumberFormat="1" applyFont="1" applyFill="1" applyBorder="1" applyAlignment="1">
      <alignment horizontal="right"/>
    </xf>
    <xf numFmtId="0" fontId="89" fillId="4" borderId="17" xfId="38" applyFont="1" applyFill="1" applyBorder="1" applyAlignment="1">
      <alignment horizontal="right"/>
    </xf>
    <xf numFmtId="173" fontId="97" fillId="8" borderId="56" xfId="38" applyNumberFormat="1" applyFont="1" applyFill="1" applyBorder="1" applyAlignment="1">
      <alignment horizontal="center" vertical="center" wrapText="1"/>
    </xf>
    <xf numFmtId="0" fontId="85" fillId="0" borderId="34" xfId="38" applyBorder="1" applyAlignment="1">
      <alignment horizontal="center" vertical="center" wrapText="1"/>
    </xf>
    <xf numFmtId="174" fontId="99" fillId="0" borderId="0" xfId="38" applyNumberFormat="1" applyFont="1" applyFill="1" applyAlignment="1" applyProtection="1">
      <alignment horizontal="center" vertical="center"/>
    </xf>
    <xf numFmtId="0" fontId="96" fillId="8" borderId="16" xfId="38" applyFont="1" applyFill="1" applyBorder="1" applyAlignment="1">
      <alignment horizontal="center" vertical="center" wrapText="1"/>
    </xf>
    <xf numFmtId="0" fontId="96" fillId="8" borderId="56" xfId="38" applyFont="1" applyFill="1" applyBorder="1" applyAlignment="1">
      <alignment horizontal="center" vertical="center" wrapText="1"/>
    </xf>
    <xf numFmtId="173" fontId="97" fillId="8" borderId="18" xfId="38" applyNumberFormat="1" applyFont="1" applyFill="1" applyBorder="1" applyAlignment="1">
      <alignment horizontal="center" vertical="center" wrapText="1"/>
    </xf>
    <xf numFmtId="173" fontId="97" fillId="8" borderId="19" xfId="38" applyNumberFormat="1" applyFont="1" applyFill="1" applyBorder="1" applyAlignment="1">
      <alignment horizontal="center" vertical="center" wrapText="1"/>
    </xf>
    <xf numFmtId="167" fontId="89" fillId="4" borderId="57" xfId="38" applyNumberFormat="1" applyFont="1" applyFill="1" applyBorder="1" applyAlignment="1">
      <alignment horizontal="right"/>
    </xf>
    <xf numFmtId="167" fontId="89" fillId="4" borderId="61" xfId="38" applyNumberFormat="1" applyFont="1" applyFill="1" applyBorder="1" applyAlignment="1">
      <alignment horizontal="right"/>
    </xf>
    <xf numFmtId="0" fontId="90" fillId="4" borderId="17" xfId="38" applyFont="1" applyFill="1" applyBorder="1" applyAlignment="1">
      <alignment horizontal="right"/>
    </xf>
    <xf numFmtId="4" fontId="60" fillId="0" borderId="82" xfId="15" applyNumberFormat="1" applyFont="1" applyFill="1" applyBorder="1" applyAlignment="1">
      <alignment horizontal="center" vertical="center"/>
    </xf>
    <xf numFmtId="4" fontId="60" fillId="0" borderId="43" xfId="15" applyNumberFormat="1" applyFont="1" applyFill="1" applyBorder="1" applyAlignment="1">
      <alignment horizontal="center" vertical="center"/>
    </xf>
    <xf numFmtId="4" fontId="56" fillId="0" borderId="0" xfId="15" applyNumberFormat="1" applyFont="1" applyBorder="1" applyAlignment="1">
      <alignment horizontal="center"/>
    </xf>
    <xf numFmtId="4" fontId="60" fillId="0" borderId="49" xfId="15" applyNumberFormat="1" applyFont="1" applyFill="1" applyBorder="1" applyAlignment="1">
      <alignment horizontal="center" vertical="center"/>
    </xf>
    <xf numFmtId="4" fontId="60" fillId="0" borderId="21" xfId="15" applyNumberFormat="1" applyFont="1" applyFill="1" applyBorder="1" applyAlignment="1">
      <alignment horizontal="center" vertical="center"/>
    </xf>
    <xf numFmtId="4" fontId="60" fillId="0" borderId="78" xfId="15" applyNumberFormat="1" applyFont="1" applyFill="1" applyBorder="1" applyAlignment="1">
      <alignment horizontal="center" vertical="center"/>
    </xf>
    <xf numFmtId="4" fontId="60" fillId="0" borderId="11" xfId="15" applyNumberFormat="1" applyFont="1" applyFill="1" applyBorder="1" applyAlignment="1">
      <alignment horizontal="center" vertical="center"/>
    </xf>
    <xf numFmtId="39" fontId="33" fillId="0" borderId="53" xfId="26" applyNumberFormat="1" applyFont="1" applyFill="1" applyBorder="1" applyAlignment="1">
      <alignment horizontal="center" vertical="center" wrapText="1"/>
    </xf>
    <xf numFmtId="39" fontId="33" fillId="0" borderId="66" xfId="26" applyNumberFormat="1" applyFont="1" applyFill="1" applyBorder="1" applyAlignment="1">
      <alignment horizontal="center" vertical="center" wrapText="1"/>
    </xf>
  </cellXfs>
  <cellStyles count="9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4 2" xfId="65" xr:uid="{80918A0B-FC9C-4788-A0A5-45B4173655A0}"/>
    <cellStyle name="Millares 5" xfId="5" xr:uid="{00000000-0005-0000-0000-000006000000}"/>
    <cellStyle name="Millares 6" xfId="6" xr:uid="{00000000-0005-0000-0000-000007000000}"/>
    <cellStyle name="Millares 6 2" xfId="66" xr:uid="{A789260D-5684-4611-8DC3-01A3F60B546A}"/>
    <cellStyle name="Millares 7" xfId="7" xr:uid="{00000000-0005-0000-0000-000008000000}"/>
    <cellStyle name="Millares 7 2" xfId="67" xr:uid="{1C7F87AD-97CF-4F04-B3E8-58F4FE0A7984}"/>
    <cellStyle name="Millares 8" xfId="44" xr:uid="{00000000-0005-0000-0000-000009000000}"/>
    <cellStyle name="Millares 8 2" xfId="79" xr:uid="{C5B4133D-1B20-4856-8BBB-7EF9FDA70A35}"/>
    <cellStyle name="Millares_Hoja1" xfId="8" xr:uid="{00000000-0005-0000-0000-00000A000000}"/>
    <cellStyle name="Moneda 2" xfId="61" xr:uid="{00000000-0005-0000-0000-00000B000000}"/>
    <cellStyle name="Moneda 2 2" xfId="93" xr:uid="{9F88DD23-73B4-4457-BC58-A0A3328AD8A1}"/>
    <cellStyle name="Normal" xfId="0" builtinId="0"/>
    <cellStyle name="Normal 10" xfId="9" xr:uid="{00000000-0005-0000-0000-00000D000000}"/>
    <cellStyle name="Normal 10 2" xfId="37" xr:uid="{00000000-0005-0000-0000-00000E000000}"/>
    <cellStyle name="Normal 10 2 2" xfId="77" xr:uid="{A5F64195-A059-4920-943E-62BD5D53CE3E}"/>
    <cellStyle name="Normal 10 3" xfId="54" xr:uid="{00000000-0005-0000-0000-00000F000000}"/>
    <cellStyle name="Normal 10 3 2" xfId="89" xr:uid="{E2644657-A279-4934-9969-B4C12E2C2974}"/>
    <cellStyle name="Normal 10 32" xfId="42" xr:uid="{00000000-0005-0000-0000-000010000000}"/>
    <cellStyle name="Normal 10 4" xfId="68" xr:uid="{44B8E18D-73F9-45FC-8CF5-2D267AF9B315}"/>
    <cellStyle name="Normal 11" xfId="10" xr:uid="{00000000-0005-0000-0000-000011000000}"/>
    <cellStyle name="Normal 11 2" xfId="53" xr:uid="{00000000-0005-0000-0000-000012000000}"/>
    <cellStyle name="Normal 11 2 2" xfId="88" xr:uid="{D102D003-D717-46E2-9251-9576D333923A}"/>
    <cellStyle name="Normal 12" xfId="33" xr:uid="{00000000-0005-0000-0000-000013000000}"/>
    <cellStyle name="Normal 12 2" xfId="59" xr:uid="{00000000-0005-0000-0000-000014000000}"/>
    <cellStyle name="Normal 12 3" xfId="74" xr:uid="{A65E2B0F-11A6-4FE0-9CE6-5DBE9AFF344B}"/>
    <cellStyle name="Normal 13" xfId="35" xr:uid="{00000000-0005-0000-0000-000015000000}"/>
    <cellStyle name="Normal 13 2" xfId="58" xr:uid="{00000000-0005-0000-0000-000016000000}"/>
    <cellStyle name="Normal 13 2 2" xfId="62" xr:uid="{00000000-0005-0000-0000-000017000000}"/>
    <cellStyle name="Normal 13 3" xfId="75" xr:uid="{A76A0E39-3863-492D-9674-5D83FEAF3CA7}"/>
    <cellStyle name="Normal 14" xfId="38" xr:uid="{00000000-0005-0000-0000-000018000000}"/>
    <cellStyle name="Normal 15" xfId="39" xr:uid="{00000000-0005-0000-0000-000019000000}"/>
    <cellStyle name="Normal 15 2" xfId="78" xr:uid="{F96CEDB2-3803-4104-AD51-550AA573D78B}"/>
    <cellStyle name="Normal 16" xfId="55" xr:uid="{00000000-0005-0000-0000-00001A000000}"/>
    <cellStyle name="Normal 16 2" xfId="90" xr:uid="{00930A49-89E5-4A1D-9A54-66EBCDCDCA71}"/>
    <cellStyle name="Normal 17" xfId="57" xr:uid="{00000000-0005-0000-0000-00001B000000}"/>
    <cellStyle name="Normal 17 2" xfId="92" xr:uid="{25D1609E-7CCE-45D6-9C64-5B053C0E3FA3}"/>
    <cellStyle name="Normal 18" xfId="56" xr:uid="{00000000-0005-0000-0000-00001C000000}"/>
    <cellStyle name="Normal 18 2" xfId="91" xr:uid="{B83BF188-BD7E-4E97-8745-B2FD9B64D674}"/>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4 2 2" xfId="94" xr:uid="{823A4692-988E-4EB8-B5B7-D455A150F5CB}"/>
    <cellStyle name="Normal 2 4 3" xfId="76" xr:uid="{F708BB86-F69F-4F6D-AB10-3CF62EE457EB}"/>
    <cellStyle name="Normal 2 5" xfId="45" xr:uid="{00000000-0005-0000-0000-000023000000}"/>
    <cellStyle name="Normal 2 5 2" xfId="80" xr:uid="{2CA1D527-62D5-4503-BE67-1781890AEE98}"/>
    <cellStyle name="Normal 2 6" xfId="69" xr:uid="{8A1B575D-C4BF-4F3F-B5A5-E1B799CBA88C}"/>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2 2" xfId="81" xr:uid="{F6D6A177-4C55-4B55-8BE4-D01FA8327C22}"/>
    <cellStyle name="Normal 3 3" xfId="63" xr:uid="{00000000-0005-0000-0000-000028000000}"/>
    <cellStyle name="Normal 4" xfId="17" xr:uid="{00000000-0005-0000-0000-000029000000}"/>
    <cellStyle name="Normal 4 2" xfId="47" xr:uid="{00000000-0005-0000-0000-00002A000000}"/>
    <cellStyle name="Normal 4 2 2" xfId="82" xr:uid="{4CBF89F8-FE75-42EA-AA7D-B9455AF1FD0F}"/>
    <cellStyle name="Normal 5" xfId="18" xr:uid="{00000000-0005-0000-0000-00002B000000}"/>
    <cellStyle name="Normal 5 2" xfId="48" xr:uid="{00000000-0005-0000-0000-00002C000000}"/>
    <cellStyle name="Normal 5 2 2" xfId="83" xr:uid="{8A431AE4-189A-411C-A6F4-4D69B7F7D7A5}"/>
    <cellStyle name="Normal 5 3" xfId="70" xr:uid="{C794ECE6-80C1-496E-9BAB-7CB542AF1EFB}"/>
    <cellStyle name="Normal 6" xfId="19" xr:uid="{00000000-0005-0000-0000-00002D000000}"/>
    <cellStyle name="Normal 6 2" xfId="49" xr:uid="{00000000-0005-0000-0000-00002E000000}"/>
    <cellStyle name="Normal 6 2 2" xfId="84" xr:uid="{DFD0D7A0-6393-4460-8E26-24B6AF12E6B2}"/>
    <cellStyle name="Normal 7" xfId="20" xr:uid="{00000000-0005-0000-0000-00002F000000}"/>
    <cellStyle name="Normal 7 2" xfId="50" xr:uid="{00000000-0005-0000-0000-000030000000}"/>
    <cellStyle name="Normal 7 2 2" xfId="85" xr:uid="{775F5B43-C6A9-4182-B2D8-847612C8A036}"/>
    <cellStyle name="Normal 8" xfId="21" xr:uid="{00000000-0005-0000-0000-000031000000}"/>
    <cellStyle name="Normal 8 2" xfId="51" xr:uid="{00000000-0005-0000-0000-000032000000}"/>
    <cellStyle name="Normal 8 2 2" xfId="86" xr:uid="{0F183685-0E00-4689-A488-B9CB4838891D}"/>
    <cellStyle name="Normal 8 3" xfId="71" xr:uid="{58D39650-5239-4803-A0B6-5046C023C9BD}"/>
    <cellStyle name="Normal 9" xfId="22" xr:uid="{00000000-0005-0000-0000-000033000000}"/>
    <cellStyle name="Normal 9 2" xfId="52" xr:uid="{00000000-0005-0000-0000-000034000000}"/>
    <cellStyle name="Normal 9 2 2" xfId="87" xr:uid="{20313251-D061-4A7A-A6DB-9A2099558CCE}"/>
    <cellStyle name="Normal 9 3" xfId="72" xr:uid="{D6F595A5-A9DA-4038-A62E-93183F585572}"/>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 name="Porcentual 4 2" xfId="73" xr:uid="{4162BF8A-B96D-45B4-A8D1-BC0CE93AB9EA}"/>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56" Type="http://schemas.openxmlformats.org/officeDocument/2006/relationships/externalLink" Target="externalLinks/externalLink17.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77" Type="http://schemas.openxmlformats.org/officeDocument/2006/relationships/externalLink" Target="externalLinks/externalLink38.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theme" Target="theme/theme1.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1793034576"/>
        <c:axId val="1793043824"/>
      </c:lineChart>
      <c:catAx>
        <c:axId val="1793034576"/>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1793043824"/>
        <c:crosses val="autoZero"/>
        <c:auto val="0"/>
        <c:lblAlgn val="ctr"/>
        <c:lblOffset val="100"/>
        <c:tickMarkSkip val="1"/>
        <c:noMultiLvlLbl val="0"/>
      </c:catAx>
      <c:valAx>
        <c:axId val="1793043824"/>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1793034576"/>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(2)'!$B$68:$B$100</c:f>
              <c:numCache>
                <c:formatCode>d\-mmm\-yy</c:formatCode>
                <c:ptCount val="33"/>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pt idx="32">
                  <c:v>44620</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(2)'!$B$68:$B$100</c:f>
              <c:numCache>
                <c:formatCode>d\-mmm\-yy</c:formatCode>
                <c:ptCount val="33"/>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pt idx="32">
                  <c:v>44620</c:v>
                </c:pt>
              </c:numCache>
            </c:numRef>
          </c:cat>
          <c:val>
            <c:numRef>
              <c:f>'Curvaa SN (2)'!$H$68:$H$100</c:f>
              <c:numCache>
                <c:formatCode>0.00%</c:formatCode>
                <c:ptCount val="33"/>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0.67598766276508071</c:v>
                </c:pt>
                <c:pt idx="32">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B3-4540-8164-EF6D7D693069}"/>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B3-4540-8164-EF6D7D6930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(2)'!$B$68:$B$100</c:f>
              <c:numCache>
                <c:formatCode>d\-mmm\-yy</c:formatCode>
                <c:ptCount val="33"/>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pt idx="32">
                  <c:v>44620</c:v>
                </c:pt>
              </c:numCache>
            </c:numRef>
          </c:cat>
          <c:val>
            <c:numRef>
              <c:f>'Curvaa SN (2)'!$K$68:$K$100</c:f>
              <c:numCache>
                <c:formatCode>0.00%</c:formatCode>
                <c:ptCount val="33"/>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0.57611279724198372</c:v>
                </c:pt>
                <c:pt idx="31">
                  <c:v>0.59477853326512242</c:v>
                </c:pt>
                <c:pt idx="32">
                  <c:v>0.60753641582080098</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1793040560"/>
        <c:axId val="1793038928"/>
      </c:lineChart>
      <c:catAx>
        <c:axId val="179304056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1793038928"/>
        <c:crosses val="autoZero"/>
        <c:auto val="0"/>
        <c:lblAlgn val="ctr"/>
        <c:lblOffset val="100"/>
        <c:tickMarkSkip val="1"/>
        <c:noMultiLvlLbl val="0"/>
      </c:catAx>
      <c:valAx>
        <c:axId val="1793038928"/>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179304056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7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7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638175</xdr:colOff>
          <xdr:row>0</xdr:row>
          <xdr:rowOff>104775</xdr:rowOff>
        </xdr:from>
        <xdr:to>
          <xdr:col>10</xdr:col>
          <xdr:colOff>838200</xdr:colOff>
          <xdr:row>6</xdr:row>
          <xdr:rowOff>104775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104775</xdr:rowOff>
        </xdr:from>
        <xdr:to>
          <xdr:col>10</xdr:col>
          <xdr:colOff>790575</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VAL%2031%20ENERO_2022%20PY%20SANTA%20ROSA\FINANCIERO%20ENERO202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NOVIEMBRE%202021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ISNTALACIONES%20SANITARIA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_METRADO%20_ELECTRIC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alorizacion%20especiales%20SANTA%20ROSA%202021%20NOVIEMBRE.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EXPEDIENTE%20COLEGIO%20SANTA%20ROSA\VALORIZACIONES\VALORIZACIONES%202021\4%20ABRIL%202021\01.%20VAL.%20SANTA%20ROSA%20ABRIL%202021%20ACTUALIZADO.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VALORIZACION%20N%2030%20DICIEMBRE%202021_PY%20SANTA%20ROSA.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INFORMES\INFORME%20N&#176;03%20JULIO\COL.SANTA%20ROSA\01.%20VAL.%20SANTA%20NROSA%20JULIO%20ultimo.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_KEVIN.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4.0%20INFORME%20MENSUAL%20PICHIUCA%20JULIO%202017\01.%20VAL.%20PICHIUCA%20JULIO%202017.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KEVIN/Downloads/FINANCIERO%20ABRIL%202022ACTUALIZADO%20SANTA%20ROSA.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Users\userr\Downloads\JEAN-7\VALORIZACI&#211;N%20OCTUBRE%20LUCUCHANGA\METRADOS\OCTUBRE\ESTRUCTURA%20BLOQUE%20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v>0</v>
          </cell>
          <cell r="G7" t="str">
            <v xml:space="preserve">AL </v>
          </cell>
          <cell r="H7">
            <v>0</v>
          </cell>
          <cell r="I7">
            <v>0</v>
          </cell>
          <cell r="J7">
            <v>0</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v>0</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v>0</v>
          </cell>
        </row>
        <row r="33">
          <cell r="A33" t="str">
            <v>65.11.29</v>
          </cell>
          <cell r="B33" t="str">
            <v>MATERIALES  DE  CONSTRUCCION</v>
          </cell>
          <cell r="I33">
            <v>0</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v>0</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v>0</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v>0</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v>0</v>
          </cell>
          <cell r="J55">
            <v>0</v>
          </cell>
        </row>
        <row r="56">
          <cell r="B56" t="str">
            <v>Combas de 12 lb.</v>
          </cell>
          <cell r="C56" t="str">
            <v>Und.</v>
          </cell>
          <cell r="D56">
            <v>6</v>
          </cell>
          <cell r="F56">
            <v>6</v>
          </cell>
          <cell r="I56">
            <v>0</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v>0</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37">
          <cell r="S37">
            <v>15810</v>
          </cell>
        </row>
        <row r="73">
          <cell r="R73">
            <v>1597550.3358379998</v>
          </cell>
        </row>
      </sheetData>
      <sheetData sheetId="3" refreshError="1"/>
      <sheetData sheetId="4" refreshError="1"/>
      <sheetData sheetId="5">
        <row r="34">
          <cell r="C34">
            <v>61</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IFIESTO DE GASTO ENERO-2022"/>
      <sheetName val="F5 ENERO-2022"/>
      <sheetName val="F6 ENERO-2022"/>
      <sheetName val="formato 12"/>
    </sheetNames>
    <sheetDataSet>
      <sheetData sheetId="0" refreshError="1"/>
      <sheetData sheetId="1" refreshError="1"/>
      <sheetData sheetId="2" refreshError="1">
        <row r="15">
          <cell r="E15">
            <v>1075984.29</v>
          </cell>
          <cell r="H15">
            <v>1156616.33</v>
          </cell>
        </row>
      </sheetData>
      <sheetData sheetId="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row r="4">
          <cell r="C4" t="str">
            <v>MES AL 31 DE MARZO DEL 2021</v>
          </cell>
        </row>
      </sheetData>
      <sheetData sheetId="4"/>
      <sheetData sheetId="5"/>
      <sheetData sheetId="6"/>
      <sheetData sheetId="7"/>
      <sheetData sheetId="8">
        <row r="5">
          <cell r="B5" t="str">
            <v>MEJORAMIENTO DE LOS SERVICIOS EDUCATIVOS EN LA I.E.S. JUAN ANTONIO TRELLES DE HUANCARAMA, DISTRITO DE HUANCARAMA, PROVINCIA DE ANDAHUAYLAS, REGION APURIMAC</v>
          </cell>
        </row>
      </sheetData>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dic"/>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1">
          <cell r="H41">
            <v>13052165.080509864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IFIESTO DEGASTO MARZO-2022"/>
      <sheetName val="F5 MARZO-2022"/>
      <sheetName val="F6 MARZO-2022"/>
      <sheetName val="formato 12"/>
    </sheetNames>
    <sheetDataSet>
      <sheetData sheetId="0"/>
      <sheetData sheetId="1"/>
      <sheetData sheetId="2">
        <row r="29">
          <cell r="L29">
            <v>55810.67</v>
          </cell>
        </row>
      </sheetData>
      <sheetData sheetId="3"/>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3.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4.xml"/><Relationship Id="rId1" Type="http://schemas.openxmlformats.org/officeDocument/2006/relationships/printerSettings" Target="../printerSettings/printerSettings30.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2.75"/>
  <cols>
    <col min="1" max="1" width="12.5703125" style="18" customWidth="1"/>
    <col min="2" max="2" width="95.5703125" style="18" customWidth="1"/>
    <col min="3" max="3" width="6.42578125" style="97" bestFit="1" customWidth="1"/>
    <col min="4" max="5" width="8.5703125" style="26" customWidth="1"/>
    <col min="6" max="6" width="14.5703125" style="26" customWidth="1"/>
    <col min="7" max="7" width="7.5703125" style="97" bestFit="1" customWidth="1"/>
    <col min="8" max="8" width="13" style="97" bestFit="1" customWidth="1"/>
    <col min="9" max="9" width="8.5703125" style="516" bestFit="1" customWidth="1"/>
    <col min="10" max="10" width="13" style="97" bestFit="1" customWidth="1"/>
    <col min="11" max="11" width="8.42578125" style="97" bestFit="1" customWidth="1"/>
    <col min="12" max="12" width="13" style="97" bestFit="1" customWidth="1"/>
    <col min="13" max="13" width="10.5703125" style="97" customWidth="1"/>
    <col min="14" max="14" width="8.42578125" style="18" customWidth="1"/>
    <col min="15" max="15" width="13.5703125" style="18" bestFit="1" customWidth="1"/>
    <col min="16" max="16" width="8.42578125" style="18" customWidth="1"/>
    <col min="17" max="17" width="13" style="18" bestFit="1" customWidth="1"/>
    <col min="18" max="256" width="11.5703125" style="18"/>
    <col min="257" max="257" width="8.5703125" style="18" customWidth="1"/>
    <col min="258" max="258" width="50" style="18" customWidth="1"/>
    <col min="259" max="259" width="6.42578125" style="18" bestFit="1" customWidth="1"/>
    <col min="260" max="261" width="8.5703125" style="18" customWidth="1"/>
    <col min="262" max="262" width="11.42578125" style="18" bestFit="1" customWidth="1"/>
    <col min="263" max="263" width="7.5703125" style="18" bestFit="1" customWidth="1"/>
    <col min="264" max="264" width="11.5703125" style="18" bestFit="1"/>
    <col min="265" max="265" width="8" style="18" bestFit="1" customWidth="1"/>
    <col min="266" max="266" width="11.5703125" style="18" bestFit="1"/>
    <col min="267" max="267" width="8.42578125" style="18" bestFit="1" customWidth="1"/>
    <col min="268" max="268" width="11.5703125" style="18" bestFit="1"/>
    <col min="269" max="269" width="8.42578125" style="18" customWidth="1"/>
    <col min="270" max="270" width="7.42578125" style="18" bestFit="1" customWidth="1"/>
    <col min="271" max="271" width="11.5703125" style="18" bestFit="1"/>
    <col min="272" max="272" width="8.42578125" style="18" customWidth="1"/>
    <col min="273" max="273" width="13" style="18" bestFit="1" customWidth="1"/>
    <col min="274" max="512" width="11.5703125" style="18"/>
    <col min="513" max="513" width="8.5703125" style="18" customWidth="1"/>
    <col min="514" max="514" width="50" style="18" customWidth="1"/>
    <col min="515" max="515" width="6.42578125" style="18" bestFit="1" customWidth="1"/>
    <col min="516" max="517" width="8.5703125" style="18" customWidth="1"/>
    <col min="518" max="518" width="11.42578125" style="18" bestFit="1" customWidth="1"/>
    <col min="519" max="519" width="7.5703125" style="18" bestFit="1" customWidth="1"/>
    <col min="520" max="520" width="11.5703125" style="18" bestFit="1"/>
    <col min="521" max="521" width="8" style="18" bestFit="1" customWidth="1"/>
    <col min="522" max="522" width="11.5703125" style="18" bestFit="1"/>
    <col min="523" max="523" width="8.42578125" style="18" bestFit="1" customWidth="1"/>
    <col min="524" max="524" width="11.5703125" style="18" bestFit="1"/>
    <col min="525" max="525" width="8.42578125" style="18" customWidth="1"/>
    <col min="526" max="526" width="7.42578125" style="18" bestFit="1" customWidth="1"/>
    <col min="527" max="527" width="11.5703125" style="18" bestFit="1"/>
    <col min="528" max="528" width="8.42578125" style="18" customWidth="1"/>
    <col min="529" max="529" width="13" style="18" bestFit="1" customWidth="1"/>
    <col min="530" max="768" width="11.5703125" style="18"/>
    <col min="769" max="769" width="8.5703125" style="18" customWidth="1"/>
    <col min="770" max="770" width="50" style="18" customWidth="1"/>
    <col min="771" max="771" width="6.42578125" style="18" bestFit="1" customWidth="1"/>
    <col min="772" max="773" width="8.5703125" style="18" customWidth="1"/>
    <col min="774" max="774" width="11.42578125" style="18" bestFit="1" customWidth="1"/>
    <col min="775" max="775" width="7.5703125" style="18" bestFit="1" customWidth="1"/>
    <col min="776" max="776" width="11.5703125" style="18" bestFit="1"/>
    <col min="777" max="777" width="8" style="18" bestFit="1" customWidth="1"/>
    <col min="778" max="778" width="11.5703125" style="18" bestFit="1"/>
    <col min="779" max="779" width="8.42578125" style="18" bestFit="1" customWidth="1"/>
    <col min="780" max="780" width="11.5703125" style="18" bestFit="1"/>
    <col min="781" max="781" width="8.42578125" style="18" customWidth="1"/>
    <col min="782" max="782" width="7.42578125" style="18" bestFit="1" customWidth="1"/>
    <col min="783" max="783" width="11.5703125" style="18" bestFit="1"/>
    <col min="784" max="784" width="8.42578125" style="18" customWidth="1"/>
    <col min="785" max="785" width="13" style="18" bestFit="1" customWidth="1"/>
    <col min="786" max="1024" width="11.5703125" style="18"/>
    <col min="1025" max="1025" width="8.5703125" style="18" customWidth="1"/>
    <col min="1026" max="1026" width="50" style="18" customWidth="1"/>
    <col min="1027" max="1027" width="6.42578125" style="18" bestFit="1" customWidth="1"/>
    <col min="1028" max="1029" width="8.5703125" style="18" customWidth="1"/>
    <col min="1030" max="1030" width="11.42578125" style="18" bestFit="1" customWidth="1"/>
    <col min="1031" max="1031" width="7.5703125" style="18" bestFit="1" customWidth="1"/>
    <col min="1032" max="1032" width="11.5703125" style="18" bestFit="1"/>
    <col min="1033" max="1033" width="8" style="18" bestFit="1" customWidth="1"/>
    <col min="1034" max="1034" width="11.5703125" style="18" bestFit="1"/>
    <col min="1035" max="1035" width="8.42578125" style="18" bestFit="1" customWidth="1"/>
    <col min="1036" max="1036" width="11.5703125" style="18" bestFit="1"/>
    <col min="1037" max="1037" width="8.42578125" style="18" customWidth="1"/>
    <col min="1038" max="1038" width="7.42578125" style="18" bestFit="1" customWidth="1"/>
    <col min="1039" max="1039" width="11.5703125" style="18" bestFit="1"/>
    <col min="1040" max="1040" width="8.42578125" style="18" customWidth="1"/>
    <col min="1041" max="1041" width="13" style="18" bestFit="1" customWidth="1"/>
    <col min="1042" max="1280" width="11.5703125" style="18"/>
    <col min="1281" max="1281" width="8.5703125" style="18" customWidth="1"/>
    <col min="1282" max="1282" width="50" style="18" customWidth="1"/>
    <col min="1283" max="1283" width="6.42578125" style="18" bestFit="1" customWidth="1"/>
    <col min="1284" max="1285" width="8.5703125" style="18" customWidth="1"/>
    <col min="1286" max="1286" width="11.42578125" style="18" bestFit="1" customWidth="1"/>
    <col min="1287" max="1287" width="7.5703125" style="18" bestFit="1" customWidth="1"/>
    <col min="1288" max="1288" width="11.5703125" style="18" bestFit="1"/>
    <col min="1289" max="1289" width="8" style="18" bestFit="1" customWidth="1"/>
    <col min="1290" max="1290" width="11.5703125" style="18" bestFit="1"/>
    <col min="1291" max="1291" width="8.42578125" style="18" bestFit="1" customWidth="1"/>
    <col min="1292" max="1292" width="11.5703125" style="18" bestFit="1"/>
    <col min="1293" max="1293" width="8.42578125" style="18" customWidth="1"/>
    <col min="1294" max="1294" width="7.42578125" style="18" bestFit="1" customWidth="1"/>
    <col min="1295" max="1295" width="11.5703125" style="18" bestFit="1"/>
    <col min="1296" max="1296" width="8.42578125" style="18" customWidth="1"/>
    <col min="1297" max="1297" width="13" style="18" bestFit="1" customWidth="1"/>
    <col min="1298" max="1536" width="11.5703125" style="18"/>
    <col min="1537" max="1537" width="8.5703125" style="18" customWidth="1"/>
    <col min="1538" max="1538" width="50" style="18" customWidth="1"/>
    <col min="1539" max="1539" width="6.42578125" style="18" bestFit="1" customWidth="1"/>
    <col min="1540" max="1541" width="8.5703125" style="18" customWidth="1"/>
    <col min="1542" max="1542" width="11.42578125" style="18" bestFit="1" customWidth="1"/>
    <col min="1543" max="1543" width="7.5703125" style="18" bestFit="1" customWidth="1"/>
    <col min="1544" max="1544" width="11.5703125" style="18" bestFit="1"/>
    <col min="1545" max="1545" width="8" style="18" bestFit="1" customWidth="1"/>
    <col min="1546" max="1546" width="11.5703125" style="18" bestFit="1"/>
    <col min="1547" max="1547" width="8.42578125" style="18" bestFit="1" customWidth="1"/>
    <col min="1548" max="1548" width="11.5703125" style="18" bestFit="1"/>
    <col min="1549" max="1549" width="8.42578125" style="18" customWidth="1"/>
    <col min="1550" max="1550" width="7.42578125" style="18" bestFit="1" customWidth="1"/>
    <col min="1551" max="1551" width="11.5703125" style="18" bestFit="1"/>
    <col min="1552" max="1552" width="8.42578125" style="18" customWidth="1"/>
    <col min="1553" max="1553" width="13" style="18" bestFit="1" customWidth="1"/>
    <col min="1554" max="1792" width="11.5703125" style="18"/>
    <col min="1793" max="1793" width="8.5703125" style="18" customWidth="1"/>
    <col min="1794" max="1794" width="50" style="18" customWidth="1"/>
    <col min="1795" max="1795" width="6.42578125" style="18" bestFit="1" customWidth="1"/>
    <col min="1796" max="1797" width="8.5703125" style="18" customWidth="1"/>
    <col min="1798" max="1798" width="11.42578125" style="18" bestFit="1" customWidth="1"/>
    <col min="1799" max="1799" width="7.5703125" style="18" bestFit="1" customWidth="1"/>
    <col min="1800" max="1800" width="11.5703125" style="18" bestFit="1"/>
    <col min="1801" max="1801" width="8" style="18" bestFit="1" customWidth="1"/>
    <col min="1802" max="1802" width="11.5703125" style="18" bestFit="1"/>
    <col min="1803" max="1803" width="8.42578125" style="18" bestFit="1" customWidth="1"/>
    <col min="1804" max="1804" width="11.5703125" style="18" bestFit="1"/>
    <col min="1805" max="1805" width="8.42578125" style="18" customWidth="1"/>
    <col min="1806" max="1806" width="7.42578125" style="18" bestFit="1" customWidth="1"/>
    <col min="1807" max="1807" width="11.5703125" style="18" bestFit="1"/>
    <col min="1808" max="1808" width="8.42578125" style="18" customWidth="1"/>
    <col min="1809" max="1809" width="13" style="18" bestFit="1" customWidth="1"/>
    <col min="1810" max="2048" width="11.5703125" style="18"/>
    <col min="2049" max="2049" width="8.5703125" style="18" customWidth="1"/>
    <col min="2050" max="2050" width="50" style="18" customWidth="1"/>
    <col min="2051" max="2051" width="6.42578125" style="18" bestFit="1" customWidth="1"/>
    <col min="2052" max="2053" width="8.5703125" style="18" customWidth="1"/>
    <col min="2054" max="2054" width="11.42578125" style="18" bestFit="1" customWidth="1"/>
    <col min="2055" max="2055" width="7.5703125" style="18" bestFit="1" customWidth="1"/>
    <col min="2056" max="2056" width="11.5703125" style="18" bestFit="1"/>
    <col min="2057" max="2057" width="8" style="18" bestFit="1" customWidth="1"/>
    <col min="2058" max="2058" width="11.5703125" style="18" bestFit="1"/>
    <col min="2059" max="2059" width="8.42578125" style="18" bestFit="1" customWidth="1"/>
    <col min="2060" max="2060" width="11.5703125" style="18" bestFit="1"/>
    <col min="2061" max="2061" width="8.42578125" style="18" customWidth="1"/>
    <col min="2062" max="2062" width="7.42578125" style="18" bestFit="1" customWidth="1"/>
    <col min="2063" max="2063" width="11.5703125" style="18" bestFit="1"/>
    <col min="2064" max="2064" width="8.42578125" style="18" customWidth="1"/>
    <col min="2065" max="2065" width="13" style="18" bestFit="1" customWidth="1"/>
    <col min="2066" max="2304" width="11.5703125" style="18"/>
    <col min="2305" max="2305" width="8.5703125" style="18" customWidth="1"/>
    <col min="2306" max="2306" width="50" style="18" customWidth="1"/>
    <col min="2307" max="2307" width="6.42578125" style="18" bestFit="1" customWidth="1"/>
    <col min="2308" max="2309" width="8.5703125" style="18" customWidth="1"/>
    <col min="2310" max="2310" width="11.42578125" style="18" bestFit="1" customWidth="1"/>
    <col min="2311" max="2311" width="7.5703125" style="18" bestFit="1" customWidth="1"/>
    <col min="2312" max="2312" width="11.5703125" style="18" bestFit="1"/>
    <col min="2313" max="2313" width="8" style="18" bestFit="1" customWidth="1"/>
    <col min="2314" max="2314" width="11.5703125" style="18" bestFit="1"/>
    <col min="2315" max="2315" width="8.42578125" style="18" bestFit="1" customWidth="1"/>
    <col min="2316" max="2316" width="11.5703125" style="18" bestFit="1"/>
    <col min="2317" max="2317" width="8.42578125" style="18" customWidth="1"/>
    <col min="2318" max="2318" width="7.42578125" style="18" bestFit="1" customWidth="1"/>
    <col min="2319" max="2319" width="11.5703125" style="18" bestFit="1"/>
    <col min="2320" max="2320" width="8.42578125" style="18" customWidth="1"/>
    <col min="2321" max="2321" width="13" style="18" bestFit="1" customWidth="1"/>
    <col min="2322" max="2560" width="11.5703125" style="18"/>
    <col min="2561" max="2561" width="8.5703125" style="18" customWidth="1"/>
    <col min="2562" max="2562" width="50" style="18" customWidth="1"/>
    <col min="2563" max="2563" width="6.42578125" style="18" bestFit="1" customWidth="1"/>
    <col min="2564" max="2565" width="8.5703125" style="18" customWidth="1"/>
    <col min="2566" max="2566" width="11.42578125" style="18" bestFit="1" customWidth="1"/>
    <col min="2567" max="2567" width="7.5703125" style="18" bestFit="1" customWidth="1"/>
    <col min="2568" max="2568" width="11.5703125" style="18" bestFit="1"/>
    <col min="2569" max="2569" width="8" style="18" bestFit="1" customWidth="1"/>
    <col min="2570" max="2570" width="11.5703125" style="18" bestFit="1"/>
    <col min="2571" max="2571" width="8.42578125" style="18" bestFit="1" customWidth="1"/>
    <col min="2572" max="2572" width="11.5703125" style="18" bestFit="1"/>
    <col min="2573" max="2573" width="8.42578125" style="18" customWidth="1"/>
    <col min="2574" max="2574" width="7.42578125" style="18" bestFit="1" customWidth="1"/>
    <col min="2575" max="2575" width="11.5703125" style="18" bestFit="1"/>
    <col min="2576" max="2576" width="8.42578125" style="18" customWidth="1"/>
    <col min="2577" max="2577" width="13" style="18" bestFit="1" customWidth="1"/>
    <col min="2578" max="2816" width="11.5703125" style="18"/>
    <col min="2817" max="2817" width="8.5703125" style="18" customWidth="1"/>
    <col min="2818" max="2818" width="50" style="18" customWidth="1"/>
    <col min="2819" max="2819" width="6.42578125" style="18" bestFit="1" customWidth="1"/>
    <col min="2820" max="2821" width="8.5703125" style="18" customWidth="1"/>
    <col min="2822" max="2822" width="11.42578125" style="18" bestFit="1" customWidth="1"/>
    <col min="2823" max="2823" width="7.5703125" style="18" bestFit="1" customWidth="1"/>
    <col min="2824" max="2824" width="11.5703125" style="18" bestFit="1"/>
    <col min="2825" max="2825" width="8" style="18" bestFit="1" customWidth="1"/>
    <col min="2826" max="2826" width="11.5703125" style="18" bestFit="1"/>
    <col min="2827" max="2827" width="8.42578125" style="18" bestFit="1" customWidth="1"/>
    <col min="2828" max="2828" width="11.5703125" style="18" bestFit="1"/>
    <col min="2829" max="2829" width="8.42578125" style="18" customWidth="1"/>
    <col min="2830" max="2830" width="7.42578125" style="18" bestFit="1" customWidth="1"/>
    <col min="2831" max="2831" width="11.5703125" style="18" bestFit="1"/>
    <col min="2832" max="2832" width="8.42578125" style="18" customWidth="1"/>
    <col min="2833" max="2833" width="13" style="18" bestFit="1" customWidth="1"/>
    <col min="2834" max="3072" width="11.5703125" style="18"/>
    <col min="3073" max="3073" width="8.5703125" style="18" customWidth="1"/>
    <col min="3074" max="3074" width="50" style="18" customWidth="1"/>
    <col min="3075" max="3075" width="6.42578125" style="18" bestFit="1" customWidth="1"/>
    <col min="3076" max="3077" width="8.5703125" style="18" customWidth="1"/>
    <col min="3078" max="3078" width="11.42578125" style="18" bestFit="1" customWidth="1"/>
    <col min="3079" max="3079" width="7.5703125" style="18" bestFit="1" customWidth="1"/>
    <col min="3080" max="3080" width="11.5703125" style="18" bestFit="1"/>
    <col min="3081" max="3081" width="8" style="18" bestFit="1" customWidth="1"/>
    <col min="3082" max="3082" width="11.5703125" style="18" bestFit="1"/>
    <col min="3083" max="3083" width="8.42578125" style="18" bestFit="1" customWidth="1"/>
    <col min="3084" max="3084" width="11.5703125" style="18" bestFit="1"/>
    <col min="3085" max="3085" width="8.42578125" style="18" customWidth="1"/>
    <col min="3086" max="3086" width="7.42578125" style="18" bestFit="1" customWidth="1"/>
    <col min="3087" max="3087" width="11.5703125" style="18" bestFit="1"/>
    <col min="3088" max="3088" width="8.42578125" style="18" customWidth="1"/>
    <col min="3089" max="3089" width="13" style="18" bestFit="1" customWidth="1"/>
    <col min="3090" max="3328" width="11.5703125" style="18"/>
    <col min="3329" max="3329" width="8.5703125" style="18" customWidth="1"/>
    <col min="3330" max="3330" width="50" style="18" customWidth="1"/>
    <col min="3331" max="3331" width="6.42578125" style="18" bestFit="1" customWidth="1"/>
    <col min="3332" max="3333" width="8.5703125" style="18" customWidth="1"/>
    <col min="3334" max="3334" width="11.42578125" style="18" bestFit="1" customWidth="1"/>
    <col min="3335" max="3335" width="7.5703125" style="18" bestFit="1" customWidth="1"/>
    <col min="3336" max="3336" width="11.5703125" style="18" bestFit="1"/>
    <col min="3337" max="3337" width="8" style="18" bestFit="1" customWidth="1"/>
    <col min="3338" max="3338" width="11.5703125" style="18" bestFit="1"/>
    <col min="3339" max="3339" width="8.42578125" style="18" bestFit="1" customWidth="1"/>
    <col min="3340" max="3340" width="11.5703125" style="18" bestFit="1"/>
    <col min="3341" max="3341" width="8.42578125" style="18" customWidth="1"/>
    <col min="3342" max="3342" width="7.42578125" style="18" bestFit="1" customWidth="1"/>
    <col min="3343" max="3343" width="11.5703125" style="18" bestFit="1"/>
    <col min="3344" max="3344" width="8.42578125" style="18" customWidth="1"/>
    <col min="3345" max="3345" width="13" style="18" bestFit="1" customWidth="1"/>
    <col min="3346" max="3584" width="11.5703125" style="18"/>
    <col min="3585" max="3585" width="8.5703125" style="18" customWidth="1"/>
    <col min="3586" max="3586" width="50" style="18" customWidth="1"/>
    <col min="3587" max="3587" width="6.42578125" style="18" bestFit="1" customWidth="1"/>
    <col min="3588" max="3589" width="8.5703125" style="18" customWidth="1"/>
    <col min="3590" max="3590" width="11.42578125" style="18" bestFit="1" customWidth="1"/>
    <col min="3591" max="3591" width="7.5703125" style="18" bestFit="1" customWidth="1"/>
    <col min="3592" max="3592" width="11.5703125" style="18" bestFit="1"/>
    <col min="3593" max="3593" width="8" style="18" bestFit="1" customWidth="1"/>
    <col min="3594" max="3594" width="11.5703125" style="18" bestFit="1"/>
    <col min="3595" max="3595" width="8.42578125" style="18" bestFit="1" customWidth="1"/>
    <col min="3596" max="3596" width="11.5703125" style="18" bestFit="1"/>
    <col min="3597" max="3597" width="8.42578125" style="18" customWidth="1"/>
    <col min="3598" max="3598" width="7.42578125" style="18" bestFit="1" customWidth="1"/>
    <col min="3599" max="3599" width="11.5703125" style="18" bestFit="1"/>
    <col min="3600" max="3600" width="8.42578125" style="18" customWidth="1"/>
    <col min="3601" max="3601" width="13" style="18" bestFit="1" customWidth="1"/>
    <col min="3602" max="3840" width="11.5703125" style="18"/>
    <col min="3841" max="3841" width="8.5703125" style="18" customWidth="1"/>
    <col min="3842" max="3842" width="50" style="18" customWidth="1"/>
    <col min="3843" max="3843" width="6.42578125" style="18" bestFit="1" customWidth="1"/>
    <col min="3844" max="3845" width="8.5703125" style="18" customWidth="1"/>
    <col min="3846" max="3846" width="11.42578125" style="18" bestFit="1" customWidth="1"/>
    <col min="3847" max="3847" width="7.5703125" style="18" bestFit="1" customWidth="1"/>
    <col min="3848" max="3848" width="11.5703125" style="18" bestFit="1"/>
    <col min="3849" max="3849" width="8" style="18" bestFit="1" customWidth="1"/>
    <col min="3850" max="3850" width="11.5703125" style="18" bestFit="1"/>
    <col min="3851" max="3851" width="8.42578125" style="18" bestFit="1" customWidth="1"/>
    <col min="3852" max="3852" width="11.5703125" style="18" bestFit="1"/>
    <col min="3853" max="3853" width="8.42578125" style="18" customWidth="1"/>
    <col min="3854" max="3854" width="7.42578125" style="18" bestFit="1" customWidth="1"/>
    <col min="3855" max="3855" width="11.5703125" style="18" bestFit="1"/>
    <col min="3856" max="3856" width="8.42578125" style="18" customWidth="1"/>
    <col min="3857" max="3857" width="13" style="18" bestFit="1" customWidth="1"/>
    <col min="3858" max="4096" width="11.5703125" style="18"/>
    <col min="4097" max="4097" width="8.5703125" style="18" customWidth="1"/>
    <col min="4098" max="4098" width="50" style="18" customWidth="1"/>
    <col min="4099" max="4099" width="6.42578125" style="18" bestFit="1" customWidth="1"/>
    <col min="4100" max="4101" width="8.5703125" style="18" customWidth="1"/>
    <col min="4102" max="4102" width="11.42578125" style="18" bestFit="1" customWidth="1"/>
    <col min="4103" max="4103" width="7.5703125" style="18" bestFit="1" customWidth="1"/>
    <col min="4104" max="4104" width="11.5703125" style="18" bestFit="1"/>
    <col min="4105" max="4105" width="8" style="18" bestFit="1" customWidth="1"/>
    <col min="4106" max="4106" width="11.5703125" style="18" bestFit="1"/>
    <col min="4107" max="4107" width="8.42578125" style="18" bestFit="1" customWidth="1"/>
    <col min="4108" max="4108" width="11.5703125" style="18" bestFit="1"/>
    <col min="4109" max="4109" width="8.42578125" style="18" customWidth="1"/>
    <col min="4110" max="4110" width="7.42578125" style="18" bestFit="1" customWidth="1"/>
    <col min="4111" max="4111" width="11.5703125" style="18" bestFit="1"/>
    <col min="4112" max="4112" width="8.42578125" style="18" customWidth="1"/>
    <col min="4113" max="4113" width="13" style="18" bestFit="1" customWidth="1"/>
    <col min="4114" max="4352" width="11.5703125" style="18"/>
    <col min="4353" max="4353" width="8.5703125" style="18" customWidth="1"/>
    <col min="4354" max="4354" width="50" style="18" customWidth="1"/>
    <col min="4355" max="4355" width="6.42578125" style="18" bestFit="1" customWidth="1"/>
    <col min="4356" max="4357" width="8.5703125" style="18" customWidth="1"/>
    <col min="4358" max="4358" width="11.42578125" style="18" bestFit="1" customWidth="1"/>
    <col min="4359" max="4359" width="7.5703125" style="18" bestFit="1" customWidth="1"/>
    <col min="4360" max="4360" width="11.5703125" style="18" bestFit="1"/>
    <col min="4361" max="4361" width="8" style="18" bestFit="1" customWidth="1"/>
    <col min="4362" max="4362" width="11.5703125" style="18" bestFit="1"/>
    <col min="4363" max="4363" width="8.42578125" style="18" bestFit="1" customWidth="1"/>
    <col min="4364" max="4364" width="11.5703125" style="18" bestFit="1"/>
    <col min="4365" max="4365" width="8.42578125" style="18" customWidth="1"/>
    <col min="4366" max="4366" width="7.42578125" style="18" bestFit="1" customWidth="1"/>
    <col min="4367" max="4367" width="11.5703125" style="18" bestFit="1"/>
    <col min="4368" max="4368" width="8.42578125" style="18" customWidth="1"/>
    <col min="4369" max="4369" width="13" style="18" bestFit="1" customWidth="1"/>
    <col min="4370" max="4608" width="11.5703125" style="18"/>
    <col min="4609" max="4609" width="8.5703125" style="18" customWidth="1"/>
    <col min="4610" max="4610" width="50" style="18" customWidth="1"/>
    <col min="4611" max="4611" width="6.42578125" style="18" bestFit="1" customWidth="1"/>
    <col min="4612" max="4613" width="8.5703125" style="18" customWidth="1"/>
    <col min="4614" max="4614" width="11.42578125" style="18" bestFit="1" customWidth="1"/>
    <col min="4615" max="4615" width="7.5703125" style="18" bestFit="1" customWidth="1"/>
    <col min="4616" max="4616" width="11.5703125" style="18" bestFit="1"/>
    <col min="4617" max="4617" width="8" style="18" bestFit="1" customWidth="1"/>
    <col min="4618" max="4618" width="11.5703125" style="18" bestFit="1"/>
    <col min="4619" max="4619" width="8.42578125" style="18" bestFit="1" customWidth="1"/>
    <col min="4620" max="4620" width="11.5703125" style="18" bestFit="1"/>
    <col min="4621" max="4621" width="8.42578125" style="18" customWidth="1"/>
    <col min="4622" max="4622" width="7.42578125" style="18" bestFit="1" customWidth="1"/>
    <col min="4623" max="4623" width="11.5703125" style="18" bestFit="1"/>
    <col min="4624" max="4624" width="8.42578125" style="18" customWidth="1"/>
    <col min="4625" max="4625" width="13" style="18" bestFit="1" customWidth="1"/>
    <col min="4626" max="4864" width="11.5703125" style="18"/>
    <col min="4865" max="4865" width="8.5703125" style="18" customWidth="1"/>
    <col min="4866" max="4866" width="50" style="18" customWidth="1"/>
    <col min="4867" max="4867" width="6.42578125" style="18" bestFit="1" customWidth="1"/>
    <col min="4868" max="4869" width="8.5703125" style="18" customWidth="1"/>
    <col min="4870" max="4870" width="11.42578125" style="18" bestFit="1" customWidth="1"/>
    <col min="4871" max="4871" width="7.5703125" style="18" bestFit="1" customWidth="1"/>
    <col min="4872" max="4872" width="11.5703125" style="18" bestFit="1"/>
    <col min="4873" max="4873" width="8" style="18" bestFit="1" customWidth="1"/>
    <col min="4874" max="4874" width="11.5703125" style="18" bestFit="1"/>
    <col min="4875" max="4875" width="8.42578125" style="18" bestFit="1" customWidth="1"/>
    <col min="4876" max="4876" width="11.5703125" style="18" bestFit="1"/>
    <col min="4877" max="4877" width="8.42578125" style="18" customWidth="1"/>
    <col min="4878" max="4878" width="7.42578125" style="18" bestFit="1" customWidth="1"/>
    <col min="4879" max="4879" width="11.5703125" style="18" bestFit="1"/>
    <col min="4880" max="4880" width="8.42578125" style="18" customWidth="1"/>
    <col min="4881" max="4881" width="13" style="18" bestFit="1" customWidth="1"/>
    <col min="4882" max="5120" width="11.5703125" style="18"/>
    <col min="5121" max="5121" width="8.5703125" style="18" customWidth="1"/>
    <col min="5122" max="5122" width="50" style="18" customWidth="1"/>
    <col min="5123" max="5123" width="6.42578125" style="18" bestFit="1" customWidth="1"/>
    <col min="5124" max="5125" width="8.5703125" style="18" customWidth="1"/>
    <col min="5126" max="5126" width="11.42578125" style="18" bestFit="1" customWidth="1"/>
    <col min="5127" max="5127" width="7.5703125" style="18" bestFit="1" customWidth="1"/>
    <col min="5128" max="5128" width="11.5703125" style="18" bestFit="1"/>
    <col min="5129" max="5129" width="8" style="18" bestFit="1" customWidth="1"/>
    <col min="5130" max="5130" width="11.5703125" style="18" bestFit="1"/>
    <col min="5131" max="5131" width="8.42578125" style="18" bestFit="1" customWidth="1"/>
    <col min="5132" max="5132" width="11.5703125" style="18" bestFit="1"/>
    <col min="5133" max="5133" width="8.42578125" style="18" customWidth="1"/>
    <col min="5134" max="5134" width="7.42578125" style="18" bestFit="1" customWidth="1"/>
    <col min="5135" max="5135" width="11.5703125" style="18" bestFit="1"/>
    <col min="5136" max="5136" width="8.42578125" style="18" customWidth="1"/>
    <col min="5137" max="5137" width="13" style="18" bestFit="1" customWidth="1"/>
    <col min="5138" max="5376" width="11.5703125" style="18"/>
    <col min="5377" max="5377" width="8.5703125" style="18" customWidth="1"/>
    <col min="5378" max="5378" width="50" style="18" customWidth="1"/>
    <col min="5379" max="5379" width="6.42578125" style="18" bestFit="1" customWidth="1"/>
    <col min="5380" max="5381" width="8.5703125" style="18" customWidth="1"/>
    <col min="5382" max="5382" width="11.42578125" style="18" bestFit="1" customWidth="1"/>
    <col min="5383" max="5383" width="7.5703125" style="18" bestFit="1" customWidth="1"/>
    <col min="5384" max="5384" width="11.5703125" style="18" bestFit="1"/>
    <col min="5385" max="5385" width="8" style="18" bestFit="1" customWidth="1"/>
    <col min="5386" max="5386" width="11.5703125" style="18" bestFit="1"/>
    <col min="5387" max="5387" width="8.42578125" style="18" bestFit="1" customWidth="1"/>
    <col min="5388" max="5388" width="11.5703125" style="18" bestFit="1"/>
    <col min="5389" max="5389" width="8.42578125" style="18" customWidth="1"/>
    <col min="5390" max="5390" width="7.42578125" style="18" bestFit="1" customWidth="1"/>
    <col min="5391" max="5391" width="11.5703125" style="18" bestFit="1"/>
    <col min="5392" max="5392" width="8.42578125" style="18" customWidth="1"/>
    <col min="5393" max="5393" width="13" style="18" bestFit="1" customWidth="1"/>
    <col min="5394" max="5632" width="11.5703125" style="18"/>
    <col min="5633" max="5633" width="8.5703125" style="18" customWidth="1"/>
    <col min="5634" max="5634" width="50" style="18" customWidth="1"/>
    <col min="5635" max="5635" width="6.42578125" style="18" bestFit="1" customWidth="1"/>
    <col min="5636" max="5637" width="8.5703125" style="18" customWidth="1"/>
    <col min="5638" max="5638" width="11.42578125" style="18" bestFit="1" customWidth="1"/>
    <col min="5639" max="5639" width="7.5703125" style="18" bestFit="1" customWidth="1"/>
    <col min="5640" max="5640" width="11.5703125" style="18" bestFit="1"/>
    <col min="5641" max="5641" width="8" style="18" bestFit="1" customWidth="1"/>
    <col min="5642" max="5642" width="11.5703125" style="18" bestFit="1"/>
    <col min="5643" max="5643" width="8.42578125" style="18" bestFit="1" customWidth="1"/>
    <col min="5644" max="5644" width="11.5703125" style="18" bestFit="1"/>
    <col min="5645" max="5645" width="8.42578125" style="18" customWidth="1"/>
    <col min="5646" max="5646" width="7.42578125" style="18" bestFit="1" customWidth="1"/>
    <col min="5647" max="5647" width="11.5703125" style="18" bestFit="1"/>
    <col min="5648" max="5648" width="8.42578125" style="18" customWidth="1"/>
    <col min="5649" max="5649" width="13" style="18" bestFit="1" customWidth="1"/>
    <col min="5650" max="5888" width="11.5703125" style="18"/>
    <col min="5889" max="5889" width="8.5703125" style="18" customWidth="1"/>
    <col min="5890" max="5890" width="50" style="18" customWidth="1"/>
    <col min="5891" max="5891" width="6.42578125" style="18" bestFit="1" customWidth="1"/>
    <col min="5892" max="5893" width="8.5703125" style="18" customWidth="1"/>
    <col min="5894" max="5894" width="11.42578125" style="18" bestFit="1" customWidth="1"/>
    <col min="5895" max="5895" width="7.5703125" style="18" bestFit="1" customWidth="1"/>
    <col min="5896" max="5896" width="11.5703125" style="18" bestFit="1"/>
    <col min="5897" max="5897" width="8" style="18" bestFit="1" customWidth="1"/>
    <col min="5898" max="5898" width="11.5703125" style="18" bestFit="1"/>
    <col min="5899" max="5899" width="8.42578125" style="18" bestFit="1" customWidth="1"/>
    <col min="5900" max="5900" width="11.5703125" style="18" bestFit="1"/>
    <col min="5901" max="5901" width="8.42578125" style="18" customWidth="1"/>
    <col min="5902" max="5902" width="7.42578125" style="18" bestFit="1" customWidth="1"/>
    <col min="5903" max="5903" width="11.5703125" style="18" bestFit="1"/>
    <col min="5904" max="5904" width="8.42578125" style="18" customWidth="1"/>
    <col min="5905" max="5905" width="13" style="18" bestFit="1" customWidth="1"/>
    <col min="5906" max="6144" width="11.5703125" style="18"/>
    <col min="6145" max="6145" width="8.5703125" style="18" customWidth="1"/>
    <col min="6146" max="6146" width="50" style="18" customWidth="1"/>
    <col min="6147" max="6147" width="6.42578125" style="18" bestFit="1" customWidth="1"/>
    <col min="6148" max="6149" width="8.5703125" style="18" customWidth="1"/>
    <col min="6150" max="6150" width="11.42578125" style="18" bestFit="1" customWidth="1"/>
    <col min="6151" max="6151" width="7.5703125" style="18" bestFit="1" customWidth="1"/>
    <col min="6152" max="6152" width="11.5703125" style="18" bestFit="1"/>
    <col min="6153" max="6153" width="8" style="18" bestFit="1" customWidth="1"/>
    <col min="6154" max="6154" width="11.5703125" style="18" bestFit="1"/>
    <col min="6155" max="6155" width="8.42578125" style="18" bestFit="1" customWidth="1"/>
    <col min="6156" max="6156" width="11.5703125" style="18" bestFit="1"/>
    <col min="6157" max="6157" width="8.42578125" style="18" customWidth="1"/>
    <col min="6158" max="6158" width="7.42578125" style="18" bestFit="1" customWidth="1"/>
    <col min="6159" max="6159" width="11.5703125" style="18" bestFit="1"/>
    <col min="6160" max="6160" width="8.42578125" style="18" customWidth="1"/>
    <col min="6161" max="6161" width="13" style="18" bestFit="1" customWidth="1"/>
    <col min="6162" max="6400" width="11.5703125" style="18"/>
    <col min="6401" max="6401" width="8.5703125" style="18" customWidth="1"/>
    <col min="6402" max="6402" width="50" style="18" customWidth="1"/>
    <col min="6403" max="6403" width="6.42578125" style="18" bestFit="1" customWidth="1"/>
    <col min="6404" max="6405" width="8.5703125" style="18" customWidth="1"/>
    <col min="6406" max="6406" width="11.42578125" style="18" bestFit="1" customWidth="1"/>
    <col min="6407" max="6407" width="7.5703125" style="18" bestFit="1" customWidth="1"/>
    <col min="6408" max="6408" width="11.5703125" style="18" bestFit="1"/>
    <col min="6409" max="6409" width="8" style="18" bestFit="1" customWidth="1"/>
    <col min="6410" max="6410" width="11.5703125" style="18" bestFit="1"/>
    <col min="6411" max="6411" width="8.42578125" style="18" bestFit="1" customWidth="1"/>
    <col min="6412" max="6412" width="11.5703125" style="18" bestFit="1"/>
    <col min="6413" max="6413" width="8.42578125" style="18" customWidth="1"/>
    <col min="6414" max="6414" width="7.42578125" style="18" bestFit="1" customWidth="1"/>
    <col min="6415" max="6415" width="11.5703125" style="18" bestFit="1"/>
    <col min="6416" max="6416" width="8.42578125" style="18" customWidth="1"/>
    <col min="6417" max="6417" width="13" style="18" bestFit="1" customWidth="1"/>
    <col min="6418" max="6656" width="11.5703125" style="18"/>
    <col min="6657" max="6657" width="8.5703125" style="18" customWidth="1"/>
    <col min="6658" max="6658" width="50" style="18" customWidth="1"/>
    <col min="6659" max="6659" width="6.42578125" style="18" bestFit="1" customWidth="1"/>
    <col min="6660" max="6661" width="8.5703125" style="18" customWidth="1"/>
    <col min="6662" max="6662" width="11.42578125" style="18" bestFit="1" customWidth="1"/>
    <col min="6663" max="6663" width="7.5703125" style="18" bestFit="1" customWidth="1"/>
    <col min="6664" max="6664" width="11.5703125" style="18" bestFit="1"/>
    <col min="6665" max="6665" width="8" style="18" bestFit="1" customWidth="1"/>
    <col min="6666" max="6666" width="11.5703125" style="18" bestFit="1"/>
    <col min="6667" max="6667" width="8.42578125" style="18" bestFit="1" customWidth="1"/>
    <col min="6668" max="6668" width="11.5703125" style="18" bestFit="1"/>
    <col min="6669" max="6669" width="8.42578125" style="18" customWidth="1"/>
    <col min="6670" max="6670" width="7.42578125" style="18" bestFit="1" customWidth="1"/>
    <col min="6671" max="6671" width="11.5703125" style="18" bestFit="1"/>
    <col min="6672" max="6672" width="8.42578125" style="18" customWidth="1"/>
    <col min="6673" max="6673" width="13" style="18" bestFit="1" customWidth="1"/>
    <col min="6674" max="6912" width="11.5703125" style="18"/>
    <col min="6913" max="6913" width="8.5703125" style="18" customWidth="1"/>
    <col min="6914" max="6914" width="50" style="18" customWidth="1"/>
    <col min="6915" max="6915" width="6.42578125" style="18" bestFit="1" customWidth="1"/>
    <col min="6916" max="6917" width="8.5703125" style="18" customWidth="1"/>
    <col min="6918" max="6918" width="11.42578125" style="18" bestFit="1" customWidth="1"/>
    <col min="6919" max="6919" width="7.5703125" style="18" bestFit="1" customWidth="1"/>
    <col min="6920" max="6920" width="11.5703125" style="18" bestFit="1"/>
    <col min="6921" max="6921" width="8" style="18" bestFit="1" customWidth="1"/>
    <col min="6922" max="6922" width="11.5703125" style="18" bestFit="1"/>
    <col min="6923" max="6923" width="8.42578125" style="18" bestFit="1" customWidth="1"/>
    <col min="6924" max="6924" width="11.5703125" style="18" bestFit="1"/>
    <col min="6925" max="6925" width="8.42578125" style="18" customWidth="1"/>
    <col min="6926" max="6926" width="7.42578125" style="18" bestFit="1" customWidth="1"/>
    <col min="6927" max="6927" width="11.5703125" style="18" bestFit="1"/>
    <col min="6928" max="6928" width="8.42578125" style="18" customWidth="1"/>
    <col min="6929" max="6929" width="13" style="18" bestFit="1" customWidth="1"/>
    <col min="6930" max="7168" width="11.5703125" style="18"/>
    <col min="7169" max="7169" width="8.5703125" style="18" customWidth="1"/>
    <col min="7170" max="7170" width="50" style="18" customWidth="1"/>
    <col min="7171" max="7171" width="6.42578125" style="18" bestFit="1" customWidth="1"/>
    <col min="7172" max="7173" width="8.5703125" style="18" customWidth="1"/>
    <col min="7174" max="7174" width="11.42578125" style="18" bestFit="1" customWidth="1"/>
    <col min="7175" max="7175" width="7.5703125" style="18" bestFit="1" customWidth="1"/>
    <col min="7176" max="7176" width="11.5703125" style="18" bestFit="1"/>
    <col min="7177" max="7177" width="8" style="18" bestFit="1" customWidth="1"/>
    <col min="7178" max="7178" width="11.5703125" style="18" bestFit="1"/>
    <col min="7179" max="7179" width="8.42578125" style="18" bestFit="1" customWidth="1"/>
    <col min="7180" max="7180" width="11.5703125" style="18" bestFit="1"/>
    <col min="7181" max="7181" width="8.42578125" style="18" customWidth="1"/>
    <col min="7182" max="7182" width="7.42578125" style="18" bestFit="1" customWidth="1"/>
    <col min="7183" max="7183" width="11.5703125" style="18" bestFit="1"/>
    <col min="7184" max="7184" width="8.42578125" style="18" customWidth="1"/>
    <col min="7185" max="7185" width="13" style="18" bestFit="1" customWidth="1"/>
    <col min="7186" max="7424" width="11.5703125" style="18"/>
    <col min="7425" max="7425" width="8.5703125" style="18" customWidth="1"/>
    <col min="7426" max="7426" width="50" style="18" customWidth="1"/>
    <col min="7427" max="7427" width="6.42578125" style="18" bestFit="1" customWidth="1"/>
    <col min="7428" max="7429" width="8.5703125" style="18" customWidth="1"/>
    <col min="7430" max="7430" width="11.42578125" style="18" bestFit="1" customWidth="1"/>
    <col min="7431" max="7431" width="7.5703125" style="18" bestFit="1" customWidth="1"/>
    <col min="7432" max="7432" width="11.5703125" style="18" bestFit="1"/>
    <col min="7433" max="7433" width="8" style="18" bestFit="1" customWidth="1"/>
    <col min="7434" max="7434" width="11.5703125" style="18" bestFit="1"/>
    <col min="7435" max="7435" width="8.42578125" style="18" bestFit="1" customWidth="1"/>
    <col min="7436" max="7436" width="11.5703125" style="18" bestFit="1"/>
    <col min="7437" max="7437" width="8.42578125" style="18" customWidth="1"/>
    <col min="7438" max="7438" width="7.42578125" style="18" bestFit="1" customWidth="1"/>
    <col min="7439" max="7439" width="11.5703125" style="18" bestFit="1"/>
    <col min="7440" max="7440" width="8.42578125" style="18" customWidth="1"/>
    <col min="7441" max="7441" width="13" style="18" bestFit="1" customWidth="1"/>
    <col min="7442" max="7680" width="11.5703125" style="18"/>
    <col min="7681" max="7681" width="8.5703125" style="18" customWidth="1"/>
    <col min="7682" max="7682" width="50" style="18" customWidth="1"/>
    <col min="7683" max="7683" width="6.42578125" style="18" bestFit="1" customWidth="1"/>
    <col min="7684" max="7685" width="8.5703125" style="18" customWidth="1"/>
    <col min="7686" max="7686" width="11.42578125" style="18" bestFit="1" customWidth="1"/>
    <col min="7687" max="7687" width="7.5703125" style="18" bestFit="1" customWidth="1"/>
    <col min="7688" max="7688" width="11.5703125" style="18" bestFit="1"/>
    <col min="7689" max="7689" width="8" style="18" bestFit="1" customWidth="1"/>
    <col min="7690" max="7690" width="11.5703125" style="18" bestFit="1"/>
    <col min="7691" max="7691" width="8.42578125" style="18" bestFit="1" customWidth="1"/>
    <col min="7692" max="7692" width="11.5703125" style="18" bestFit="1"/>
    <col min="7693" max="7693" width="8.42578125" style="18" customWidth="1"/>
    <col min="7694" max="7694" width="7.42578125" style="18" bestFit="1" customWidth="1"/>
    <col min="7695" max="7695" width="11.5703125" style="18" bestFit="1"/>
    <col min="7696" max="7696" width="8.42578125" style="18" customWidth="1"/>
    <col min="7697" max="7697" width="13" style="18" bestFit="1" customWidth="1"/>
    <col min="7698" max="7936" width="11.5703125" style="18"/>
    <col min="7937" max="7937" width="8.5703125" style="18" customWidth="1"/>
    <col min="7938" max="7938" width="50" style="18" customWidth="1"/>
    <col min="7939" max="7939" width="6.42578125" style="18" bestFit="1" customWidth="1"/>
    <col min="7940" max="7941" width="8.5703125" style="18" customWidth="1"/>
    <col min="7942" max="7942" width="11.42578125" style="18" bestFit="1" customWidth="1"/>
    <col min="7943" max="7943" width="7.5703125" style="18" bestFit="1" customWidth="1"/>
    <col min="7944" max="7944" width="11.5703125" style="18" bestFit="1"/>
    <col min="7945" max="7945" width="8" style="18" bestFit="1" customWidth="1"/>
    <col min="7946" max="7946" width="11.5703125" style="18" bestFit="1"/>
    <col min="7947" max="7947" width="8.42578125" style="18" bestFit="1" customWidth="1"/>
    <col min="7948" max="7948" width="11.5703125" style="18" bestFit="1"/>
    <col min="7949" max="7949" width="8.42578125" style="18" customWidth="1"/>
    <col min="7950" max="7950" width="7.42578125" style="18" bestFit="1" customWidth="1"/>
    <col min="7951" max="7951" width="11.5703125" style="18" bestFit="1"/>
    <col min="7952" max="7952" width="8.42578125" style="18" customWidth="1"/>
    <col min="7953" max="7953" width="13" style="18" bestFit="1" customWidth="1"/>
    <col min="7954" max="8192" width="11.5703125" style="18"/>
    <col min="8193" max="8193" width="8.5703125" style="18" customWidth="1"/>
    <col min="8194" max="8194" width="50" style="18" customWidth="1"/>
    <col min="8195" max="8195" width="6.42578125" style="18" bestFit="1" customWidth="1"/>
    <col min="8196" max="8197" width="8.5703125" style="18" customWidth="1"/>
    <col min="8198" max="8198" width="11.42578125" style="18" bestFit="1" customWidth="1"/>
    <col min="8199" max="8199" width="7.5703125" style="18" bestFit="1" customWidth="1"/>
    <col min="8200" max="8200" width="11.5703125" style="18" bestFit="1"/>
    <col min="8201" max="8201" width="8" style="18" bestFit="1" customWidth="1"/>
    <col min="8202" max="8202" width="11.5703125" style="18" bestFit="1"/>
    <col min="8203" max="8203" width="8.42578125" style="18" bestFit="1" customWidth="1"/>
    <col min="8204" max="8204" width="11.5703125" style="18" bestFit="1"/>
    <col min="8205" max="8205" width="8.42578125" style="18" customWidth="1"/>
    <col min="8206" max="8206" width="7.42578125" style="18" bestFit="1" customWidth="1"/>
    <col min="8207" max="8207" width="11.5703125" style="18" bestFit="1"/>
    <col min="8208" max="8208" width="8.42578125" style="18" customWidth="1"/>
    <col min="8209" max="8209" width="13" style="18" bestFit="1" customWidth="1"/>
    <col min="8210" max="8448" width="11.5703125" style="18"/>
    <col min="8449" max="8449" width="8.5703125" style="18" customWidth="1"/>
    <col min="8450" max="8450" width="50" style="18" customWidth="1"/>
    <col min="8451" max="8451" width="6.42578125" style="18" bestFit="1" customWidth="1"/>
    <col min="8452" max="8453" width="8.5703125" style="18" customWidth="1"/>
    <col min="8454" max="8454" width="11.42578125" style="18" bestFit="1" customWidth="1"/>
    <col min="8455" max="8455" width="7.5703125" style="18" bestFit="1" customWidth="1"/>
    <col min="8456" max="8456" width="11.5703125" style="18" bestFit="1"/>
    <col min="8457" max="8457" width="8" style="18" bestFit="1" customWidth="1"/>
    <col min="8458" max="8458" width="11.5703125" style="18" bestFit="1"/>
    <col min="8459" max="8459" width="8.42578125" style="18" bestFit="1" customWidth="1"/>
    <col min="8460" max="8460" width="11.5703125" style="18" bestFit="1"/>
    <col min="8461" max="8461" width="8.42578125" style="18" customWidth="1"/>
    <col min="8462" max="8462" width="7.42578125" style="18" bestFit="1" customWidth="1"/>
    <col min="8463" max="8463" width="11.5703125" style="18" bestFit="1"/>
    <col min="8464" max="8464" width="8.42578125" style="18" customWidth="1"/>
    <col min="8465" max="8465" width="13" style="18" bestFit="1" customWidth="1"/>
    <col min="8466" max="8704" width="11.5703125" style="18"/>
    <col min="8705" max="8705" width="8.5703125" style="18" customWidth="1"/>
    <col min="8706" max="8706" width="50" style="18" customWidth="1"/>
    <col min="8707" max="8707" width="6.42578125" style="18" bestFit="1" customWidth="1"/>
    <col min="8708" max="8709" width="8.5703125" style="18" customWidth="1"/>
    <col min="8710" max="8710" width="11.42578125" style="18" bestFit="1" customWidth="1"/>
    <col min="8711" max="8711" width="7.5703125" style="18" bestFit="1" customWidth="1"/>
    <col min="8712" max="8712" width="11.5703125" style="18" bestFit="1"/>
    <col min="8713" max="8713" width="8" style="18" bestFit="1" customWidth="1"/>
    <col min="8714" max="8714" width="11.5703125" style="18" bestFit="1"/>
    <col min="8715" max="8715" width="8.42578125" style="18" bestFit="1" customWidth="1"/>
    <col min="8716" max="8716" width="11.5703125" style="18" bestFit="1"/>
    <col min="8717" max="8717" width="8.42578125" style="18" customWidth="1"/>
    <col min="8718" max="8718" width="7.42578125" style="18" bestFit="1" customWidth="1"/>
    <col min="8719" max="8719" width="11.5703125" style="18" bestFit="1"/>
    <col min="8720" max="8720" width="8.42578125" style="18" customWidth="1"/>
    <col min="8721" max="8721" width="13" style="18" bestFit="1" customWidth="1"/>
    <col min="8722" max="8960" width="11.5703125" style="18"/>
    <col min="8961" max="8961" width="8.5703125" style="18" customWidth="1"/>
    <col min="8962" max="8962" width="50" style="18" customWidth="1"/>
    <col min="8963" max="8963" width="6.42578125" style="18" bestFit="1" customWidth="1"/>
    <col min="8964" max="8965" width="8.5703125" style="18" customWidth="1"/>
    <col min="8966" max="8966" width="11.42578125" style="18" bestFit="1" customWidth="1"/>
    <col min="8967" max="8967" width="7.5703125" style="18" bestFit="1" customWidth="1"/>
    <col min="8968" max="8968" width="11.5703125" style="18" bestFit="1"/>
    <col min="8969" max="8969" width="8" style="18" bestFit="1" customWidth="1"/>
    <col min="8970" max="8970" width="11.5703125" style="18" bestFit="1"/>
    <col min="8971" max="8971" width="8.42578125" style="18" bestFit="1" customWidth="1"/>
    <col min="8972" max="8972" width="11.5703125" style="18" bestFit="1"/>
    <col min="8973" max="8973" width="8.42578125" style="18" customWidth="1"/>
    <col min="8974" max="8974" width="7.42578125" style="18" bestFit="1" customWidth="1"/>
    <col min="8975" max="8975" width="11.5703125" style="18" bestFit="1"/>
    <col min="8976" max="8976" width="8.42578125" style="18" customWidth="1"/>
    <col min="8977" max="8977" width="13" style="18" bestFit="1" customWidth="1"/>
    <col min="8978" max="9216" width="11.5703125" style="18"/>
    <col min="9217" max="9217" width="8.5703125" style="18" customWidth="1"/>
    <col min="9218" max="9218" width="50" style="18" customWidth="1"/>
    <col min="9219" max="9219" width="6.42578125" style="18" bestFit="1" customWidth="1"/>
    <col min="9220" max="9221" width="8.5703125" style="18" customWidth="1"/>
    <col min="9222" max="9222" width="11.42578125" style="18" bestFit="1" customWidth="1"/>
    <col min="9223" max="9223" width="7.5703125" style="18" bestFit="1" customWidth="1"/>
    <col min="9224" max="9224" width="11.5703125" style="18" bestFit="1"/>
    <col min="9225" max="9225" width="8" style="18" bestFit="1" customWidth="1"/>
    <col min="9226" max="9226" width="11.5703125" style="18" bestFit="1"/>
    <col min="9227" max="9227" width="8.42578125" style="18" bestFit="1" customWidth="1"/>
    <col min="9228" max="9228" width="11.5703125" style="18" bestFit="1"/>
    <col min="9229" max="9229" width="8.42578125" style="18" customWidth="1"/>
    <col min="9230" max="9230" width="7.42578125" style="18" bestFit="1" customWidth="1"/>
    <col min="9231" max="9231" width="11.5703125" style="18" bestFit="1"/>
    <col min="9232" max="9232" width="8.42578125" style="18" customWidth="1"/>
    <col min="9233" max="9233" width="13" style="18" bestFit="1" customWidth="1"/>
    <col min="9234" max="9472" width="11.5703125" style="18"/>
    <col min="9473" max="9473" width="8.5703125" style="18" customWidth="1"/>
    <col min="9474" max="9474" width="50" style="18" customWidth="1"/>
    <col min="9475" max="9475" width="6.42578125" style="18" bestFit="1" customWidth="1"/>
    <col min="9476" max="9477" width="8.5703125" style="18" customWidth="1"/>
    <col min="9478" max="9478" width="11.42578125" style="18" bestFit="1" customWidth="1"/>
    <col min="9479" max="9479" width="7.5703125" style="18" bestFit="1" customWidth="1"/>
    <col min="9480" max="9480" width="11.5703125" style="18" bestFit="1"/>
    <col min="9481" max="9481" width="8" style="18" bestFit="1" customWidth="1"/>
    <col min="9482" max="9482" width="11.5703125" style="18" bestFit="1"/>
    <col min="9483" max="9483" width="8.42578125" style="18" bestFit="1" customWidth="1"/>
    <col min="9484" max="9484" width="11.5703125" style="18" bestFit="1"/>
    <col min="9485" max="9485" width="8.42578125" style="18" customWidth="1"/>
    <col min="9486" max="9486" width="7.42578125" style="18" bestFit="1" customWidth="1"/>
    <col min="9487" max="9487" width="11.5703125" style="18" bestFit="1"/>
    <col min="9488" max="9488" width="8.42578125" style="18" customWidth="1"/>
    <col min="9489" max="9489" width="13" style="18" bestFit="1" customWidth="1"/>
    <col min="9490" max="9728" width="11.5703125" style="18"/>
    <col min="9729" max="9729" width="8.5703125" style="18" customWidth="1"/>
    <col min="9730" max="9730" width="50" style="18" customWidth="1"/>
    <col min="9731" max="9731" width="6.42578125" style="18" bestFit="1" customWidth="1"/>
    <col min="9732" max="9733" width="8.5703125" style="18" customWidth="1"/>
    <col min="9734" max="9734" width="11.42578125" style="18" bestFit="1" customWidth="1"/>
    <col min="9735" max="9735" width="7.5703125" style="18" bestFit="1" customWidth="1"/>
    <col min="9736" max="9736" width="11.5703125" style="18" bestFit="1"/>
    <col min="9737" max="9737" width="8" style="18" bestFit="1" customWidth="1"/>
    <col min="9738" max="9738" width="11.5703125" style="18" bestFit="1"/>
    <col min="9739" max="9739" width="8.42578125" style="18" bestFit="1" customWidth="1"/>
    <col min="9740" max="9740" width="11.5703125" style="18" bestFit="1"/>
    <col min="9741" max="9741" width="8.42578125" style="18" customWidth="1"/>
    <col min="9742" max="9742" width="7.42578125" style="18" bestFit="1" customWidth="1"/>
    <col min="9743" max="9743" width="11.5703125" style="18" bestFit="1"/>
    <col min="9744" max="9744" width="8.42578125" style="18" customWidth="1"/>
    <col min="9745" max="9745" width="13" style="18" bestFit="1" customWidth="1"/>
    <col min="9746" max="9984" width="11.5703125" style="18"/>
    <col min="9985" max="9985" width="8.5703125" style="18" customWidth="1"/>
    <col min="9986" max="9986" width="50" style="18" customWidth="1"/>
    <col min="9987" max="9987" width="6.42578125" style="18" bestFit="1" customWidth="1"/>
    <col min="9988" max="9989" width="8.5703125" style="18" customWidth="1"/>
    <col min="9990" max="9990" width="11.42578125" style="18" bestFit="1" customWidth="1"/>
    <col min="9991" max="9991" width="7.5703125" style="18" bestFit="1" customWidth="1"/>
    <col min="9992" max="9992" width="11.5703125" style="18" bestFit="1"/>
    <col min="9993" max="9993" width="8" style="18" bestFit="1" customWidth="1"/>
    <col min="9994" max="9994" width="11.5703125" style="18" bestFit="1"/>
    <col min="9995" max="9995" width="8.42578125" style="18" bestFit="1" customWidth="1"/>
    <col min="9996" max="9996" width="11.5703125" style="18" bestFit="1"/>
    <col min="9997" max="9997" width="8.42578125" style="18" customWidth="1"/>
    <col min="9998" max="9998" width="7.42578125" style="18" bestFit="1" customWidth="1"/>
    <col min="9999" max="9999" width="11.5703125" style="18" bestFit="1"/>
    <col min="10000" max="10000" width="8.42578125" style="18" customWidth="1"/>
    <col min="10001" max="10001" width="13" style="18" bestFit="1" customWidth="1"/>
    <col min="10002" max="10240" width="11.5703125" style="18"/>
    <col min="10241" max="10241" width="8.5703125" style="18" customWidth="1"/>
    <col min="10242" max="10242" width="50" style="18" customWidth="1"/>
    <col min="10243" max="10243" width="6.42578125" style="18" bestFit="1" customWidth="1"/>
    <col min="10244" max="10245" width="8.5703125" style="18" customWidth="1"/>
    <col min="10246" max="10246" width="11.42578125" style="18" bestFit="1" customWidth="1"/>
    <col min="10247" max="10247" width="7.5703125" style="18" bestFit="1" customWidth="1"/>
    <col min="10248" max="10248" width="11.5703125" style="18" bestFit="1"/>
    <col min="10249" max="10249" width="8" style="18" bestFit="1" customWidth="1"/>
    <col min="10250" max="10250" width="11.5703125" style="18" bestFit="1"/>
    <col min="10251" max="10251" width="8.42578125" style="18" bestFit="1" customWidth="1"/>
    <col min="10252" max="10252" width="11.5703125" style="18" bestFit="1"/>
    <col min="10253" max="10253" width="8.42578125" style="18" customWidth="1"/>
    <col min="10254" max="10254" width="7.42578125" style="18" bestFit="1" customWidth="1"/>
    <col min="10255" max="10255" width="11.5703125" style="18" bestFit="1"/>
    <col min="10256" max="10256" width="8.42578125" style="18" customWidth="1"/>
    <col min="10257" max="10257" width="13" style="18" bestFit="1" customWidth="1"/>
    <col min="10258" max="10496" width="11.5703125" style="18"/>
    <col min="10497" max="10497" width="8.5703125" style="18" customWidth="1"/>
    <col min="10498" max="10498" width="50" style="18" customWidth="1"/>
    <col min="10499" max="10499" width="6.42578125" style="18" bestFit="1" customWidth="1"/>
    <col min="10500" max="10501" width="8.5703125" style="18" customWidth="1"/>
    <col min="10502" max="10502" width="11.42578125" style="18" bestFit="1" customWidth="1"/>
    <col min="10503" max="10503" width="7.5703125" style="18" bestFit="1" customWidth="1"/>
    <col min="10504" max="10504" width="11.5703125" style="18" bestFit="1"/>
    <col min="10505" max="10505" width="8" style="18" bestFit="1" customWidth="1"/>
    <col min="10506" max="10506" width="11.5703125" style="18" bestFit="1"/>
    <col min="10507" max="10507" width="8.42578125" style="18" bestFit="1" customWidth="1"/>
    <col min="10508" max="10508" width="11.5703125" style="18" bestFit="1"/>
    <col min="10509" max="10509" width="8.42578125" style="18" customWidth="1"/>
    <col min="10510" max="10510" width="7.42578125" style="18" bestFit="1" customWidth="1"/>
    <col min="10511" max="10511" width="11.5703125" style="18" bestFit="1"/>
    <col min="10512" max="10512" width="8.42578125" style="18" customWidth="1"/>
    <col min="10513" max="10513" width="13" style="18" bestFit="1" customWidth="1"/>
    <col min="10514" max="10752" width="11.5703125" style="18"/>
    <col min="10753" max="10753" width="8.5703125" style="18" customWidth="1"/>
    <col min="10754" max="10754" width="50" style="18" customWidth="1"/>
    <col min="10755" max="10755" width="6.42578125" style="18" bestFit="1" customWidth="1"/>
    <col min="10756" max="10757" width="8.5703125" style="18" customWidth="1"/>
    <col min="10758" max="10758" width="11.42578125" style="18" bestFit="1" customWidth="1"/>
    <col min="10759" max="10759" width="7.5703125" style="18" bestFit="1" customWidth="1"/>
    <col min="10760" max="10760" width="11.5703125" style="18" bestFit="1"/>
    <col min="10761" max="10761" width="8" style="18" bestFit="1" customWidth="1"/>
    <col min="10762" max="10762" width="11.5703125" style="18" bestFit="1"/>
    <col min="10763" max="10763" width="8.42578125" style="18" bestFit="1" customWidth="1"/>
    <col min="10764" max="10764" width="11.5703125" style="18" bestFit="1"/>
    <col min="10765" max="10765" width="8.42578125" style="18" customWidth="1"/>
    <col min="10766" max="10766" width="7.42578125" style="18" bestFit="1" customWidth="1"/>
    <col min="10767" max="10767" width="11.5703125" style="18" bestFit="1"/>
    <col min="10768" max="10768" width="8.42578125" style="18" customWidth="1"/>
    <col min="10769" max="10769" width="13" style="18" bestFit="1" customWidth="1"/>
    <col min="10770" max="11008" width="11.5703125" style="18"/>
    <col min="11009" max="11009" width="8.5703125" style="18" customWidth="1"/>
    <col min="11010" max="11010" width="50" style="18" customWidth="1"/>
    <col min="11011" max="11011" width="6.42578125" style="18" bestFit="1" customWidth="1"/>
    <col min="11012" max="11013" width="8.5703125" style="18" customWidth="1"/>
    <col min="11014" max="11014" width="11.42578125" style="18" bestFit="1" customWidth="1"/>
    <col min="11015" max="11015" width="7.5703125" style="18" bestFit="1" customWidth="1"/>
    <col min="11016" max="11016" width="11.5703125" style="18" bestFit="1"/>
    <col min="11017" max="11017" width="8" style="18" bestFit="1" customWidth="1"/>
    <col min="11018" max="11018" width="11.5703125" style="18" bestFit="1"/>
    <col min="11019" max="11019" width="8.42578125" style="18" bestFit="1" customWidth="1"/>
    <col min="11020" max="11020" width="11.5703125" style="18" bestFit="1"/>
    <col min="11021" max="11021" width="8.42578125" style="18" customWidth="1"/>
    <col min="11022" max="11022" width="7.42578125" style="18" bestFit="1" customWidth="1"/>
    <col min="11023" max="11023" width="11.5703125" style="18" bestFit="1"/>
    <col min="11024" max="11024" width="8.42578125" style="18" customWidth="1"/>
    <col min="11025" max="11025" width="13" style="18" bestFit="1" customWidth="1"/>
    <col min="11026" max="11264" width="11.5703125" style="18"/>
    <col min="11265" max="11265" width="8.5703125" style="18" customWidth="1"/>
    <col min="11266" max="11266" width="50" style="18" customWidth="1"/>
    <col min="11267" max="11267" width="6.42578125" style="18" bestFit="1" customWidth="1"/>
    <col min="11268" max="11269" width="8.5703125" style="18" customWidth="1"/>
    <col min="11270" max="11270" width="11.42578125" style="18" bestFit="1" customWidth="1"/>
    <col min="11271" max="11271" width="7.5703125" style="18" bestFit="1" customWidth="1"/>
    <col min="11272" max="11272" width="11.5703125" style="18" bestFit="1"/>
    <col min="11273" max="11273" width="8" style="18" bestFit="1" customWidth="1"/>
    <col min="11274" max="11274" width="11.5703125" style="18" bestFit="1"/>
    <col min="11275" max="11275" width="8.42578125" style="18" bestFit="1" customWidth="1"/>
    <col min="11276" max="11276" width="11.5703125" style="18" bestFit="1"/>
    <col min="11277" max="11277" width="8.42578125" style="18" customWidth="1"/>
    <col min="11278" max="11278" width="7.42578125" style="18" bestFit="1" customWidth="1"/>
    <col min="11279" max="11279" width="11.5703125" style="18" bestFit="1"/>
    <col min="11280" max="11280" width="8.42578125" style="18" customWidth="1"/>
    <col min="11281" max="11281" width="13" style="18" bestFit="1" customWidth="1"/>
    <col min="11282" max="11520" width="11.5703125" style="18"/>
    <col min="11521" max="11521" width="8.5703125" style="18" customWidth="1"/>
    <col min="11522" max="11522" width="50" style="18" customWidth="1"/>
    <col min="11523" max="11523" width="6.42578125" style="18" bestFit="1" customWidth="1"/>
    <col min="11524" max="11525" width="8.5703125" style="18" customWidth="1"/>
    <col min="11526" max="11526" width="11.42578125" style="18" bestFit="1" customWidth="1"/>
    <col min="11527" max="11527" width="7.5703125" style="18" bestFit="1" customWidth="1"/>
    <col min="11528" max="11528" width="11.5703125" style="18" bestFit="1"/>
    <col min="11529" max="11529" width="8" style="18" bestFit="1" customWidth="1"/>
    <col min="11530" max="11530" width="11.5703125" style="18" bestFit="1"/>
    <col min="11531" max="11531" width="8.42578125" style="18" bestFit="1" customWidth="1"/>
    <col min="11532" max="11532" width="11.5703125" style="18" bestFit="1"/>
    <col min="11533" max="11533" width="8.42578125" style="18" customWidth="1"/>
    <col min="11534" max="11534" width="7.42578125" style="18" bestFit="1" customWidth="1"/>
    <col min="11535" max="11535" width="11.5703125" style="18" bestFit="1"/>
    <col min="11536" max="11536" width="8.42578125" style="18" customWidth="1"/>
    <col min="11537" max="11537" width="13" style="18" bestFit="1" customWidth="1"/>
    <col min="11538" max="11776" width="11.5703125" style="18"/>
    <col min="11777" max="11777" width="8.5703125" style="18" customWidth="1"/>
    <col min="11778" max="11778" width="50" style="18" customWidth="1"/>
    <col min="11779" max="11779" width="6.42578125" style="18" bestFit="1" customWidth="1"/>
    <col min="11780" max="11781" width="8.5703125" style="18" customWidth="1"/>
    <col min="11782" max="11782" width="11.42578125" style="18" bestFit="1" customWidth="1"/>
    <col min="11783" max="11783" width="7.5703125" style="18" bestFit="1" customWidth="1"/>
    <col min="11784" max="11784" width="11.5703125" style="18" bestFit="1"/>
    <col min="11785" max="11785" width="8" style="18" bestFit="1" customWidth="1"/>
    <col min="11786" max="11786" width="11.5703125" style="18" bestFit="1"/>
    <col min="11787" max="11787" width="8.42578125" style="18" bestFit="1" customWidth="1"/>
    <col min="11788" max="11788" width="11.5703125" style="18" bestFit="1"/>
    <col min="11789" max="11789" width="8.42578125" style="18" customWidth="1"/>
    <col min="11790" max="11790" width="7.42578125" style="18" bestFit="1" customWidth="1"/>
    <col min="11791" max="11791" width="11.5703125" style="18" bestFit="1"/>
    <col min="11792" max="11792" width="8.42578125" style="18" customWidth="1"/>
    <col min="11793" max="11793" width="13" style="18" bestFit="1" customWidth="1"/>
    <col min="11794" max="12032" width="11.5703125" style="18"/>
    <col min="12033" max="12033" width="8.5703125" style="18" customWidth="1"/>
    <col min="12034" max="12034" width="50" style="18" customWidth="1"/>
    <col min="12035" max="12035" width="6.42578125" style="18" bestFit="1" customWidth="1"/>
    <col min="12036" max="12037" width="8.5703125" style="18" customWidth="1"/>
    <col min="12038" max="12038" width="11.42578125" style="18" bestFit="1" customWidth="1"/>
    <col min="12039" max="12039" width="7.5703125" style="18" bestFit="1" customWidth="1"/>
    <col min="12040" max="12040" width="11.5703125" style="18" bestFit="1"/>
    <col min="12041" max="12041" width="8" style="18" bestFit="1" customWidth="1"/>
    <col min="12042" max="12042" width="11.5703125" style="18" bestFit="1"/>
    <col min="12043" max="12043" width="8.42578125" style="18" bestFit="1" customWidth="1"/>
    <col min="12044" max="12044" width="11.5703125" style="18" bestFit="1"/>
    <col min="12045" max="12045" width="8.42578125" style="18" customWidth="1"/>
    <col min="12046" max="12046" width="7.42578125" style="18" bestFit="1" customWidth="1"/>
    <col min="12047" max="12047" width="11.5703125" style="18" bestFit="1"/>
    <col min="12048" max="12048" width="8.42578125" style="18" customWidth="1"/>
    <col min="12049" max="12049" width="13" style="18" bestFit="1" customWidth="1"/>
    <col min="12050" max="12288" width="11.5703125" style="18"/>
    <col min="12289" max="12289" width="8.5703125" style="18" customWidth="1"/>
    <col min="12290" max="12290" width="50" style="18" customWidth="1"/>
    <col min="12291" max="12291" width="6.42578125" style="18" bestFit="1" customWidth="1"/>
    <col min="12292" max="12293" width="8.5703125" style="18" customWidth="1"/>
    <col min="12294" max="12294" width="11.42578125" style="18" bestFit="1" customWidth="1"/>
    <col min="12295" max="12295" width="7.5703125" style="18" bestFit="1" customWidth="1"/>
    <col min="12296" max="12296" width="11.5703125" style="18" bestFit="1"/>
    <col min="12297" max="12297" width="8" style="18" bestFit="1" customWidth="1"/>
    <col min="12298" max="12298" width="11.5703125" style="18" bestFit="1"/>
    <col min="12299" max="12299" width="8.42578125" style="18" bestFit="1" customWidth="1"/>
    <col min="12300" max="12300" width="11.5703125" style="18" bestFit="1"/>
    <col min="12301" max="12301" width="8.42578125" style="18" customWidth="1"/>
    <col min="12302" max="12302" width="7.42578125" style="18" bestFit="1" customWidth="1"/>
    <col min="12303" max="12303" width="11.5703125" style="18" bestFit="1"/>
    <col min="12304" max="12304" width="8.42578125" style="18" customWidth="1"/>
    <col min="12305" max="12305" width="13" style="18" bestFit="1" customWidth="1"/>
    <col min="12306" max="12544" width="11.5703125" style="18"/>
    <col min="12545" max="12545" width="8.5703125" style="18" customWidth="1"/>
    <col min="12546" max="12546" width="50" style="18" customWidth="1"/>
    <col min="12547" max="12547" width="6.42578125" style="18" bestFit="1" customWidth="1"/>
    <col min="12548" max="12549" width="8.5703125" style="18" customWidth="1"/>
    <col min="12550" max="12550" width="11.42578125" style="18" bestFit="1" customWidth="1"/>
    <col min="12551" max="12551" width="7.5703125" style="18" bestFit="1" customWidth="1"/>
    <col min="12552" max="12552" width="11.5703125" style="18" bestFit="1"/>
    <col min="12553" max="12553" width="8" style="18" bestFit="1" customWidth="1"/>
    <col min="12554" max="12554" width="11.5703125" style="18" bestFit="1"/>
    <col min="12555" max="12555" width="8.42578125" style="18" bestFit="1" customWidth="1"/>
    <col min="12556" max="12556" width="11.5703125" style="18" bestFit="1"/>
    <col min="12557" max="12557" width="8.42578125" style="18" customWidth="1"/>
    <col min="12558" max="12558" width="7.42578125" style="18" bestFit="1" customWidth="1"/>
    <col min="12559" max="12559" width="11.5703125" style="18" bestFit="1"/>
    <col min="12560" max="12560" width="8.42578125" style="18" customWidth="1"/>
    <col min="12561" max="12561" width="13" style="18" bestFit="1" customWidth="1"/>
    <col min="12562" max="12800" width="11.5703125" style="18"/>
    <col min="12801" max="12801" width="8.5703125" style="18" customWidth="1"/>
    <col min="12802" max="12802" width="50" style="18" customWidth="1"/>
    <col min="12803" max="12803" width="6.42578125" style="18" bestFit="1" customWidth="1"/>
    <col min="12804" max="12805" width="8.5703125" style="18" customWidth="1"/>
    <col min="12806" max="12806" width="11.42578125" style="18" bestFit="1" customWidth="1"/>
    <col min="12807" max="12807" width="7.5703125" style="18" bestFit="1" customWidth="1"/>
    <col min="12808" max="12808" width="11.5703125" style="18" bestFit="1"/>
    <col min="12809" max="12809" width="8" style="18" bestFit="1" customWidth="1"/>
    <col min="12810" max="12810" width="11.5703125" style="18" bestFit="1"/>
    <col min="12811" max="12811" width="8.42578125" style="18" bestFit="1" customWidth="1"/>
    <col min="12812" max="12812" width="11.5703125" style="18" bestFit="1"/>
    <col min="12813" max="12813" width="8.42578125" style="18" customWidth="1"/>
    <col min="12814" max="12814" width="7.42578125" style="18" bestFit="1" customWidth="1"/>
    <col min="12815" max="12815" width="11.5703125" style="18" bestFit="1"/>
    <col min="12816" max="12816" width="8.42578125" style="18" customWidth="1"/>
    <col min="12817" max="12817" width="13" style="18" bestFit="1" customWidth="1"/>
    <col min="12818" max="13056" width="11.5703125" style="18"/>
    <col min="13057" max="13057" width="8.5703125" style="18" customWidth="1"/>
    <col min="13058" max="13058" width="50" style="18" customWidth="1"/>
    <col min="13059" max="13059" width="6.42578125" style="18" bestFit="1" customWidth="1"/>
    <col min="13060" max="13061" width="8.5703125" style="18" customWidth="1"/>
    <col min="13062" max="13062" width="11.42578125" style="18" bestFit="1" customWidth="1"/>
    <col min="13063" max="13063" width="7.5703125" style="18" bestFit="1" customWidth="1"/>
    <col min="13064" max="13064" width="11.5703125" style="18" bestFit="1"/>
    <col min="13065" max="13065" width="8" style="18" bestFit="1" customWidth="1"/>
    <col min="13066" max="13066" width="11.5703125" style="18" bestFit="1"/>
    <col min="13067" max="13067" width="8.42578125" style="18" bestFit="1" customWidth="1"/>
    <col min="13068" max="13068" width="11.5703125" style="18" bestFit="1"/>
    <col min="13069" max="13069" width="8.42578125" style="18" customWidth="1"/>
    <col min="13070" max="13070" width="7.42578125" style="18" bestFit="1" customWidth="1"/>
    <col min="13071" max="13071" width="11.5703125" style="18" bestFit="1"/>
    <col min="13072" max="13072" width="8.42578125" style="18" customWidth="1"/>
    <col min="13073" max="13073" width="13" style="18" bestFit="1" customWidth="1"/>
    <col min="13074" max="13312" width="11.5703125" style="18"/>
    <col min="13313" max="13313" width="8.5703125" style="18" customWidth="1"/>
    <col min="13314" max="13314" width="50" style="18" customWidth="1"/>
    <col min="13315" max="13315" width="6.42578125" style="18" bestFit="1" customWidth="1"/>
    <col min="13316" max="13317" width="8.5703125" style="18" customWidth="1"/>
    <col min="13318" max="13318" width="11.42578125" style="18" bestFit="1" customWidth="1"/>
    <col min="13319" max="13319" width="7.5703125" style="18" bestFit="1" customWidth="1"/>
    <col min="13320" max="13320" width="11.5703125" style="18" bestFit="1"/>
    <col min="13321" max="13321" width="8" style="18" bestFit="1" customWidth="1"/>
    <col min="13322" max="13322" width="11.5703125" style="18" bestFit="1"/>
    <col min="13323" max="13323" width="8.42578125" style="18" bestFit="1" customWidth="1"/>
    <col min="13324" max="13324" width="11.5703125" style="18" bestFit="1"/>
    <col min="13325" max="13325" width="8.42578125" style="18" customWidth="1"/>
    <col min="13326" max="13326" width="7.42578125" style="18" bestFit="1" customWidth="1"/>
    <col min="13327" max="13327" width="11.5703125" style="18" bestFit="1"/>
    <col min="13328" max="13328" width="8.42578125" style="18" customWidth="1"/>
    <col min="13329" max="13329" width="13" style="18" bestFit="1" customWidth="1"/>
    <col min="13330" max="13568" width="11.5703125" style="18"/>
    <col min="13569" max="13569" width="8.5703125" style="18" customWidth="1"/>
    <col min="13570" max="13570" width="50" style="18" customWidth="1"/>
    <col min="13571" max="13571" width="6.42578125" style="18" bestFit="1" customWidth="1"/>
    <col min="13572" max="13573" width="8.5703125" style="18" customWidth="1"/>
    <col min="13574" max="13574" width="11.42578125" style="18" bestFit="1" customWidth="1"/>
    <col min="13575" max="13575" width="7.5703125" style="18" bestFit="1" customWidth="1"/>
    <col min="13576" max="13576" width="11.5703125" style="18" bestFit="1"/>
    <col min="13577" max="13577" width="8" style="18" bestFit="1" customWidth="1"/>
    <col min="13578" max="13578" width="11.5703125" style="18" bestFit="1"/>
    <col min="13579" max="13579" width="8.42578125" style="18" bestFit="1" customWidth="1"/>
    <col min="13580" max="13580" width="11.5703125" style="18" bestFit="1"/>
    <col min="13581" max="13581" width="8.42578125" style="18" customWidth="1"/>
    <col min="13582" max="13582" width="7.42578125" style="18" bestFit="1" customWidth="1"/>
    <col min="13583" max="13583" width="11.5703125" style="18" bestFit="1"/>
    <col min="13584" max="13584" width="8.42578125" style="18" customWidth="1"/>
    <col min="13585" max="13585" width="13" style="18" bestFit="1" customWidth="1"/>
    <col min="13586" max="13824" width="11.5703125" style="18"/>
    <col min="13825" max="13825" width="8.5703125" style="18" customWidth="1"/>
    <col min="13826" max="13826" width="50" style="18" customWidth="1"/>
    <col min="13827" max="13827" width="6.42578125" style="18" bestFit="1" customWidth="1"/>
    <col min="13828" max="13829" width="8.5703125" style="18" customWidth="1"/>
    <col min="13830" max="13830" width="11.42578125" style="18" bestFit="1" customWidth="1"/>
    <col min="13831" max="13831" width="7.5703125" style="18" bestFit="1" customWidth="1"/>
    <col min="13832" max="13832" width="11.5703125" style="18" bestFit="1"/>
    <col min="13833" max="13833" width="8" style="18" bestFit="1" customWidth="1"/>
    <col min="13834" max="13834" width="11.5703125" style="18" bestFit="1"/>
    <col min="13835" max="13835" width="8.42578125" style="18" bestFit="1" customWidth="1"/>
    <col min="13836" max="13836" width="11.5703125" style="18" bestFit="1"/>
    <col min="13837" max="13837" width="8.42578125" style="18" customWidth="1"/>
    <col min="13838" max="13838" width="7.42578125" style="18" bestFit="1" customWidth="1"/>
    <col min="13839" max="13839" width="11.5703125" style="18" bestFit="1"/>
    <col min="13840" max="13840" width="8.42578125" style="18" customWidth="1"/>
    <col min="13841" max="13841" width="13" style="18" bestFit="1" customWidth="1"/>
    <col min="13842" max="14080" width="11.5703125" style="18"/>
    <col min="14081" max="14081" width="8.5703125" style="18" customWidth="1"/>
    <col min="14082" max="14082" width="50" style="18" customWidth="1"/>
    <col min="14083" max="14083" width="6.42578125" style="18" bestFit="1" customWidth="1"/>
    <col min="14084" max="14085" width="8.5703125" style="18" customWidth="1"/>
    <col min="14086" max="14086" width="11.42578125" style="18" bestFit="1" customWidth="1"/>
    <col min="14087" max="14087" width="7.5703125" style="18" bestFit="1" customWidth="1"/>
    <col min="14088" max="14088" width="11.5703125" style="18" bestFit="1"/>
    <col min="14089" max="14089" width="8" style="18" bestFit="1" customWidth="1"/>
    <col min="14090" max="14090" width="11.5703125" style="18" bestFit="1"/>
    <col min="14091" max="14091" width="8.42578125" style="18" bestFit="1" customWidth="1"/>
    <col min="14092" max="14092" width="11.5703125" style="18" bestFit="1"/>
    <col min="14093" max="14093" width="8.42578125" style="18" customWidth="1"/>
    <col min="14094" max="14094" width="7.42578125" style="18" bestFit="1" customWidth="1"/>
    <col min="14095" max="14095" width="11.5703125" style="18" bestFit="1"/>
    <col min="14096" max="14096" width="8.42578125" style="18" customWidth="1"/>
    <col min="14097" max="14097" width="13" style="18" bestFit="1" customWidth="1"/>
    <col min="14098" max="14336" width="11.5703125" style="18"/>
    <col min="14337" max="14337" width="8.5703125" style="18" customWidth="1"/>
    <col min="14338" max="14338" width="50" style="18" customWidth="1"/>
    <col min="14339" max="14339" width="6.42578125" style="18" bestFit="1" customWidth="1"/>
    <col min="14340" max="14341" width="8.5703125" style="18" customWidth="1"/>
    <col min="14342" max="14342" width="11.42578125" style="18" bestFit="1" customWidth="1"/>
    <col min="14343" max="14343" width="7.5703125" style="18" bestFit="1" customWidth="1"/>
    <col min="14344" max="14344" width="11.5703125" style="18" bestFit="1"/>
    <col min="14345" max="14345" width="8" style="18" bestFit="1" customWidth="1"/>
    <col min="14346" max="14346" width="11.5703125" style="18" bestFit="1"/>
    <col min="14347" max="14347" width="8.42578125" style="18" bestFit="1" customWidth="1"/>
    <col min="14348" max="14348" width="11.5703125" style="18" bestFit="1"/>
    <col min="14349" max="14349" width="8.42578125" style="18" customWidth="1"/>
    <col min="14350" max="14350" width="7.42578125" style="18" bestFit="1" customWidth="1"/>
    <col min="14351" max="14351" width="11.5703125" style="18" bestFit="1"/>
    <col min="14352" max="14352" width="8.42578125" style="18" customWidth="1"/>
    <col min="14353" max="14353" width="13" style="18" bestFit="1" customWidth="1"/>
    <col min="14354" max="14592" width="11.5703125" style="18"/>
    <col min="14593" max="14593" width="8.5703125" style="18" customWidth="1"/>
    <col min="14594" max="14594" width="50" style="18" customWidth="1"/>
    <col min="14595" max="14595" width="6.42578125" style="18" bestFit="1" customWidth="1"/>
    <col min="14596" max="14597" width="8.5703125" style="18" customWidth="1"/>
    <col min="14598" max="14598" width="11.42578125" style="18" bestFit="1" customWidth="1"/>
    <col min="14599" max="14599" width="7.5703125" style="18" bestFit="1" customWidth="1"/>
    <col min="14600" max="14600" width="11.5703125" style="18" bestFit="1"/>
    <col min="14601" max="14601" width="8" style="18" bestFit="1" customWidth="1"/>
    <col min="14602" max="14602" width="11.5703125" style="18" bestFit="1"/>
    <col min="14603" max="14603" width="8.42578125" style="18" bestFit="1" customWidth="1"/>
    <col min="14604" max="14604" width="11.5703125" style="18" bestFit="1"/>
    <col min="14605" max="14605" width="8.42578125" style="18" customWidth="1"/>
    <col min="14606" max="14606" width="7.42578125" style="18" bestFit="1" customWidth="1"/>
    <col min="14607" max="14607" width="11.5703125" style="18" bestFit="1"/>
    <col min="14608" max="14608" width="8.42578125" style="18" customWidth="1"/>
    <col min="14609" max="14609" width="13" style="18" bestFit="1" customWidth="1"/>
    <col min="14610" max="14848" width="11.5703125" style="18"/>
    <col min="14849" max="14849" width="8.5703125" style="18" customWidth="1"/>
    <col min="14850" max="14850" width="50" style="18" customWidth="1"/>
    <col min="14851" max="14851" width="6.42578125" style="18" bestFit="1" customWidth="1"/>
    <col min="14852" max="14853" width="8.5703125" style="18" customWidth="1"/>
    <col min="14854" max="14854" width="11.42578125" style="18" bestFit="1" customWidth="1"/>
    <col min="14855" max="14855" width="7.5703125" style="18" bestFit="1" customWidth="1"/>
    <col min="14856" max="14856" width="11.5703125" style="18" bestFit="1"/>
    <col min="14857" max="14857" width="8" style="18" bestFit="1" customWidth="1"/>
    <col min="14858" max="14858" width="11.5703125" style="18" bestFit="1"/>
    <col min="14859" max="14859" width="8.42578125" style="18" bestFit="1" customWidth="1"/>
    <col min="14860" max="14860" width="11.5703125" style="18" bestFit="1"/>
    <col min="14861" max="14861" width="8.42578125" style="18" customWidth="1"/>
    <col min="14862" max="14862" width="7.42578125" style="18" bestFit="1" customWidth="1"/>
    <col min="14863" max="14863" width="11.5703125" style="18" bestFit="1"/>
    <col min="14864" max="14864" width="8.42578125" style="18" customWidth="1"/>
    <col min="14865" max="14865" width="13" style="18" bestFit="1" customWidth="1"/>
    <col min="14866" max="15104" width="11.5703125" style="18"/>
    <col min="15105" max="15105" width="8.5703125" style="18" customWidth="1"/>
    <col min="15106" max="15106" width="50" style="18" customWidth="1"/>
    <col min="15107" max="15107" width="6.42578125" style="18" bestFit="1" customWidth="1"/>
    <col min="15108" max="15109" width="8.5703125" style="18" customWidth="1"/>
    <col min="15110" max="15110" width="11.42578125" style="18" bestFit="1" customWidth="1"/>
    <col min="15111" max="15111" width="7.5703125" style="18" bestFit="1" customWidth="1"/>
    <col min="15112" max="15112" width="11.5703125" style="18" bestFit="1"/>
    <col min="15113" max="15113" width="8" style="18" bestFit="1" customWidth="1"/>
    <col min="15114" max="15114" width="11.5703125" style="18" bestFit="1"/>
    <col min="15115" max="15115" width="8.42578125" style="18" bestFit="1" customWidth="1"/>
    <col min="15116" max="15116" width="11.5703125" style="18" bestFit="1"/>
    <col min="15117" max="15117" width="8.42578125" style="18" customWidth="1"/>
    <col min="15118" max="15118" width="7.42578125" style="18" bestFit="1" customWidth="1"/>
    <col min="15119" max="15119" width="11.5703125" style="18" bestFit="1"/>
    <col min="15120" max="15120" width="8.42578125" style="18" customWidth="1"/>
    <col min="15121" max="15121" width="13" style="18" bestFit="1" customWidth="1"/>
    <col min="15122" max="15360" width="11.5703125" style="18"/>
    <col min="15361" max="15361" width="8.5703125" style="18" customWidth="1"/>
    <col min="15362" max="15362" width="50" style="18" customWidth="1"/>
    <col min="15363" max="15363" width="6.42578125" style="18" bestFit="1" customWidth="1"/>
    <col min="15364" max="15365" width="8.5703125" style="18" customWidth="1"/>
    <col min="15366" max="15366" width="11.42578125" style="18" bestFit="1" customWidth="1"/>
    <col min="15367" max="15367" width="7.5703125" style="18" bestFit="1" customWidth="1"/>
    <col min="15368" max="15368" width="11.5703125" style="18" bestFit="1"/>
    <col min="15369" max="15369" width="8" style="18" bestFit="1" customWidth="1"/>
    <col min="15370" max="15370" width="11.5703125" style="18" bestFit="1"/>
    <col min="15371" max="15371" width="8.42578125" style="18" bestFit="1" customWidth="1"/>
    <col min="15372" max="15372" width="11.5703125" style="18" bestFit="1"/>
    <col min="15373" max="15373" width="8.42578125" style="18" customWidth="1"/>
    <col min="15374" max="15374" width="7.42578125" style="18" bestFit="1" customWidth="1"/>
    <col min="15375" max="15375" width="11.5703125" style="18" bestFit="1"/>
    <col min="15376" max="15376" width="8.42578125" style="18" customWidth="1"/>
    <col min="15377" max="15377" width="13" style="18" bestFit="1" customWidth="1"/>
    <col min="15378" max="15616" width="11.5703125" style="18"/>
    <col min="15617" max="15617" width="8.5703125" style="18" customWidth="1"/>
    <col min="15618" max="15618" width="50" style="18" customWidth="1"/>
    <col min="15619" max="15619" width="6.42578125" style="18" bestFit="1" customWidth="1"/>
    <col min="15620" max="15621" width="8.5703125" style="18" customWidth="1"/>
    <col min="15622" max="15622" width="11.42578125" style="18" bestFit="1" customWidth="1"/>
    <col min="15623" max="15623" width="7.5703125" style="18" bestFit="1" customWidth="1"/>
    <col min="15624" max="15624" width="11.5703125" style="18" bestFit="1"/>
    <col min="15625" max="15625" width="8" style="18" bestFit="1" customWidth="1"/>
    <col min="15626" max="15626" width="11.5703125" style="18" bestFit="1"/>
    <col min="15627" max="15627" width="8.42578125" style="18" bestFit="1" customWidth="1"/>
    <col min="15628" max="15628" width="11.5703125" style="18" bestFit="1"/>
    <col min="15629" max="15629" width="8.42578125" style="18" customWidth="1"/>
    <col min="15630" max="15630" width="7.42578125" style="18" bestFit="1" customWidth="1"/>
    <col min="15631" max="15631" width="11.5703125" style="18" bestFit="1"/>
    <col min="15632" max="15632" width="8.42578125" style="18" customWidth="1"/>
    <col min="15633" max="15633" width="13" style="18" bestFit="1" customWidth="1"/>
    <col min="15634" max="15872" width="11.5703125" style="18"/>
    <col min="15873" max="15873" width="8.5703125" style="18" customWidth="1"/>
    <col min="15874" max="15874" width="50" style="18" customWidth="1"/>
    <col min="15875" max="15875" width="6.42578125" style="18" bestFit="1" customWidth="1"/>
    <col min="15876" max="15877" width="8.5703125" style="18" customWidth="1"/>
    <col min="15878" max="15878" width="11.42578125" style="18" bestFit="1" customWidth="1"/>
    <col min="15879" max="15879" width="7.5703125" style="18" bestFit="1" customWidth="1"/>
    <col min="15880" max="15880" width="11.5703125" style="18" bestFit="1"/>
    <col min="15881" max="15881" width="8" style="18" bestFit="1" customWidth="1"/>
    <col min="15882" max="15882" width="11.5703125" style="18" bestFit="1"/>
    <col min="15883" max="15883" width="8.42578125" style="18" bestFit="1" customWidth="1"/>
    <col min="15884" max="15884" width="11.5703125" style="18" bestFit="1"/>
    <col min="15885" max="15885" width="8.42578125" style="18" customWidth="1"/>
    <col min="15886" max="15886" width="7.42578125" style="18" bestFit="1" customWidth="1"/>
    <col min="15887" max="15887" width="11.5703125" style="18" bestFit="1"/>
    <col min="15888" max="15888" width="8.42578125" style="18" customWidth="1"/>
    <col min="15889" max="15889" width="13" style="18" bestFit="1" customWidth="1"/>
    <col min="15890" max="16128" width="11.5703125" style="18"/>
    <col min="16129" max="16129" width="8.5703125" style="18" customWidth="1"/>
    <col min="16130" max="16130" width="50" style="18" customWidth="1"/>
    <col min="16131" max="16131" width="6.42578125" style="18" bestFit="1" customWidth="1"/>
    <col min="16132" max="16133" width="8.5703125" style="18" customWidth="1"/>
    <col min="16134" max="16134" width="11.42578125" style="18" bestFit="1" customWidth="1"/>
    <col min="16135" max="16135" width="7.5703125" style="18" bestFit="1" customWidth="1"/>
    <col min="16136" max="16136" width="11.5703125" style="18" bestFit="1"/>
    <col min="16137" max="16137" width="8" style="18" bestFit="1" customWidth="1"/>
    <col min="16138" max="16138" width="11.5703125" style="18" bestFit="1"/>
    <col min="16139" max="16139" width="8.42578125" style="18" bestFit="1" customWidth="1"/>
    <col min="16140" max="16140" width="11.5703125" style="18" bestFit="1"/>
    <col min="16141" max="16141" width="8.42578125" style="18" customWidth="1"/>
    <col min="16142" max="16142" width="7.42578125" style="18" bestFit="1" customWidth="1"/>
    <col min="16143" max="16143" width="11.5703125" style="18" bestFit="1"/>
    <col min="16144" max="16144" width="8.42578125" style="18" customWidth="1"/>
    <col min="16145" max="16145" width="13" style="18" bestFit="1" customWidth="1"/>
    <col min="16146" max="16384" width="11.5703125" style="18"/>
  </cols>
  <sheetData>
    <row r="1" spans="1:18" s="5" customFormat="1">
      <c r="A1" s="1"/>
      <c r="B1" s="2"/>
      <c r="C1" s="174"/>
      <c r="E1" s="173" t="s">
        <v>12</v>
      </c>
      <c r="G1" s="174"/>
      <c r="H1" s="174"/>
      <c r="I1" s="513"/>
      <c r="J1" s="174"/>
      <c r="K1" s="174"/>
      <c r="L1" s="174"/>
      <c r="M1" s="174"/>
    </row>
    <row r="2" spans="1:18" s="5" customFormat="1" ht="12" customHeight="1">
      <c r="A2" s="2536" t="s">
        <v>2090</v>
      </c>
      <c r="B2" s="2536"/>
      <c r="C2" s="2536"/>
      <c r="D2" s="2536"/>
      <c r="E2" s="2536"/>
      <c r="F2" s="2536"/>
      <c r="G2" s="2536"/>
      <c r="H2" s="2536"/>
      <c r="I2" s="2536"/>
      <c r="J2" s="2536"/>
      <c r="K2" s="2536"/>
      <c r="L2" s="2536"/>
      <c r="M2" s="2536"/>
      <c r="N2" s="2536"/>
      <c r="O2" s="2536"/>
      <c r="P2" s="2536"/>
    </row>
    <row r="3" spans="1:18" s="5" customFormat="1" ht="13.5" customHeight="1" thickBot="1">
      <c r="A3" s="1011"/>
      <c r="B3" s="2537" t="s">
        <v>2091</v>
      </c>
      <c r="C3" s="2537"/>
      <c r="D3" s="2537"/>
      <c r="E3" s="2537"/>
      <c r="F3" s="2537"/>
      <c r="G3" s="2537"/>
      <c r="H3" s="2537"/>
      <c r="I3" s="2537"/>
      <c r="J3" s="2537"/>
      <c r="K3" s="1011"/>
      <c r="L3" s="1011"/>
      <c r="M3" s="1011"/>
      <c r="N3" s="1011"/>
      <c r="O3" s="1011"/>
      <c r="P3" s="1011"/>
    </row>
    <row r="4" spans="1:18" s="169" customFormat="1" ht="32.25" customHeight="1" thickBot="1">
      <c r="A4" s="3"/>
      <c r="B4" s="611" t="s">
        <v>6</v>
      </c>
      <c r="C4" s="172" t="s">
        <v>4</v>
      </c>
      <c r="D4" s="2538" t="s">
        <v>531</v>
      </c>
      <c r="E4" s="2539"/>
      <c r="F4" s="2539"/>
      <c r="G4" s="2539"/>
      <c r="H4" s="2539"/>
      <c r="I4" s="2539"/>
      <c r="J4" s="2539"/>
      <c r="K4" s="2539"/>
      <c r="L4" s="2540"/>
      <c r="M4" s="514" t="s">
        <v>13</v>
      </c>
      <c r="N4" s="168"/>
      <c r="O4" s="2541">
        <v>42951</v>
      </c>
      <c r="P4" s="2541"/>
    </row>
    <row r="5" spans="1:18" s="5" customFormat="1" ht="12.75" customHeight="1">
      <c r="A5" s="1011"/>
      <c r="B5" s="11" t="s">
        <v>5</v>
      </c>
      <c r="C5" s="635" t="s">
        <v>4</v>
      </c>
      <c r="D5" s="13" t="s">
        <v>532</v>
      </c>
      <c r="E5" s="1011"/>
      <c r="F5" s="1011"/>
      <c r="G5" s="1011"/>
      <c r="H5" s="3"/>
      <c r="I5" s="6"/>
      <c r="J5" s="3"/>
      <c r="K5" s="3"/>
      <c r="L5" s="3"/>
      <c r="M5" s="1011" t="s">
        <v>14</v>
      </c>
      <c r="O5" s="1011"/>
      <c r="P5" s="309" t="s">
        <v>534</v>
      </c>
    </row>
    <row r="6" spans="1:18" s="5" customFormat="1">
      <c r="A6" s="1"/>
      <c r="B6" s="11" t="s">
        <v>15</v>
      </c>
      <c r="C6" s="635" t="s">
        <v>4</v>
      </c>
      <c r="D6" s="13" t="s">
        <v>533</v>
      </c>
      <c r="E6" s="1"/>
      <c r="F6" s="1"/>
      <c r="G6" s="3"/>
      <c r="H6" s="3"/>
      <c r="I6" s="515"/>
      <c r="J6" s="3"/>
      <c r="K6" s="3"/>
      <c r="L6" s="3"/>
      <c r="M6" s="1011" t="s">
        <v>16</v>
      </c>
      <c r="O6" s="1"/>
      <c r="P6" s="309" t="s">
        <v>535</v>
      </c>
    </row>
    <row r="7" spans="1:18" s="5" customFormat="1">
      <c r="A7" s="1"/>
      <c r="B7" s="11" t="s">
        <v>17</v>
      </c>
      <c r="C7" s="635" t="s">
        <v>4</v>
      </c>
      <c r="D7" s="13" t="s">
        <v>11</v>
      </c>
      <c r="E7" s="1"/>
      <c r="F7" s="1"/>
      <c r="G7" s="3"/>
      <c r="H7" s="3"/>
      <c r="I7" s="515"/>
      <c r="J7" s="3"/>
      <c r="K7" s="3"/>
      <c r="L7" s="3"/>
      <c r="M7" s="1011" t="s">
        <v>18</v>
      </c>
      <c r="O7" s="14"/>
      <c r="P7" s="309" t="s">
        <v>10</v>
      </c>
    </row>
    <row r="8" spans="1:18" s="5" customFormat="1">
      <c r="A8" s="1"/>
      <c r="B8" s="11" t="s">
        <v>19</v>
      </c>
      <c r="C8" s="635" t="s">
        <v>4</v>
      </c>
      <c r="D8" s="15">
        <v>2017</v>
      </c>
      <c r="E8" s="1"/>
      <c r="F8" s="1"/>
      <c r="G8" s="3"/>
      <c r="H8" s="3"/>
      <c r="I8" s="515"/>
      <c r="J8" s="3"/>
      <c r="K8" s="3"/>
      <c r="L8" s="1011"/>
      <c r="M8" s="3"/>
      <c r="N8" s="1"/>
      <c r="O8" s="1"/>
      <c r="P8" s="1"/>
    </row>
    <row r="9" spans="1:18" ht="13.5" thickBot="1"/>
    <row r="10" spans="1:18" s="5" customFormat="1" ht="11.25" customHeight="1" thickBot="1">
      <c r="A10" s="2534" t="s">
        <v>20</v>
      </c>
      <c r="B10" s="2534" t="s">
        <v>21</v>
      </c>
      <c r="C10" s="2543" t="s">
        <v>22</v>
      </c>
      <c r="D10" s="2546" t="s">
        <v>23</v>
      </c>
      <c r="E10" s="2547"/>
      <c r="F10" s="2548"/>
      <c r="G10" s="2552" t="s">
        <v>24</v>
      </c>
      <c r="H10" s="2553"/>
      <c r="I10" s="2553"/>
      <c r="J10" s="2553"/>
      <c r="K10" s="2553"/>
      <c r="L10" s="2553"/>
      <c r="M10" s="2554"/>
      <c r="N10" s="2546" t="s">
        <v>25</v>
      </c>
      <c r="O10" s="2547"/>
      <c r="P10" s="2548"/>
    </row>
    <row r="11" spans="1:18" s="5" customFormat="1" ht="11.25" customHeight="1" thickBot="1">
      <c r="A11" s="2542"/>
      <c r="B11" s="2542"/>
      <c r="C11" s="2544"/>
      <c r="D11" s="2549"/>
      <c r="E11" s="2550"/>
      <c r="F11" s="2551"/>
      <c r="G11" s="2552" t="s">
        <v>26</v>
      </c>
      <c r="H11" s="2554"/>
      <c r="I11" s="2552" t="s">
        <v>27</v>
      </c>
      <c r="J11" s="2554"/>
      <c r="K11" s="2552" t="s">
        <v>28</v>
      </c>
      <c r="L11" s="2553"/>
      <c r="M11" s="2554"/>
      <c r="N11" s="2549"/>
      <c r="O11" s="2550"/>
      <c r="P11" s="2551"/>
    </row>
    <row r="12" spans="1:18" s="5" customFormat="1" ht="11.25" customHeight="1">
      <c r="A12" s="2542"/>
      <c r="B12" s="2542"/>
      <c r="C12" s="2544"/>
      <c r="D12" s="2534" t="s">
        <v>29</v>
      </c>
      <c r="E12" s="2557" t="s">
        <v>30</v>
      </c>
      <c r="F12" s="2534" t="s">
        <v>31</v>
      </c>
      <c r="G12" s="2534" t="s">
        <v>3</v>
      </c>
      <c r="H12" s="2543" t="s">
        <v>32</v>
      </c>
      <c r="I12" s="2534" t="s">
        <v>3</v>
      </c>
      <c r="J12" s="2534" t="s">
        <v>32</v>
      </c>
      <c r="K12" s="2534" t="s">
        <v>3</v>
      </c>
      <c r="L12" s="2534" t="s">
        <v>32</v>
      </c>
      <c r="M12" s="2534" t="s">
        <v>0</v>
      </c>
      <c r="N12" s="2534" t="s">
        <v>3</v>
      </c>
      <c r="O12" s="2555" t="s">
        <v>32</v>
      </c>
      <c r="P12" s="2534" t="s">
        <v>0</v>
      </c>
    </row>
    <row r="13" spans="1:18" s="5" customFormat="1" ht="11.25" customHeight="1" thickBot="1">
      <c r="A13" s="2535"/>
      <c r="B13" s="2535"/>
      <c r="C13" s="2545"/>
      <c r="D13" s="2535"/>
      <c r="E13" s="2558"/>
      <c r="F13" s="2535"/>
      <c r="G13" s="2535"/>
      <c r="H13" s="2545"/>
      <c r="I13" s="2535"/>
      <c r="J13" s="2535"/>
      <c r="K13" s="2535"/>
      <c r="L13" s="2535"/>
      <c r="M13" s="2535"/>
      <c r="N13" s="2535"/>
      <c r="O13" s="2556"/>
      <c r="P13" s="2535"/>
    </row>
    <row r="14" spans="1:18" s="497" customFormat="1" ht="11.25" customHeight="1">
      <c r="A14" s="612" t="s">
        <v>33</v>
      </c>
      <c r="B14" s="612" t="s">
        <v>1131</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1132</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537</v>
      </c>
      <c r="B16" s="610" t="s">
        <v>1134</v>
      </c>
      <c r="C16" s="536" t="s">
        <v>64</v>
      </c>
      <c r="D16" s="619" t="s">
        <v>1454</v>
      </c>
      <c r="E16" s="605" t="s">
        <v>1771</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538</v>
      </c>
      <c r="B17" s="610" t="s">
        <v>1918</v>
      </c>
      <c r="C17" s="620" t="s">
        <v>64</v>
      </c>
      <c r="D17" s="619" t="s">
        <v>1454</v>
      </c>
      <c r="E17" s="605" t="s">
        <v>1772</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539</v>
      </c>
      <c r="B18" s="616" t="s">
        <v>1136</v>
      </c>
      <c r="C18" s="536" t="s">
        <v>64</v>
      </c>
      <c r="D18" s="619" t="s">
        <v>1454</v>
      </c>
      <c r="E18" s="605" t="s">
        <v>1773</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550</v>
      </c>
      <c r="B19" s="614" t="s">
        <v>1146</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551</v>
      </c>
      <c r="B20" s="616" t="s">
        <v>1147</v>
      </c>
      <c r="C20" s="536" t="s">
        <v>64</v>
      </c>
      <c r="D20" s="619" t="s">
        <v>1454</v>
      </c>
      <c r="E20" s="605" t="s">
        <v>1774</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552</v>
      </c>
      <c r="B21" s="616" t="s">
        <v>1148</v>
      </c>
      <c r="C21" s="536" t="s">
        <v>36</v>
      </c>
      <c r="D21" s="619" t="s">
        <v>1458</v>
      </c>
      <c r="E21" s="605" t="s">
        <v>1775</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553</v>
      </c>
      <c r="B22" s="616" t="s">
        <v>1149</v>
      </c>
      <c r="C22" s="536" t="s">
        <v>64</v>
      </c>
      <c r="D22" s="619" t="s">
        <v>1454</v>
      </c>
      <c r="E22" s="605" t="s">
        <v>1776</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554</v>
      </c>
      <c r="B23" s="616" t="s">
        <v>1150</v>
      </c>
      <c r="C23" s="536" t="s">
        <v>64</v>
      </c>
      <c r="D23" s="619" t="s">
        <v>1454</v>
      </c>
      <c r="E23" s="605" t="s">
        <v>1777</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555</v>
      </c>
      <c r="B24" s="616" t="s">
        <v>1151</v>
      </c>
      <c r="C24" s="536" t="s">
        <v>64</v>
      </c>
      <c r="D24" s="619" t="s">
        <v>1454</v>
      </c>
      <c r="E24" s="605" t="s">
        <v>1778</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556</v>
      </c>
      <c r="B25" s="616" t="s">
        <v>1152</v>
      </c>
      <c r="C25" s="536" t="s">
        <v>64</v>
      </c>
      <c r="D25" s="619" t="s">
        <v>1454</v>
      </c>
      <c r="E25" s="605" t="s">
        <v>1779</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1153</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1201</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615</v>
      </c>
      <c r="B29" s="613" t="s">
        <v>1168</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619</v>
      </c>
      <c r="B30" s="610" t="s">
        <v>1172</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620</v>
      </c>
      <c r="B31" s="610" t="s">
        <v>1206</v>
      </c>
      <c r="C31" s="536" t="s">
        <v>40</v>
      </c>
      <c r="D31" s="619" t="s">
        <v>1504</v>
      </c>
      <c r="E31" s="605" t="s">
        <v>1784</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621</v>
      </c>
      <c r="B32" s="610" t="s">
        <v>1174</v>
      </c>
      <c r="C32" s="620" t="s">
        <v>37</v>
      </c>
      <c r="D32" s="619" t="s">
        <v>1505</v>
      </c>
      <c r="E32" s="605" t="s">
        <v>1786</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623</v>
      </c>
      <c r="B33" s="610" t="s">
        <v>1176</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624</v>
      </c>
      <c r="B34" s="610" t="s">
        <v>1207</v>
      </c>
      <c r="C34" s="536" t="s">
        <v>40</v>
      </c>
      <c r="D34" s="619" t="s">
        <v>1507</v>
      </c>
      <c r="E34" s="605" t="s">
        <v>1787</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625</v>
      </c>
      <c r="B35" s="610" t="s">
        <v>1178</v>
      </c>
      <c r="C35" s="536" t="s">
        <v>37</v>
      </c>
      <c r="D35" s="619" t="s">
        <v>1508</v>
      </c>
      <c r="E35" s="605" t="s">
        <v>1788</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631</v>
      </c>
      <c r="B36" s="610" t="s">
        <v>1184</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633</v>
      </c>
      <c r="B37" s="610" t="s">
        <v>1186</v>
      </c>
      <c r="C37" s="536" t="s">
        <v>37</v>
      </c>
      <c r="D37" s="619" t="s">
        <v>1514</v>
      </c>
      <c r="E37" s="605" t="s">
        <v>1790</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634</v>
      </c>
      <c r="B38" s="610" t="s">
        <v>1187</v>
      </c>
      <c r="C38" s="536" t="s">
        <v>48</v>
      </c>
      <c r="D38" s="619" t="s">
        <v>1515</v>
      </c>
      <c r="E38" s="605" t="s">
        <v>1785</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635</v>
      </c>
      <c r="B39" s="610" t="s">
        <v>1188</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637</v>
      </c>
      <c r="B40" s="610" t="s">
        <v>1190</v>
      </c>
      <c r="C40" s="536" t="s">
        <v>37</v>
      </c>
      <c r="D40" s="619" t="s">
        <v>1517</v>
      </c>
      <c r="E40" s="605" t="s">
        <v>1791</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646</v>
      </c>
      <c r="B41" s="613" t="s">
        <v>1199</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648</v>
      </c>
      <c r="B42" s="610" t="s">
        <v>225</v>
      </c>
      <c r="C42" s="536" t="s">
        <v>1449</v>
      </c>
      <c r="D42" s="619" t="s">
        <v>1492</v>
      </c>
      <c r="E42" s="605" t="s">
        <v>1581</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1208</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660</v>
      </c>
      <c r="B44" s="613" t="s">
        <v>1168</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664</v>
      </c>
      <c r="B45" s="610" t="s">
        <v>1172</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665</v>
      </c>
      <c r="B46" s="610" t="s">
        <v>1206</v>
      </c>
      <c r="C46" s="620" t="s">
        <v>40</v>
      </c>
      <c r="D46" s="619" t="s">
        <v>1535</v>
      </c>
      <c r="E46" s="605" t="s">
        <v>1784</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666</v>
      </c>
      <c r="B47" s="610" t="s">
        <v>1174</v>
      </c>
      <c r="C47" s="620" t="s">
        <v>37</v>
      </c>
      <c r="D47" s="619" t="s">
        <v>1536</v>
      </c>
      <c r="E47" s="605" t="s">
        <v>1786</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668</v>
      </c>
      <c r="B48" s="610" t="s">
        <v>1176</v>
      </c>
      <c r="C48" s="620"/>
      <c r="D48" s="619"/>
      <c r="E48" s="605"/>
      <c r="F48" s="321"/>
      <c r="G48" s="519"/>
      <c r="H48" s="609"/>
      <c r="I48" s="639"/>
      <c r="J48" s="520"/>
      <c r="K48" s="519"/>
      <c r="L48" s="521"/>
      <c r="M48" s="522"/>
      <c r="N48" s="323"/>
      <c r="O48" s="324"/>
      <c r="P48" s="322"/>
      <c r="Q48" s="199"/>
    </row>
    <row r="49" spans="1:17" s="16" customFormat="1" ht="11.25" customHeight="1">
      <c r="A49" s="610" t="s">
        <v>669</v>
      </c>
      <c r="B49" s="610" t="s">
        <v>1207</v>
      </c>
      <c r="C49" s="620" t="s">
        <v>40</v>
      </c>
      <c r="D49" s="619" t="s">
        <v>1538</v>
      </c>
      <c r="E49" s="605" t="s">
        <v>1787</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670</v>
      </c>
      <c r="B50" s="610" t="s">
        <v>1178</v>
      </c>
      <c r="C50" s="620" t="s">
        <v>37</v>
      </c>
      <c r="D50" s="619" t="s">
        <v>1539</v>
      </c>
      <c r="E50" s="605" t="s">
        <v>1788</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676</v>
      </c>
      <c r="B51" s="610" t="s">
        <v>1184</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677</v>
      </c>
      <c r="B52" s="610" t="s">
        <v>1185</v>
      </c>
      <c r="C52" s="620" t="s">
        <v>40</v>
      </c>
      <c r="D52" s="619" t="s">
        <v>1544</v>
      </c>
      <c r="E52" s="605" t="s">
        <v>1789</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678</v>
      </c>
      <c r="B53" s="610" t="s">
        <v>1186</v>
      </c>
      <c r="C53" s="620" t="s">
        <v>37</v>
      </c>
      <c r="D53" s="619" t="s">
        <v>1545</v>
      </c>
      <c r="E53" s="605" t="s">
        <v>1790</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680</v>
      </c>
      <c r="B54" s="610" t="s">
        <v>1188</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682</v>
      </c>
      <c r="B55" s="610" t="s">
        <v>1190</v>
      </c>
      <c r="C55" s="620" t="s">
        <v>37</v>
      </c>
      <c r="D55" s="619" t="s">
        <v>1548</v>
      </c>
      <c r="E55" s="605" t="s">
        <v>1791</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691</v>
      </c>
      <c r="B56" s="613" t="s">
        <v>1199</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693</v>
      </c>
      <c r="B57" s="610" t="s">
        <v>225</v>
      </c>
      <c r="C57" s="620" t="s">
        <v>1449</v>
      </c>
      <c r="D57" s="619" t="s">
        <v>1492</v>
      </c>
      <c r="E57" s="605" t="s">
        <v>1581</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741</v>
      </c>
      <c r="B58" s="614" t="s">
        <v>1210</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742</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743</v>
      </c>
      <c r="B60" s="610" t="s">
        <v>1211</v>
      </c>
      <c r="C60" s="620" t="s">
        <v>40</v>
      </c>
      <c r="D60" s="619" t="s">
        <v>1582</v>
      </c>
      <c r="E60" s="605" t="s">
        <v>1780</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745</v>
      </c>
      <c r="B61" s="613" t="s">
        <v>1161</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746</v>
      </c>
      <c r="B62" s="610" t="s">
        <v>1203</v>
      </c>
      <c r="C62" s="620" t="s">
        <v>40</v>
      </c>
      <c r="D62" s="619" t="s">
        <v>1584</v>
      </c>
      <c r="E62" s="605" t="s">
        <v>1781</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747</v>
      </c>
      <c r="B63" s="613" t="s">
        <v>1168</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748</v>
      </c>
      <c r="B64" s="610" t="s">
        <v>1176</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751</v>
      </c>
      <c r="B65" s="610" t="s">
        <v>1179</v>
      </c>
      <c r="C65" s="620" t="s">
        <v>48</v>
      </c>
      <c r="D65" s="619" t="s">
        <v>1587</v>
      </c>
      <c r="E65" s="605" t="s">
        <v>1785</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756</v>
      </c>
      <c r="B66" s="610" t="s">
        <v>1212</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757</v>
      </c>
      <c r="B67" s="610" t="s">
        <v>1204</v>
      </c>
      <c r="C67" s="620" t="s">
        <v>40</v>
      </c>
      <c r="D67" s="619" t="s">
        <v>1591</v>
      </c>
      <c r="E67" s="605" t="s">
        <v>1782</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758</v>
      </c>
      <c r="B68" s="610" t="s">
        <v>1213</v>
      </c>
      <c r="C68" s="620" t="s">
        <v>37</v>
      </c>
      <c r="D68" s="619" t="s">
        <v>1592</v>
      </c>
      <c r="E68" s="605" t="s">
        <v>1792</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759</v>
      </c>
      <c r="B69" s="610" t="s">
        <v>1214</v>
      </c>
      <c r="C69" s="620" t="s">
        <v>48</v>
      </c>
      <c r="D69" s="619" t="s">
        <v>1593</v>
      </c>
      <c r="E69" s="605" t="s">
        <v>1785</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762</v>
      </c>
      <c r="B70" s="614" t="s">
        <v>1216</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766</v>
      </c>
      <c r="B71" s="613" t="s">
        <v>1217</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767</v>
      </c>
      <c r="B72" s="610" t="s">
        <v>1218</v>
      </c>
      <c r="C72" s="620" t="s">
        <v>40</v>
      </c>
      <c r="D72" s="619" t="s">
        <v>1597</v>
      </c>
      <c r="E72" s="605" t="s">
        <v>1787</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768</v>
      </c>
      <c r="B73" s="610" t="s">
        <v>1219</v>
      </c>
      <c r="C73" s="620" t="s">
        <v>37</v>
      </c>
      <c r="D73" s="619" t="s">
        <v>1598</v>
      </c>
      <c r="E73" s="605" t="s">
        <v>1788</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769</v>
      </c>
      <c r="B74" s="610" t="s">
        <v>1220</v>
      </c>
      <c r="C74" s="620" t="s">
        <v>48</v>
      </c>
      <c r="D74" s="619" t="s">
        <v>1599</v>
      </c>
      <c r="E74" s="605" t="s">
        <v>1785</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773</v>
      </c>
      <c r="B75" s="614" t="s">
        <v>1222</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777</v>
      </c>
      <c r="B76" s="613" t="s">
        <v>1161</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778</v>
      </c>
      <c r="B77" s="610" t="s">
        <v>1203</v>
      </c>
      <c r="C77" s="620" t="s">
        <v>40</v>
      </c>
      <c r="D77" s="619" t="s">
        <v>1604</v>
      </c>
      <c r="E77" s="605" t="s">
        <v>1781</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779</v>
      </c>
      <c r="B78" s="610" t="s">
        <v>1223</v>
      </c>
      <c r="C78" s="620" t="s">
        <v>37</v>
      </c>
      <c r="D78" s="619" t="s">
        <v>1605</v>
      </c>
      <c r="E78" s="605" t="s">
        <v>1783</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1233</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1234</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1235</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800</v>
      </c>
      <c r="B82" s="610" t="s">
        <v>1236</v>
      </c>
      <c r="C82" s="620" t="s">
        <v>37</v>
      </c>
      <c r="D82" s="619" t="s">
        <v>1618</v>
      </c>
      <c r="E82" s="605" t="s">
        <v>1793</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1805</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1806</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1807</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1808</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1809</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1810</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1811</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1812</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1813</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1814</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531" t="s">
        <v>62</v>
      </c>
      <c r="D97" s="2532"/>
      <c r="E97" s="2532"/>
      <c r="F97" s="2532"/>
      <c r="G97" s="2533"/>
      <c r="H97" s="667">
        <f>+H83/F83</f>
        <v>2.5591716483075788E-2</v>
      </c>
      <c r="I97" s="1014"/>
      <c r="J97" s="668" t="e">
        <f>+J83/F83</f>
        <v>#REF!</v>
      </c>
      <c r="K97" s="608"/>
      <c r="L97" s="1012"/>
      <c r="M97" s="668" t="e">
        <f>+L83/F83</f>
        <v>#REF!</v>
      </c>
      <c r="N97" s="669"/>
      <c r="O97" s="670"/>
      <c r="P97" s="671" t="e">
        <f>+O83/F83</f>
        <v>#REF!</v>
      </c>
      <c r="Q97" s="200"/>
    </row>
    <row r="98" spans="1:17" ht="13.5" hidden="1">
      <c r="A98" s="665"/>
      <c r="B98" s="654"/>
      <c r="C98" s="672"/>
      <c r="D98" s="673"/>
      <c r="E98" s="674"/>
      <c r="F98" s="675"/>
      <c r="G98" s="676"/>
      <c r="H98" s="676"/>
      <c r="I98" s="1014"/>
      <c r="J98" s="1014"/>
      <c r="K98" s="672"/>
      <c r="L98" s="1014"/>
      <c r="M98" s="672"/>
      <c r="N98" s="677"/>
      <c r="O98" s="678"/>
      <c r="P98" s="679"/>
    </row>
    <row r="99" spans="1:17" ht="13.5" hidden="1">
      <c r="A99" s="665"/>
      <c r="B99" s="650" t="s">
        <v>1805</v>
      </c>
      <c r="C99" s="672">
        <v>0.13514169600000001</v>
      </c>
      <c r="D99" s="673"/>
      <c r="E99" s="674"/>
      <c r="F99" s="675">
        <f>F83*C99</f>
        <v>52232.603358240005</v>
      </c>
      <c r="G99" s="676"/>
      <c r="H99" s="676"/>
      <c r="I99" s="1014"/>
      <c r="J99" s="1014"/>
      <c r="K99" s="672"/>
      <c r="L99" s="1014"/>
      <c r="M99" s="672"/>
      <c r="N99" s="677"/>
      <c r="O99" s="678"/>
      <c r="P99" s="679"/>
    </row>
    <row r="100" spans="1:17" ht="13.5" hidden="1">
      <c r="A100" s="665"/>
      <c r="B100" s="650" t="s">
        <v>1806</v>
      </c>
      <c r="C100" s="672">
        <v>2.5765203E-2</v>
      </c>
      <c r="D100" s="673"/>
      <c r="E100" s="674"/>
      <c r="F100" s="675">
        <f>F90*C100</f>
        <v>729.17843358269999</v>
      </c>
      <c r="G100" s="676"/>
      <c r="H100" s="676"/>
      <c r="I100" s="1014"/>
      <c r="J100" s="1014"/>
      <c r="K100" s="672"/>
      <c r="L100" s="1014"/>
      <c r="M100" s="672"/>
      <c r="N100" s="677"/>
      <c r="O100" s="678"/>
      <c r="P100" s="679"/>
    </row>
    <row r="101" spans="1:17" ht="13.5" hidden="1">
      <c r="A101" s="665"/>
      <c r="B101" s="650" t="s">
        <v>1807</v>
      </c>
      <c r="C101" s="672">
        <v>5.4089901000000003E-2</v>
      </c>
      <c r="D101" s="673"/>
      <c r="E101" s="674"/>
      <c r="F101" s="675">
        <f>F91*C101</f>
        <v>4165.2723386594698</v>
      </c>
      <c r="G101" s="676"/>
      <c r="H101" s="676"/>
      <c r="I101" s="1014"/>
      <c r="J101" s="1014"/>
      <c r="K101" s="672"/>
      <c r="L101" s="1014"/>
      <c r="M101" s="672"/>
      <c r="N101" s="677"/>
      <c r="O101" s="678"/>
      <c r="P101" s="679"/>
    </row>
    <row r="102" spans="1:17" ht="13.5" hidden="1">
      <c r="A102" s="665"/>
      <c r="B102" s="650" t="s">
        <v>1808</v>
      </c>
      <c r="C102" s="672">
        <v>1.4803359E-2</v>
      </c>
      <c r="D102" s="673"/>
      <c r="E102" s="674"/>
      <c r="F102" s="675">
        <f>F92*C102</f>
        <v>395.50282273889997</v>
      </c>
      <c r="G102" s="676"/>
      <c r="H102" s="676"/>
      <c r="I102" s="1014"/>
      <c r="J102" s="1014"/>
      <c r="K102" s="672"/>
      <c r="L102" s="1014"/>
      <c r="M102" s="672"/>
      <c r="N102" s="677"/>
      <c r="O102" s="678"/>
      <c r="P102" s="679"/>
    </row>
    <row r="103" spans="1:17" ht="13.5" hidden="1">
      <c r="A103" s="665"/>
      <c r="B103" s="650" t="s">
        <v>1809</v>
      </c>
      <c r="C103" s="672">
        <v>3.2312274000000002E-2</v>
      </c>
      <c r="D103" s="673"/>
      <c r="E103" s="674"/>
      <c r="F103" s="675">
        <f>F93*C103</f>
        <v>533.97389900507994</v>
      </c>
      <c r="G103" s="676"/>
      <c r="H103" s="676"/>
      <c r="I103" s="1014"/>
      <c r="J103" s="1014"/>
      <c r="K103" s="672"/>
      <c r="L103" s="1014"/>
      <c r="M103" s="672"/>
      <c r="N103" s="677"/>
      <c r="O103" s="678"/>
      <c r="P103" s="679"/>
    </row>
    <row r="104" spans="1:17" ht="13.5" hidden="1">
      <c r="A104" s="665"/>
      <c r="B104" s="650" t="s">
        <v>1810</v>
      </c>
      <c r="C104" s="672"/>
      <c r="D104" s="673"/>
      <c r="E104" s="674"/>
      <c r="F104" s="675"/>
      <c r="G104" s="676"/>
      <c r="H104" s="676"/>
      <c r="I104" s="1014"/>
      <c r="J104" s="1014"/>
      <c r="K104" s="672"/>
      <c r="L104" s="1014"/>
      <c r="M104" s="672"/>
      <c r="N104" s="677"/>
      <c r="O104" s="678"/>
      <c r="P104" s="679"/>
    </row>
    <row r="105" spans="1:17" ht="13.5" hidden="1">
      <c r="A105" s="665"/>
      <c r="B105" s="650" t="s">
        <v>1811</v>
      </c>
      <c r="C105" s="672"/>
      <c r="D105" s="673"/>
      <c r="E105" s="674"/>
      <c r="F105" s="675"/>
      <c r="G105" s="676"/>
      <c r="H105" s="676"/>
      <c r="I105" s="1014"/>
      <c r="J105" s="1014"/>
      <c r="K105" s="672"/>
      <c r="L105" s="1014"/>
      <c r="M105" s="672"/>
      <c r="N105" s="677"/>
      <c r="O105" s="678"/>
      <c r="P105" s="679"/>
    </row>
    <row r="106" spans="1:17" ht="13.5" hidden="1">
      <c r="A106" s="665"/>
      <c r="B106" s="650" t="s">
        <v>1812</v>
      </c>
      <c r="C106" s="672"/>
      <c r="D106" s="673"/>
      <c r="E106" s="674"/>
      <c r="F106" s="675"/>
      <c r="G106" s="676"/>
      <c r="H106" s="676"/>
      <c r="I106" s="1014"/>
      <c r="J106" s="1014"/>
      <c r="K106" s="672"/>
      <c r="L106" s="1014"/>
      <c r="M106" s="672"/>
      <c r="N106" s="677"/>
      <c r="O106" s="678"/>
      <c r="P106" s="679"/>
    </row>
    <row r="107" spans="1:17" ht="13.5" hidden="1">
      <c r="A107" s="665"/>
      <c r="B107" s="650" t="s">
        <v>1813</v>
      </c>
      <c r="C107" s="672"/>
      <c r="D107" s="673"/>
      <c r="E107" s="674"/>
      <c r="F107" s="675"/>
      <c r="G107" s="676"/>
      <c r="H107" s="676"/>
      <c r="I107" s="1014"/>
      <c r="J107" s="1014"/>
      <c r="K107" s="672"/>
      <c r="L107" s="1014"/>
      <c r="M107" s="672"/>
      <c r="N107" s="677"/>
      <c r="O107" s="678"/>
      <c r="P107" s="679"/>
    </row>
    <row r="108" spans="1:17" ht="13.5" hidden="1">
      <c r="A108" s="665"/>
      <c r="B108" s="650" t="s">
        <v>1814</v>
      </c>
      <c r="C108" s="672"/>
      <c r="D108" s="673"/>
      <c r="E108" s="674"/>
      <c r="F108" s="675"/>
      <c r="G108" s="676"/>
      <c r="H108" s="676"/>
      <c r="I108" s="1014"/>
      <c r="J108" s="1014"/>
      <c r="K108" s="672"/>
      <c r="L108" s="1014"/>
      <c r="M108" s="672"/>
      <c r="N108" s="677"/>
      <c r="O108" s="678"/>
      <c r="P108" s="679"/>
    </row>
    <row r="109" spans="1:17" ht="13.5" hidden="1">
      <c r="A109" s="665"/>
      <c r="B109" s="650" t="s">
        <v>1815</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I12:I13"/>
    <mergeCell ref="G12:G13"/>
    <mergeCell ref="D12:D13"/>
    <mergeCell ref="E12:E13"/>
    <mergeCell ref="F12:F13"/>
    <mergeCell ref="H12:H13"/>
    <mergeCell ref="L12:L13"/>
    <mergeCell ref="M12:M13"/>
    <mergeCell ref="N12:N13"/>
    <mergeCell ref="J12:J13"/>
    <mergeCell ref="K11:M11"/>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2.75"/>
  <cols>
    <col min="2" max="5" width="15.5703125" customWidth="1"/>
    <col min="6" max="6" width="20.42578125" customWidth="1"/>
    <col min="7" max="7" width="28.42578125" customWidth="1"/>
  </cols>
  <sheetData>
    <row r="1" spans="1:7">
      <c r="A1" s="2559" t="s">
        <v>528</v>
      </c>
      <c r="B1" s="2559"/>
      <c r="C1" s="2559"/>
      <c r="D1" s="2559"/>
      <c r="E1" s="2559"/>
      <c r="F1" s="2559"/>
      <c r="G1" s="2559"/>
    </row>
    <row r="2" spans="1:7">
      <c r="A2" s="945" t="s">
        <v>1952</v>
      </c>
      <c r="B2" s="946" t="s">
        <v>1954</v>
      </c>
      <c r="C2" s="946" t="s">
        <v>1955</v>
      </c>
      <c r="D2" s="946" t="s">
        <v>1956</v>
      </c>
      <c r="E2" s="946" t="s">
        <v>1957</v>
      </c>
      <c r="F2" s="946" t="s">
        <v>1210</v>
      </c>
      <c r="G2" s="946" t="s">
        <v>1969</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8.25">
      <c r="A7" s="953">
        <v>42921</v>
      </c>
      <c r="B7" s="958"/>
      <c r="C7" s="956"/>
      <c r="D7" s="949" t="s">
        <v>1953</v>
      </c>
      <c r="E7" s="956"/>
      <c r="F7" s="956"/>
      <c r="G7" s="148"/>
    </row>
    <row r="8" spans="1:7" ht="51">
      <c r="A8" s="953">
        <v>42922</v>
      </c>
      <c r="B8" s="956"/>
      <c r="C8" s="949" t="s">
        <v>1958</v>
      </c>
      <c r="D8" s="949" t="s">
        <v>1960</v>
      </c>
      <c r="E8" s="956"/>
      <c r="F8" s="949" t="s">
        <v>1964</v>
      </c>
      <c r="G8" s="148"/>
    </row>
    <row r="9" spans="1:7" ht="51">
      <c r="A9" s="953">
        <v>42923</v>
      </c>
      <c r="B9" s="956"/>
      <c r="C9" s="949" t="s">
        <v>1961</v>
      </c>
      <c r="D9" s="949" t="s">
        <v>1962</v>
      </c>
      <c r="E9" s="956"/>
      <c r="F9" s="949" t="s">
        <v>1959</v>
      </c>
      <c r="G9" s="148"/>
    </row>
    <row r="10" spans="1:7" ht="51">
      <c r="A10" s="953">
        <v>42924</v>
      </c>
      <c r="B10" s="956"/>
      <c r="C10" s="949" t="s">
        <v>1963</v>
      </c>
      <c r="D10" s="949" t="s">
        <v>1962</v>
      </c>
      <c r="E10" s="956"/>
      <c r="F10" s="947" t="s">
        <v>1964</v>
      </c>
      <c r="G10" s="148"/>
    </row>
    <row r="11" spans="1:7">
      <c r="A11" s="954">
        <v>42925</v>
      </c>
      <c r="B11" s="951"/>
      <c r="C11" s="957"/>
      <c r="D11" s="957"/>
      <c r="E11" s="957"/>
      <c r="F11" s="957"/>
      <c r="G11" s="950"/>
    </row>
    <row r="12" spans="1:7" ht="51">
      <c r="A12" s="953">
        <v>42926</v>
      </c>
      <c r="B12" s="956"/>
      <c r="C12" s="949" t="s">
        <v>1962</v>
      </c>
      <c r="D12" s="949" t="s">
        <v>1962</v>
      </c>
      <c r="E12" s="956"/>
      <c r="F12" s="949" t="s">
        <v>1959</v>
      </c>
      <c r="G12" s="148"/>
    </row>
    <row r="13" spans="1:7" ht="51">
      <c r="A13" s="953">
        <v>42927</v>
      </c>
      <c r="B13" s="956"/>
      <c r="C13" s="949" t="s">
        <v>1962</v>
      </c>
      <c r="D13" s="949" t="s">
        <v>1962</v>
      </c>
      <c r="E13" s="956"/>
      <c r="F13" s="949" t="s">
        <v>1964</v>
      </c>
      <c r="G13" s="949" t="s">
        <v>1970</v>
      </c>
    </row>
    <row r="14" spans="1:7" ht="51">
      <c r="A14" s="953">
        <v>42928</v>
      </c>
      <c r="B14" s="956"/>
      <c r="C14" s="949" t="s">
        <v>1965</v>
      </c>
      <c r="D14" s="949" t="s">
        <v>1966</v>
      </c>
      <c r="E14" s="956"/>
      <c r="F14" s="949" t="s">
        <v>1959</v>
      </c>
      <c r="G14" s="949" t="s">
        <v>1970</v>
      </c>
    </row>
    <row r="15" spans="1:7" ht="51">
      <c r="A15" s="953">
        <v>42929</v>
      </c>
      <c r="B15" s="948"/>
      <c r="C15" s="949" t="s">
        <v>1965</v>
      </c>
      <c r="D15" s="949" t="s">
        <v>1966</v>
      </c>
      <c r="E15" s="956"/>
      <c r="F15" s="949" t="s">
        <v>1964</v>
      </c>
      <c r="G15" s="949" t="s">
        <v>1970</v>
      </c>
    </row>
    <row r="16" spans="1:7" ht="38.25">
      <c r="A16" s="953">
        <v>42930</v>
      </c>
      <c r="B16" s="956"/>
      <c r="C16" s="949" t="s">
        <v>1967</v>
      </c>
      <c r="D16" s="949" t="s">
        <v>1967</v>
      </c>
      <c r="E16" s="956"/>
      <c r="F16" s="949" t="s">
        <v>1959</v>
      </c>
      <c r="G16" s="952" t="s">
        <v>1971</v>
      </c>
    </row>
    <row r="17" spans="1:7" ht="51">
      <c r="A17" s="953">
        <v>42931</v>
      </c>
      <c r="B17" s="956"/>
      <c r="C17" s="949" t="s">
        <v>1967</v>
      </c>
      <c r="D17" s="949" t="s">
        <v>1967</v>
      </c>
      <c r="E17" s="956"/>
      <c r="F17" s="949" t="s">
        <v>1964</v>
      </c>
      <c r="G17" s="949" t="s">
        <v>1972</v>
      </c>
    </row>
    <row r="18" spans="1:7">
      <c r="A18" s="954">
        <v>42932</v>
      </c>
      <c r="B18" s="957"/>
      <c r="C18" s="957"/>
      <c r="D18" s="957"/>
      <c r="E18" s="957"/>
      <c r="F18" s="957"/>
      <c r="G18" s="950"/>
    </row>
    <row r="19" spans="1:7" ht="38.25">
      <c r="A19" s="953">
        <v>42933</v>
      </c>
      <c r="B19" s="948"/>
      <c r="C19" s="949" t="s">
        <v>1967</v>
      </c>
      <c r="D19" s="949" t="s">
        <v>1967</v>
      </c>
      <c r="E19" s="956"/>
      <c r="F19" s="956"/>
      <c r="G19" s="949" t="s">
        <v>1972</v>
      </c>
    </row>
    <row r="20" spans="1:7" ht="38.25">
      <c r="A20" s="953">
        <v>42934</v>
      </c>
      <c r="B20" s="956"/>
      <c r="C20" s="949" t="s">
        <v>1967</v>
      </c>
      <c r="D20" s="949" t="s">
        <v>1967</v>
      </c>
      <c r="E20" s="956"/>
      <c r="F20" s="956"/>
      <c r="G20" s="949" t="s">
        <v>1973</v>
      </c>
    </row>
    <row r="21" spans="1:7" ht="38.25">
      <c r="A21" s="953">
        <v>42935</v>
      </c>
      <c r="B21" s="956"/>
      <c r="C21" s="949" t="s">
        <v>1967</v>
      </c>
      <c r="D21" s="956"/>
      <c r="E21" s="956"/>
      <c r="F21" s="956"/>
      <c r="G21" s="949" t="s">
        <v>1972</v>
      </c>
    </row>
    <row r="22" spans="1:7" ht="25.5">
      <c r="A22" s="953">
        <v>42936</v>
      </c>
      <c r="B22" s="956"/>
      <c r="C22" s="949" t="s">
        <v>1968</v>
      </c>
      <c r="D22" s="949" t="s">
        <v>1968</v>
      </c>
      <c r="E22" s="956"/>
      <c r="F22" s="956"/>
      <c r="G22" s="949" t="s">
        <v>1973</v>
      </c>
    </row>
    <row r="23" spans="1:7" ht="38.25">
      <c r="A23" s="953">
        <v>42937</v>
      </c>
      <c r="B23" s="949" t="s">
        <v>1977</v>
      </c>
      <c r="C23" s="947" t="s">
        <v>1976</v>
      </c>
      <c r="D23" s="947" t="s">
        <v>1976</v>
      </c>
      <c r="E23" s="956"/>
      <c r="F23" s="956"/>
      <c r="G23" s="949" t="s">
        <v>1974</v>
      </c>
    </row>
    <row r="24" spans="1:7" ht="38.25">
      <c r="A24" s="953">
        <v>42938</v>
      </c>
      <c r="B24" s="949" t="s">
        <v>1977</v>
      </c>
      <c r="C24" s="947" t="s">
        <v>1976</v>
      </c>
      <c r="D24" s="947" t="s">
        <v>1976</v>
      </c>
      <c r="E24" s="956"/>
      <c r="F24" s="956"/>
      <c r="G24" s="949" t="s">
        <v>1974</v>
      </c>
    </row>
    <row r="25" spans="1:7">
      <c r="A25" s="954">
        <v>42939</v>
      </c>
      <c r="B25" s="957"/>
      <c r="C25" s="957"/>
      <c r="D25" s="957"/>
      <c r="E25" s="957"/>
      <c r="F25" s="957"/>
      <c r="G25" s="960"/>
    </row>
    <row r="26" spans="1:7" ht="38.25">
      <c r="A26" s="953">
        <v>42940</v>
      </c>
      <c r="B26" s="949" t="s">
        <v>1978</v>
      </c>
      <c r="C26" s="947" t="s">
        <v>1976</v>
      </c>
      <c r="D26" s="947" t="s">
        <v>1976</v>
      </c>
      <c r="E26" s="956"/>
      <c r="F26" s="956"/>
      <c r="G26" s="949" t="s">
        <v>1974</v>
      </c>
    </row>
    <row r="27" spans="1:7" ht="38.25">
      <c r="A27" s="953">
        <v>42941</v>
      </c>
      <c r="C27" s="947" t="s">
        <v>1976</v>
      </c>
      <c r="D27" s="947" t="s">
        <v>1976</v>
      </c>
      <c r="E27" s="956"/>
      <c r="F27" s="956"/>
      <c r="G27" s="952" t="s">
        <v>1975</v>
      </c>
    </row>
    <row r="28" spans="1:7" ht="25.5">
      <c r="A28" s="953">
        <v>42942</v>
      </c>
      <c r="B28" s="956"/>
      <c r="C28" s="956"/>
      <c r="D28" s="956"/>
      <c r="E28" s="956"/>
      <c r="F28" s="956"/>
      <c r="G28" s="949" t="s">
        <v>1972</v>
      </c>
    </row>
    <row r="29" spans="1:7" ht="25.5">
      <c r="A29" s="953">
        <v>42943</v>
      </c>
      <c r="B29" s="956"/>
      <c r="C29" s="956"/>
      <c r="D29" s="956"/>
      <c r="E29" s="956"/>
      <c r="F29" s="956"/>
      <c r="G29" s="961" t="s">
        <v>1973</v>
      </c>
    </row>
    <row r="30" spans="1:7">
      <c r="A30" s="954">
        <v>42944</v>
      </c>
      <c r="B30" s="957"/>
      <c r="C30" s="957"/>
      <c r="D30" s="957"/>
      <c r="E30" s="957"/>
      <c r="F30" s="957"/>
      <c r="G30" s="950"/>
    </row>
    <row r="31" spans="1:7" ht="25.5">
      <c r="A31" s="955">
        <v>42945</v>
      </c>
      <c r="B31" s="959"/>
      <c r="C31" s="959"/>
      <c r="D31" s="959"/>
      <c r="E31" s="959"/>
      <c r="F31" s="949" t="s">
        <v>1977</v>
      </c>
      <c r="G31" s="148"/>
    </row>
    <row r="32" spans="1:7">
      <c r="A32" s="954">
        <v>42946</v>
      </c>
      <c r="B32" s="957"/>
      <c r="C32" s="957"/>
      <c r="D32" s="957"/>
      <c r="E32" s="957"/>
      <c r="F32" s="960"/>
      <c r="G32" s="950"/>
    </row>
    <row r="33" spans="1:7" ht="25.5">
      <c r="A33" s="953">
        <v>42947</v>
      </c>
      <c r="B33" s="956"/>
      <c r="C33" s="956"/>
      <c r="D33" s="956"/>
      <c r="E33" s="956"/>
      <c r="F33" s="949" t="s">
        <v>1977</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27"/>
  <sheetViews>
    <sheetView view="pageBreakPreview" topLeftCell="A43" zoomScaleNormal="100" zoomScaleSheetLayoutView="100" workbookViewId="0">
      <selection activeCell="E58" sqref="E58"/>
    </sheetView>
  </sheetViews>
  <sheetFormatPr baseColWidth="10" defaultRowHeight="15"/>
  <cols>
    <col min="1" max="1" width="11.5703125" style="2132"/>
    <col min="2" max="2" width="1.28515625" style="2132" customWidth="1"/>
    <col min="3" max="3" width="4.42578125" style="2132" customWidth="1"/>
    <col min="4" max="4" width="5.42578125" style="2132" customWidth="1"/>
    <col min="5" max="5" width="50.5703125" style="2132" bestFit="1" customWidth="1"/>
    <col min="6" max="6" width="56.42578125" style="2132" customWidth="1"/>
    <col min="7" max="7" width="1.28515625" style="2132" customWidth="1"/>
    <col min="8" max="8" width="17" style="2132" customWidth="1"/>
    <col min="9" max="258" width="10.85546875" style="2132"/>
    <col min="259" max="259" width="4.42578125" style="2132" customWidth="1"/>
    <col min="260" max="260" width="5.42578125" style="2132" customWidth="1"/>
    <col min="261" max="261" width="50.5703125" style="2132" bestFit="1" customWidth="1"/>
    <col min="262" max="262" width="56.42578125" style="2132" customWidth="1"/>
    <col min="263" max="514" width="10.85546875" style="2132"/>
    <col min="515" max="515" width="4.42578125" style="2132" customWidth="1"/>
    <col min="516" max="516" width="5.42578125" style="2132" customWidth="1"/>
    <col min="517" max="517" width="50.5703125" style="2132" bestFit="1" customWidth="1"/>
    <col min="518" max="518" width="56.42578125" style="2132" customWidth="1"/>
    <col min="519" max="770" width="10.85546875" style="2132"/>
    <col min="771" max="771" width="4.42578125" style="2132" customWidth="1"/>
    <col min="772" max="772" width="5.42578125" style="2132" customWidth="1"/>
    <col min="773" max="773" width="50.5703125" style="2132" bestFit="1" customWidth="1"/>
    <col min="774" max="774" width="56.42578125" style="2132" customWidth="1"/>
    <col min="775" max="1026" width="10.85546875" style="2132"/>
    <col min="1027" max="1027" width="4.42578125" style="2132" customWidth="1"/>
    <col min="1028" max="1028" width="5.42578125" style="2132" customWidth="1"/>
    <col min="1029" max="1029" width="50.5703125" style="2132" bestFit="1" customWidth="1"/>
    <col min="1030" max="1030" width="56.42578125" style="2132" customWidth="1"/>
    <col min="1031" max="1282" width="10.85546875" style="2132"/>
    <col min="1283" max="1283" width="4.42578125" style="2132" customWidth="1"/>
    <col min="1284" max="1284" width="5.42578125" style="2132" customWidth="1"/>
    <col min="1285" max="1285" width="50.5703125" style="2132" bestFit="1" customWidth="1"/>
    <col min="1286" max="1286" width="56.42578125" style="2132" customWidth="1"/>
    <col min="1287" max="1538" width="10.85546875" style="2132"/>
    <col min="1539" max="1539" width="4.42578125" style="2132" customWidth="1"/>
    <col min="1540" max="1540" width="5.42578125" style="2132" customWidth="1"/>
    <col min="1541" max="1541" width="50.5703125" style="2132" bestFit="1" customWidth="1"/>
    <col min="1542" max="1542" width="56.42578125" style="2132" customWidth="1"/>
    <col min="1543" max="1794" width="10.85546875" style="2132"/>
    <col min="1795" max="1795" width="4.42578125" style="2132" customWidth="1"/>
    <col min="1796" max="1796" width="5.42578125" style="2132" customWidth="1"/>
    <col min="1797" max="1797" width="50.5703125" style="2132" bestFit="1" customWidth="1"/>
    <col min="1798" max="1798" width="56.42578125" style="2132" customWidth="1"/>
    <col min="1799" max="2050" width="10.85546875" style="2132"/>
    <col min="2051" max="2051" width="4.42578125" style="2132" customWidth="1"/>
    <col min="2052" max="2052" width="5.42578125" style="2132" customWidth="1"/>
    <col min="2053" max="2053" width="50.5703125" style="2132" bestFit="1" customWidth="1"/>
    <col min="2054" max="2054" width="56.42578125" style="2132" customWidth="1"/>
    <col min="2055" max="2306" width="10.85546875" style="2132"/>
    <col min="2307" max="2307" width="4.42578125" style="2132" customWidth="1"/>
    <col min="2308" max="2308" width="5.42578125" style="2132" customWidth="1"/>
    <col min="2309" max="2309" width="50.5703125" style="2132" bestFit="1" customWidth="1"/>
    <col min="2310" max="2310" width="56.42578125" style="2132" customWidth="1"/>
    <col min="2311" max="2562" width="10.85546875" style="2132"/>
    <col min="2563" max="2563" width="4.42578125" style="2132" customWidth="1"/>
    <col min="2564" max="2564" width="5.42578125" style="2132" customWidth="1"/>
    <col min="2565" max="2565" width="50.5703125" style="2132" bestFit="1" customWidth="1"/>
    <col min="2566" max="2566" width="56.42578125" style="2132" customWidth="1"/>
    <col min="2567" max="2818" width="10.85546875" style="2132"/>
    <col min="2819" max="2819" width="4.42578125" style="2132" customWidth="1"/>
    <col min="2820" max="2820" width="5.42578125" style="2132" customWidth="1"/>
    <col min="2821" max="2821" width="50.5703125" style="2132" bestFit="1" customWidth="1"/>
    <col min="2822" max="2822" width="56.42578125" style="2132" customWidth="1"/>
    <col min="2823" max="3074" width="10.85546875" style="2132"/>
    <col min="3075" max="3075" width="4.42578125" style="2132" customWidth="1"/>
    <col min="3076" max="3076" width="5.42578125" style="2132" customWidth="1"/>
    <col min="3077" max="3077" width="50.5703125" style="2132" bestFit="1" customWidth="1"/>
    <col min="3078" max="3078" width="56.42578125" style="2132" customWidth="1"/>
    <col min="3079" max="3330" width="10.85546875" style="2132"/>
    <col min="3331" max="3331" width="4.42578125" style="2132" customWidth="1"/>
    <col min="3332" max="3332" width="5.42578125" style="2132" customWidth="1"/>
    <col min="3333" max="3333" width="50.5703125" style="2132" bestFit="1" customWidth="1"/>
    <col min="3334" max="3334" width="56.42578125" style="2132" customWidth="1"/>
    <col min="3335" max="3586" width="10.85546875" style="2132"/>
    <col min="3587" max="3587" width="4.42578125" style="2132" customWidth="1"/>
    <col min="3588" max="3588" width="5.42578125" style="2132" customWidth="1"/>
    <col min="3589" max="3589" width="50.5703125" style="2132" bestFit="1" customWidth="1"/>
    <col min="3590" max="3590" width="56.42578125" style="2132" customWidth="1"/>
    <col min="3591" max="3842" width="10.85546875" style="2132"/>
    <col min="3843" max="3843" width="4.42578125" style="2132" customWidth="1"/>
    <col min="3844" max="3844" width="5.42578125" style="2132" customWidth="1"/>
    <col min="3845" max="3845" width="50.5703125" style="2132" bestFit="1" customWidth="1"/>
    <col min="3846" max="3846" width="56.42578125" style="2132" customWidth="1"/>
    <col min="3847" max="4098" width="10.85546875" style="2132"/>
    <col min="4099" max="4099" width="4.42578125" style="2132" customWidth="1"/>
    <col min="4100" max="4100" width="5.42578125" style="2132" customWidth="1"/>
    <col min="4101" max="4101" width="50.5703125" style="2132" bestFit="1" customWidth="1"/>
    <col min="4102" max="4102" width="56.42578125" style="2132" customWidth="1"/>
    <col min="4103" max="4354" width="10.85546875" style="2132"/>
    <col min="4355" max="4355" width="4.42578125" style="2132" customWidth="1"/>
    <col min="4356" max="4356" width="5.42578125" style="2132" customWidth="1"/>
    <col min="4357" max="4357" width="50.5703125" style="2132" bestFit="1" customWidth="1"/>
    <col min="4358" max="4358" width="56.42578125" style="2132" customWidth="1"/>
    <col min="4359" max="4610" width="10.85546875" style="2132"/>
    <col min="4611" max="4611" width="4.42578125" style="2132" customWidth="1"/>
    <col min="4612" max="4612" width="5.42578125" style="2132" customWidth="1"/>
    <col min="4613" max="4613" width="50.5703125" style="2132" bestFit="1" customWidth="1"/>
    <col min="4614" max="4614" width="56.42578125" style="2132" customWidth="1"/>
    <col min="4615" max="4866" width="10.85546875" style="2132"/>
    <col min="4867" max="4867" width="4.42578125" style="2132" customWidth="1"/>
    <col min="4868" max="4868" width="5.42578125" style="2132" customWidth="1"/>
    <col min="4869" max="4869" width="50.5703125" style="2132" bestFit="1" customWidth="1"/>
    <col min="4870" max="4870" width="56.42578125" style="2132" customWidth="1"/>
    <col min="4871" max="5122" width="10.85546875" style="2132"/>
    <col min="5123" max="5123" width="4.42578125" style="2132" customWidth="1"/>
    <col min="5124" max="5124" width="5.42578125" style="2132" customWidth="1"/>
    <col min="5125" max="5125" width="50.5703125" style="2132" bestFit="1" customWidth="1"/>
    <col min="5126" max="5126" width="56.42578125" style="2132" customWidth="1"/>
    <col min="5127" max="5378" width="10.85546875" style="2132"/>
    <col min="5379" max="5379" width="4.42578125" style="2132" customWidth="1"/>
    <col min="5380" max="5380" width="5.42578125" style="2132" customWidth="1"/>
    <col min="5381" max="5381" width="50.5703125" style="2132" bestFit="1" customWidth="1"/>
    <col min="5382" max="5382" width="56.42578125" style="2132" customWidth="1"/>
    <col min="5383" max="5634" width="10.85546875" style="2132"/>
    <col min="5635" max="5635" width="4.42578125" style="2132" customWidth="1"/>
    <col min="5636" max="5636" width="5.42578125" style="2132" customWidth="1"/>
    <col min="5637" max="5637" width="50.5703125" style="2132" bestFit="1" customWidth="1"/>
    <col min="5638" max="5638" width="56.42578125" style="2132" customWidth="1"/>
    <col min="5639" max="5890" width="10.85546875" style="2132"/>
    <col min="5891" max="5891" width="4.42578125" style="2132" customWidth="1"/>
    <col min="5892" max="5892" width="5.42578125" style="2132" customWidth="1"/>
    <col min="5893" max="5893" width="50.5703125" style="2132" bestFit="1" customWidth="1"/>
    <col min="5894" max="5894" width="56.42578125" style="2132" customWidth="1"/>
    <col min="5895" max="6146" width="10.85546875" style="2132"/>
    <col min="6147" max="6147" width="4.42578125" style="2132" customWidth="1"/>
    <col min="6148" max="6148" width="5.42578125" style="2132" customWidth="1"/>
    <col min="6149" max="6149" width="50.5703125" style="2132" bestFit="1" customWidth="1"/>
    <col min="6150" max="6150" width="56.42578125" style="2132" customWidth="1"/>
    <col min="6151" max="6402" width="10.85546875" style="2132"/>
    <col min="6403" max="6403" width="4.42578125" style="2132" customWidth="1"/>
    <col min="6404" max="6404" width="5.42578125" style="2132" customWidth="1"/>
    <col min="6405" max="6405" width="50.5703125" style="2132" bestFit="1" customWidth="1"/>
    <col min="6406" max="6406" width="56.42578125" style="2132" customWidth="1"/>
    <col min="6407" max="6658" width="10.85546875" style="2132"/>
    <col min="6659" max="6659" width="4.42578125" style="2132" customWidth="1"/>
    <col min="6660" max="6660" width="5.42578125" style="2132" customWidth="1"/>
    <col min="6661" max="6661" width="50.5703125" style="2132" bestFit="1" customWidth="1"/>
    <col min="6662" max="6662" width="56.42578125" style="2132" customWidth="1"/>
    <col min="6663" max="6914" width="10.85546875" style="2132"/>
    <col min="6915" max="6915" width="4.42578125" style="2132" customWidth="1"/>
    <col min="6916" max="6916" width="5.42578125" style="2132" customWidth="1"/>
    <col min="6917" max="6917" width="50.5703125" style="2132" bestFit="1" customWidth="1"/>
    <col min="6918" max="6918" width="56.42578125" style="2132" customWidth="1"/>
    <col min="6919" max="7170" width="10.85546875" style="2132"/>
    <col min="7171" max="7171" width="4.42578125" style="2132" customWidth="1"/>
    <col min="7172" max="7172" width="5.42578125" style="2132" customWidth="1"/>
    <col min="7173" max="7173" width="50.5703125" style="2132" bestFit="1" customWidth="1"/>
    <col min="7174" max="7174" width="56.42578125" style="2132" customWidth="1"/>
    <col min="7175" max="7426" width="10.85546875" style="2132"/>
    <col min="7427" max="7427" width="4.42578125" style="2132" customWidth="1"/>
    <col min="7428" max="7428" width="5.42578125" style="2132" customWidth="1"/>
    <col min="7429" max="7429" width="50.5703125" style="2132" bestFit="1" customWidth="1"/>
    <col min="7430" max="7430" width="56.42578125" style="2132" customWidth="1"/>
    <col min="7431" max="7682" width="10.85546875" style="2132"/>
    <col min="7683" max="7683" width="4.42578125" style="2132" customWidth="1"/>
    <col min="7684" max="7684" width="5.42578125" style="2132" customWidth="1"/>
    <col min="7685" max="7685" width="50.5703125" style="2132" bestFit="1" customWidth="1"/>
    <col min="7686" max="7686" width="56.42578125" style="2132" customWidth="1"/>
    <col min="7687" max="7938" width="10.85546875" style="2132"/>
    <col min="7939" max="7939" width="4.42578125" style="2132" customWidth="1"/>
    <col min="7940" max="7940" width="5.42578125" style="2132" customWidth="1"/>
    <col min="7941" max="7941" width="50.5703125" style="2132" bestFit="1" customWidth="1"/>
    <col min="7942" max="7942" width="56.42578125" style="2132" customWidth="1"/>
    <col min="7943" max="8194" width="10.85546875" style="2132"/>
    <col min="8195" max="8195" width="4.42578125" style="2132" customWidth="1"/>
    <col min="8196" max="8196" width="5.42578125" style="2132" customWidth="1"/>
    <col min="8197" max="8197" width="50.5703125" style="2132" bestFit="1" customWidth="1"/>
    <col min="8198" max="8198" width="56.42578125" style="2132" customWidth="1"/>
    <col min="8199" max="8450" width="10.85546875" style="2132"/>
    <col min="8451" max="8451" width="4.42578125" style="2132" customWidth="1"/>
    <col min="8452" max="8452" width="5.42578125" style="2132" customWidth="1"/>
    <col min="8453" max="8453" width="50.5703125" style="2132" bestFit="1" customWidth="1"/>
    <col min="8454" max="8454" width="56.42578125" style="2132" customWidth="1"/>
    <col min="8455" max="8706" width="10.85546875" style="2132"/>
    <col min="8707" max="8707" width="4.42578125" style="2132" customWidth="1"/>
    <col min="8708" max="8708" width="5.42578125" style="2132" customWidth="1"/>
    <col min="8709" max="8709" width="50.5703125" style="2132" bestFit="1" customWidth="1"/>
    <col min="8710" max="8710" width="56.42578125" style="2132" customWidth="1"/>
    <col min="8711" max="8962" width="10.85546875" style="2132"/>
    <col min="8963" max="8963" width="4.42578125" style="2132" customWidth="1"/>
    <col min="8964" max="8964" width="5.42578125" style="2132" customWidth="1"/>
    <col min="8965" max="8965" width="50.5703125" style="2132" bestFit="1" customWidth="1"/>
    <col min="8966" max="8966" width="56.42578125" style="2132" customWidth="1"/>
    <col min="8967" max="9218" width="10.85546875" style="2132"/>
    <col min="9219" max="9219" width="4.42578125" style="2132" customWidth="1"/>
    <col min="9220" max="9220" width="5.42578125" style="2132" customWidth="1"/>
    <col min="9221" max="9221" width="50.5703125" style="2132" bestFit="1" customWidth="1"/>
    <col min="9222" max="9222" width="56.42578125" style="2132" customWidth="1"/>
    <col min="9223" max="9474" width="10.85546875" style="2132"/>
    <col min="9475" max="9475" width="4.42578125" style="2132" customWidth="1"/>
    <col min="9476" max="9476" width="5.42578125" style="2132" customWidth="1"/>
    <col min="9477" max="9477" width="50.5703125" style="2132" bestFit="1" customWidth="1"/>
    <col min="9478" max="9478" width="56.42578125" style="2132" customWidth="1"/>
    <col min="9479" max="9730" width="10.85546875" style="2132"/>
    <col min="9731" max="9731" width="4.42578125" style="2132" customWidth="1"/>
    <col min="9732" max="9732" width="5.42578125" style="2132" customWidth="1"/>
    <col min="9733" max="9733" width="50.5703125" style="2132" bestFit="1" customWidth="1"/>
    <col min="9734" max="9734" width="56.42578125" style="2132" customWidth="1"/>
    <col min="9735" max="9986" width="10.85546875" style="2132"/>
    <col min="9987" max="9987" width="4.42578125" style="2132" customWidth="1"/>
    <col min="9988" max="9988" width="5.42578125" style="2132" customWidth="1"/>
    <col min="9989" max="9989" width="50.5703125" style="2132" bestFit="1" customWidth="1"/>
    <col min="9990" max="9990" width="56.42578125" style="2132" customWidth="1"/>
    <col min="9991" max="10242" width="10.85546875" style="2132"/>
    <col min="10243" max="10243" width="4.42578125" style="2132" customWidth="1"/>
    <col min="10244" max="10244" width="5.42578125" style="2132" customWidth="1"/>
    <col min="10245" max="10245" width="50.5703125" style="2132" bestFit="1" customWidth="1"/>
    <col min="10246" max="10246" width="56.42578125" style="2132" customWidth="1"/>
    <col min="10247" max="10498" width="10.85546875" style="2132"/>
    <col min="10499" max="10499" width="4.42578125" style="2132" customWidth="1"/>
    <col min="10500" max="10500" width="5.42578125" style="2132" customWidth="1"/>
    <col min="10501" max="10501" width="50.5703125" style="2132" bestFit="1" customWidth="1"/>
    <col min="10502" max="10502" width="56.42578125" style="2132" customWidth="1"/>
    <col min="10503" max="10754" width="10.85546875" style="2132"/>
    <col min="10755" max="10755" width="4.42578125" style="2132" customWidth="1"/>
    <col min="10756" max="10756" width="5.42578125" style="2132" customWidth="1"/>
    <col min="10757" max="10757" width="50.5703125" style="2132" bestFit="1" customWidth="1"/>
    <col min="10758" max="10758" width="56.42578125" style="2132" customWidth="1"/>
    <col min="10759" max="11010" width="10.85546875" style="2132"/>
    <col min="11011" max="11011" width="4.42578125" style="2132" customWidth="1"/>
    <col min="11012" max="11012" width="5.42578125" style="2132" customWidth="1"/>
    <col min="11013" max="11013" width="50.5703125" style="2132" bestFit="1" customWidth="1"/>
    <col min="11014" max="11014" width="56.42578125" style="2132" customWidth="1"/>
    <col min="11015" max="11266" width="10.85546875" style="2132"/>
    <col min="11267" max="11267" width="4.42578125" style="2132" customWidth="1"/>
    <col min="11268" max="11268" width="5.42578125" style="2132" customWidth="1"/>
    <col min="11269" max="11269" width="50.5703125" style="2132" bestFit="1" customWidth="1"/>
    <col min="11270" max="11270" width="56.42578125" style="2132" customWidth="1"/>
    <col min="11271" max="11522" width="10.85546875" style="2132"/>
    <col min="11523" max="11523" width="4.42578125" style="2132" customWidth="1"/>
    <col min="11524" max="11524" width="5.42578125" style="2132" customWidth="1"/>
    <col min="11525" max="11525" width="50.5703125" style="2132" bestFit="1" customWidth="1"/>
    <col min="11526" max="11526" width="56.42578125" style="2132" customWidth="1"/>
    <col min="11527" max="11778" width="10.85546875" style="2132"/>
    <col min="11779" max="11779" width="4.42578125" style="2132" customWidth="1"/>
    <col min="11780" max="11780" width="5.42578125" style="2132" customWidth="1"/>
    <col min="11781" max="11781" width="50.5703125" style="2132" bestFit="1" customWidth="1"/>
    <col min="11782" max="11782" width="56.42578125" style="2132" customWidth="1"/>
    <col min="11783" max="12034" width="10.85546875" style="2132"/>
    <col min="12035" max="12035" width="4.42578125" style="2132" customWidth="1"/>
    <col min="12036" max="12036" width="5.42578125" style="2132" customWidth="1"/>
    <col min="12037" max="12037" width="50.5703125" style="2132" bestFit="1" customWidth="1"/>
    <col min="12038" max="12038" width="56.42578125" style="2132" customWidth="1"/>
    <col min="12039" max="12290" width="10.85546875" style="2132"/>
    <col min="12291" max="12291" width="4.42578125" style="2132" customWidth="1"/>
    <col min="12292" max="12292" width="5.42578125" style="2132" customWidth="1"/>
    <col min="12293" max="12293" width="50.5703125" style="2132" bestFit="1" customWidth="1"/>
    <col min="12294" max="12294" width="56.42578125" style="2132" customWidth="1"/>
    <col min="12295" max="12546" width="10.85546875" style="2132"/>
    <col min="12547" max="12547" width="4.42578125" style="2132" customWidth="1"/>
    <col min="12548" max="12548" width="5.42578125" style="2132" customWidth="1"/>
    <col min="12549" max="12549" width="50.5703125" style="2132" bestFit="1" customWidth="1"/>
    <col min="12550" max="12550" width="56.42578125" style="2132" customWidth="1"/>
    <col min="12551" max="12802" width="10.85546875" style="2132"/>
    <col min="12803" max="12803" width="4.42578125" style="2132" customWidth="1"/>
    <col min="12804" max="12804" width="5.42578125" style="2132" customWidth="1"/>
    <col min="12805" max="12805" width="50.5703125" style="2132" bestFit="1" customWidth="1"/>
    <col min="12806" max="12806" width="56.42578125" style="2132" customWidth="1"/>
    <col min="12807" max="13058" width="10.85546875" style="2132"/>
    <col min="13059" max="13059" width="4.42578125" style="2132" customWidth="1"/>
    <col min="13060" max="13060" width="5.42578125" style="2132" customWidth="1"/>
    <col min="13061" max="13061" width="50.5703125" style="2132" bestFit="1" customWidth="1"/>
    <col min="13062" max="13062" width="56.42578125" style="2132" customWidth="1"/>
    <col min="13063" max="13314" width="10.85546875" style="2132"/>
    <col min="13315" max="13315" width="4.42578125" style="2132" customWidth="1"/>
    <col min="13316" max="13316" width="5.42578125" style="2132" customWidth="1"/>
    <col min="13317" max="13317" width="50.5703125" style="2132" bestFit="1" customWidth="1"/>
    <col min="13318" max="13318" width="56.42578125" style="2132" customWidth="1"/>
    <col min="13319" max="13570" width="10.85546875" style="2132"/>
    <col min="13571" max="13571" width="4.42578125" style="2132" customWidth="1"/>
    <col min="13572" max="13572" width="5.42578125" style="2132" customWidth="1"/>
    <col min="13573" max="13573" width="50.5703125" style="2132" bestFit="1" customWidth="1"/>
    <col min="13574" max="13574" width="56.42578125" style="2132" customWidth="1"/>
    <col min="13575" max="13826" width="10.85546875" style="2132"/>
    <col min="13827" max="13827" width="4.42578125" style="2132" customWidth="1"/>
    <col min="13828" max="13828" width="5.42578125" style="2132" customWidth="1"/>
    <col min="13829" max="13829" width="50.5703125" style="2132" bestFit="1" customWidth="1"/>
    <col min="13830" max="13830" width="56.42578125" style="2132" customWidth="1"/>
    <col min="13831" max="14082" width="10.85546875" style="2132"/>
    <col min="14083" max="14083" width="4.42578125" style="2132" customWidth="1"/>
    <col min="14084" max="14084" width="5.42578125" style="2132" customWidth="1"/>
    <col min="14085" max="14085" width="50.5703125" style="2132" bestFit="1" customWidth="1"/>
    <col min="14086" max="14086" width="56.42578125" style="2132" customWidth="1"/>
    <col min="14087" max="14338" width="10.85546875" style="2132"/>
    <col min="14339" max="14339" width="4.42578125" style="2132" customWidth="1"/>
    <col min="14340" max="14340" width="5.42578125" style="2132" customWidth="1"/>
    <col min="14341" max="14341" width="50.5703125" style="2132" bestFit="1" customWidth="1"/>
    <col min="14342" max="14342" width="56.42578125" style="2132" customWidth="1"/>
    <col min="14343" max="14594" width="10.85546875" style="2132"/>
    <col min="14595" max="14595" width="4.42578125" style="2132" customWidth="1"/>
    <col min="14596" max="14596" width="5.42578125" style="2132" customWidth="1"/>
    <col min="14597" max="14597" width="50.5703125" style="2132" bestFit="1" customWidth="1"/>
    <col min="14598" max="14598" width="56.42578125" style="2132" customWidth="1"/>
    <col min="14599" max="14850" width="10.85546875" style="2132"/>
    <col min="14851" max="14851" width="4.42578125" style="2132" customWidth="1"/>
    <col min="14852" max="14852" width="5.42578125" style="2132" customWidth="1"/>
    <col min="14853" max="14853" width="50.5703125" style="2132" bestFit="1" customWidth="1"/>
    <col min="14854" max="14854" width="56.42578125" style="2132" customWidth="1"/>
    <col min="14855" max="15106" width="10.85546875" style="2132"/>
    <col min="15107" max="15107" width="4.42578125" style="2132" customWidth="1"/>
    <col min="15108" max="15108" width="5.42578125" style="2132" customWidth="1"/>
    <col min="15109" max="15109" width="50.5703125" style="2132" bestFit="1" customWidth="1"/>
    <col min="15110" max="15110" width="56.42578125" style="2132" customWidth="1"/>
    <col min="15111" max="15362" width="10.85546875" style="2132"/>
    <col min="15363" max="15363" width="4.42578125" style="2132" customWidth="1"/>
    <col min="15364" max="15364" width="5.42578125" style="2132" customWidth="1"/>
    <col min="15365" max="15365" width="50.5703125" style="2132" bestFit="1" customWidth="1"/>
    <col min="15366" max="15366" width="56.42578125" style="2132" customWidth="1"/>
    <col min="15367" max="15618" width="10.85546875" style="2132"/>
    <col min="15619" max="15619" width="4.42578125" style="2132" customWidth="1"/>
    <col min="15620" max="15620" width="5.42578125" style="2132" customWidth="1"/>
    <col min="15621" max="15621" width="50.5703125" style="2132" bestFit="1" customWidth="1"/>
    <col min="15622" max="15622" width="56.42578125" style="2132" customWidth="1"/>
    <col min="15623" max="15874" width="10.85546875" style="2132"/>
    <col min="15875" max="15875" width="4.42578125" style="2132" customWidth="1"/>
    <col min="15876" max="15876" width="5.42578125" style="2132" customWidth="1"/>
    <col min="15877" max="15877" width="50.5703125" style="2132" bestFit="1" customWidth="1"/>
    <col min="15878" max="15878" width="56.42578125" style="2132" customWidth="1"/>
    <col min="15879" max="16130" width="10.85546875" style="2132"/>
    <col min="16131" max="16131" width="4.42578125" style="2132" customWidth="1"/>
    <col min="16132" max="16132" width="5.42578125" style="2132" customWidth="1"/>
    <col min="16133" max="16133" width="50.5703125" style="2132" bestFit="1" customWidth="1"/>
    <col min="16134" max="16134" width="56.42578125" style="2132" customWidth="1"/>
    <col min="16135" max="16384" width="10.85546875" style="2132"/>
  </cols>
  <sheetData>
    <row r="1" spans="3:39">
      <c r="C1" s="2565" t="s">
        <v>1822</v>
      </c>
      <c r="D1" s="2565"/>
      <c r="E1" s="2565"/>
      <c r="F1" s="2565"/>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566" t="s">
        <v>4367</v>
      </c>
      <c r="D2" s="2567"/>
      <c r="E2" s="2567"/>
      <c r="F2" s="2567"/>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75" thickBot="1">
      <c r="C3" s="2133"/>
      <c r="D3" s="2133"/>
      <c r="E3" s="2568" t="s">
        <v>4381</v>
      </c>
      <c r="F3" s="2568"/>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34"/>
      <c r="D4" s="2135"/>
      <c r="E4" s="2135"/>
      <c r="F4" s="2136"/>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37" t="s">
        <v>1823</v>
      </c>
      <c r="F5" s="2291" t="s">
        <v>1824</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37" t="s">
        <v>1825</v>
      </c>
      <c r="F6" s="2291" t="s">
        <v>1826</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37" t="s">
        <v>1827</v>
      </c>
      <c r="F7" s="2291" t="s">
        <v>1828</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37" t="s">
        <v>1829</v>
      </c>
      <c r="F8" s="2291">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37" t="s">
        <v>1830</v>
      </c>
      <c r="F9" s="2291">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569">
        <v>2</v>
      </c>
      <c r="D10" s="760"/>
      <c r="E10" s="2138" t="s">
        <v>1831</v>
      </c>
      <c r="F10" s="2240" t="s">
        <v>2233</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570"/>
      <c r="D11" s="760"/>
      <c r="E11" s="2139" t="s">
        <v>1832</v>
      </c>
      <c r="F11" s="2241" t="s">
        <v>2233</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37" t="s">
        <v>1833</v>
      </c>
      <c r="F12" s="761" t="s">
        <v>1828</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37" t="s">
        <v>1834</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40" t="s">
        <v>1835</v>
      </c>
      <c r="F14" s="2242">
        <f>SUM(F15:F25)</f>
        <v>26538412.399999999</v>
      </c>
    </row>
    <row r="15" spans="3:39">
      <c r="C15" s="762"/>
      <c r="D15" s="1210">
        <v>3.01</v>
      </c>
      <c r="E15" s="2137" t="s">
        <v>1836</v>
      </c>
      <c r="F15" s="764">
        <v>20414972.82</v>
      </c>
    </row>
    <row r="16" spans="3:39">
      <c r="C16" s="762"/>
      <c r="D16" s="1210">
        <v>3.02</v>
      </c>
      <c r="E16" s="2140" t="s">
        <v>1837</v>
      </c>
      <c r="F16" s="764">
        <v>281600</v>
      </c>
    </row>
    <row r="17" spans="3:37">
      <c r="C17" s="762"/>
      <c r="D17" s="1210">
        <v>3.03</v>
      </c>
      <c r="E17" s="2243" t="s">
        <v>1838</v>
      </c>
      <c r="F17" s="764">
        <v>633159.44999999995</v>
      </c>
    </row>
    <row r="18" spans="3:37">
      <c r="C18" s="2141"/>
      <c r="D18" s="1210">
        <v>3.04</v>
      </c>
      <c r="E18" s="2337" t="s">
        <v>1839</v>
      </c>
      <c r="F18" s="764">
        <v>1944879.91</v>
      </c>
    </row>
    <row r="19" spans="3:37">
      <c r="C19" s="2141"/>
      <c r="D19" s="1210">
        <v>3.05</v>
      </c>
      <c r="E19" s="2140" t="s">
        <v>1840</v>
      </c>
      <c r="F19" s="764">
        <v>134176.26999999999</v>
      </c>
    </row>
    <row r="20" spans="3:37">
      <c r="C20" s="2141"/>
      <c r="D20" s="1210">
        <v>3.06</v>
      </c>
      <c r="E20" s="2140" t="s">
        <v>1841</v>
      </c>
      <c r="F20" s="764">
        <v>560134.16</v>
      </c>
    </row>
    <row r="21" spans="3:37">
      <c r="C21" s="2141"/>
      <c r="D21" s="1210">
        <v>3.07</v>
      </c>
      <c r="E21" s="2140" t="s">
        <v>1842</v>
      </c>
      <c r="F21" s="764">
        <v>95831.08</v>
      </c>
    </row>
    <row r="22" spans="3:37">
      <c r="C22" s="2141"/>
      <c r="D22" s="1210">
        <v>3.08</v>
      </c>
      <c r="E22" s="2243" t="s">
        <v>1843</v>
      </c>
      <c r="F22" s="764">
        <v>222934.95</v>
      </c>
    </row>
    <row r="23" spans="3:37">
      <c r="C23" s="2141"/>
      <c r="D23" s="1210">
        <v>3.09</v>
      </c>
      <c r="E23" s="2140" t="s">
        <v>1844</v>
      </c>
      <c r="F23" s="764">
        <v>1946691</v>
      </c>
    </row>
    <row r="24" spans="3:37">
      <c r="C24" s="2141"/>
      <c r="D24" s="1210">
        <v>3.1</v>
      </c>
      <c r="E24" s="2140" t="s">
        <v>2234</v>
      </c>
      <c r="F24" s="764">
        <v>203328.92</v>
      </c>
    </row>
    <row r="25" spans="3:37">
      <c r="C25" s="2141"/>
      <c r="D25" s="1210">
        <v>3.11</v>
      </c>
      <c r="E25" s="2140" t="s">
        <v>2235</v>
      </c>
      <c r="F25" s="764">
        <v>100703.84</v>
      </c>
      <c r="G25" s="2142"/>
      <c r="H25" s="2142"/>
    </row>
    <row r="26" spans="3:37">
      <c r="C26" s="2143">
        <v>4</v>
      </c>
      <c r="D26" s="2137"/>
      <c r="E26" s="2137" t="s">
        <v>1845</v>
      </c>
      <c r="F26" s="761"/>
      <c r="G26" s="2144"/>
      <c r="H26" s="2144"/>
      <c r="I26" s="2145"/>
      <c r="J26" s="2146"/>
      <c r="K26" s="2147"/>
      <c r="L26" s="2147"/>
      <c r="M26" s="2147"/>
      <c r="N26" s="2147"/>
      <c r="O26" s="2147"/>
      <c r="P26" s="2147"/>
      <c r="Q26" s="2147"/>
      <c r="R26" s="2147"/>
      <c r="S26" s="2147"/>
      <c r="T26" s="2147"/>
      <c r="U26" s="2147"/>
      <c r="V26" s="2147"/>
      <c r="W26" s="2147"/>
      <c r="X26" s="2147"/>
      <c r="Y26" s="2147"/>
      <c r="Z26" s="2147"/>
      <c r="AA26" s="2147"/>
      <c r="AB26" s="2147"/>
      <c r="AC26" s="2147"/>
      <c r="AD26" s="2147"/>
      <c r="AE26" s="2147"/>
      <c r="AF26" s="2147"/>
      <c r="AG26" s="2147"/>
      <c r="AH26" s="2147"/>
      <c r="AI26" s="2147"/>
      <c r="AJ26" s="2147"/>
      <c r="AK26" s="2147"/>
    </row>
    <row r="27" spans="3:37">
      <c r="C27" s="2141"/>
      <c r="D27" s="763">
        <v>4.0999999999999996</v>
      </c>
      <c r="E27" s="2137" t="s">
        <v>1846</v>
      </c>
      <c r="F27" s="2244" t="s">
        <v>4378</v>
      </c>
      <c r="G27" s="2144"/>
      <c r="H27" s="2144"/>
      <c r="I27" s="2145"/>
      <c r="J27" s="2146"/>
      <c r="K27" s="2147"/>
      <c r="L27" s="2147"/>
      <c r="M27" s="2147"/>
      <c r="N27" s="2147"/>
      <c r="O27" s="2147"/>
      <c r="P27" s="2147"/>
      <c r="Q27" s="2147"/>
      <c r="R27" s="2147"/>
      <c r="S27" s="2147"/>
      <c r="T27" s="2147"/>
      <c r="U27" s="2147"/>
      <c r="V27" s="2147"/>
      <c r="W27" s="2147"/>
      <c r="X27" s="2147"/>
      <c r="Y27" s="2147"/>
      <c r="Z27" s="2147"/>
      <c r="AA27" s="2147"/>
      <c r="AB27" s="2147"/>
      <c r="AC27" s="2147"/>
      <c r="AD27" s="2147"/>
      <c r="AE27" s="2147"/>
      <c r="AF27" s="2147"/>
      <c r="AG27" s="2147"/>
      <c r="AH27" s="2147"/>
      <c r="AI27" s="2147"/>
      <c r="AJ27" s="2147"/>
      <c r="AK27" s="2147"/>
    </row>
    <row r="28" spans="3:37">
      <c r="C28" s="2141"/>
      <c r="D28" s="763">
        <v>4.2</v>
      </c>
      <c r="E28" s="2137" t="s">
        <v>7</v>
      </c>
      <c r="F28" s="2245" t="s">
        <v>4379</v>
      </c>
      <c r="G28" s="2148"/>
      <c r="H28" s="2148"/>
      <c r="I28" s="2145"/>
      <c r="J28" s="2146"/>
      <c r="K28" s="2147"/>
      <c r="L28" s="2147"/>
      <c r="M28" s="2147"/>
      <c r="N28" s="2147"/>
      <c r="O28" s="2147"/>
      <c r="P28" s="2147"/>
      <c r="Q28" s="2147"/>
      <c r="R28" s="2147"/>
      <c r="S28" s="2147"/>
      <c r="T28" s="2147"/>
      <c r="U28" s="2147"/>
      <c r="V28" s="2147"/>
      <c r="W28" s="2147"/>
      <c r="X28" s="2147"/>
      <c r="Y28" s="2147"/>
      <c r="Z28" s="2147"/>
      <c r="AA28" s="2147"/>
      <c r="AB28" s="2147"/>
      <c r="AC28" s="2147"/>
      <c r="AD28" s="2147"/>
      <c r="AE28" s="2147"/>
      <c r="AF28" s="2147"/>
      <c r="AG28" s="2147"/>
      <c r="AH28" s="2147"/>
      <c r="AI28" s="2147"/>
      <c r="AJ28" s="2147"/>
      <c r="AK28" s="2147"/>
    </row>
    <row r="29" spans="3:37">
      <c r="C29" s="2141"/>
      <c r="D29" s="763">
        <v>4.3</v>
      </c>
      <c r="E29" s="2137" t="s">
        <v>1848</v>
      </c>
      <c r="F29" s="2246"/>
      <c r="G29" s="2148"/>
      <c r="H29" s="2148"/>
      <c r="I29" s="2145"/>
      <c r="J29" s="2564"/>
      <c r="K29" s="2564"/>
      <c r="L29" s="2564"/>
      <c r="M29" s="2564"/>
      <c r="N29" s="2564"/>
      <c r="O29" s="2564"/>
      <c r="P29" s="2564"/>
      <c r="Q29" s="2564"/>
      <c r="R29" s="2564"/>
      <c r="S29" s="2564"/>
      <c r="T29" s="2564"/>
      <c r="U29" s="2564"/>
      <c r="V29" s="2564"/>
      <c r="W29" s="2564"/>
      <c r="X29" s="2564"/>
      <c r="Y29" s="2564"/>
      <c r="Z29" s="2564"/>
      <c r="AA29" s="2564"/>
      <c r="AB29" s="2564"/>
      <c r="AC29" s="2564"/>
      <c r="AD29" s="2564"/>
      <c r="AE29" s="2564"/>
      <c r="AF29" s="2564"/>
      <c r="AG29" s="2564"/>
      <c r="AH29" s="2564"/>
      <c r="AI29" s="2564"/>
      <c r="AJ29" s="2564"/>
      <c r="AK29" s="2564"/>
    </row>
    <row r="30" spans="3:37" ht="51.6" customHeight="1">
      <c r="C30" s="2141"/>
      <c r="D30" s="763">
        <v>4.4000000000000004</v>
      </c>
      <c r="E30" s="2138" t="s">
        <v>6</v>
      </c>
      <c r="F30" s="1211" t="s">
        <v>2233</v>
      </c>
      <c r="G30" s="2148"/>
      <c r="H30" s="2148"/>
      <c r="I30" s="2145"/>
      <c r="J30" s="2564"/>
      <c r="K30" s="2564"/>
      <c r="L30" s="2564"/>
      <c r="M30" s="2564"/>
      <c r="N30" s="2564"/>
      <c r="O30" s="2564"/>
      <c r="P30" s="2564"/>
      <c r="Q30" s="2564"/>
      <c r="R30" s="2564"/>
      <c r="S30" s="2564"/>
      <c r="T30" s="2564"/>
      <c r="U30" s="2564"/>
      <c r="V30" s="2564"/>
      <c r="W30" s="2564"/>
      <c r="X30" s="2564"/>
      <c r="Y30" s="2564"/>
      <c r="Z30" s="2564"/>
      <c r="AA30" s="2564"/>
      <c r="AB30" s="2564"/>
      <c r="AC30" s="2564"/>
      <c r="AD30" s="2564"/>
      <c r="AE30" s="2564"/>
      <c r="AF30" s="2564"/>
      <c r="AG30" s="2564"/>
      <c r="AH30" s="2564"/>
      <c r="AI30" s="2564"/>
      <c r="AJ30" s="2564"/>
      <c r="AK30" s="2564"/>
    </row>
    <row r="31" spans="3:37">
      <c r="C31" s="2141"/>
      <c r="D31" s="763">
        <v>4.5</v>
      </c>
      <c r="E31" s="2137" t="s">
        <v>5</v>
      </c>
      <c r="F31" s="1212" t="s">
        <v>2239</v>
      </c>
      <c r="G31" s="2149"/>
      <c r="H31" s="2149"/>
      <c r="I31" s="2145"/>
      <c r="J31" s="2146"/>
      <c r="K31" s="2147"/>
      <c r="L31" s="2147"/>
      <c r="M31" s="2147"/>
      <c r="N31" s="2147"/>
      <c r="O31" s="2147"/>
      <c r="P31" s="2147"/>
      <c r="Q31" s="2147"/>
      <c r="R31" s="2147"/>
      <c r="S31" s="2147"/>
      <c r="T31" s="2147"/>
      <c r="U31" s="2147"/>
      <c r="V31" s="2147"/>
      <c r="W31" s="2147"/>
      <c r="X31" s="2147"/>
      <c r="Y31" s="2147"/>
      <c r="Z31" s="2147"/>
      <c r="AA31" s="2147"/>
      <c r="AB31" s="2147"/>
      <c r="AC31" s="2147"/>
      <c r="AD31" s="2147"/>
      <c r="AE31" s="2147"/>
      <c r="AF31" s="2147"/>
      <c r="AG31" s="2147"/>
      <c r="AH31" s="2147"/>
      <c r="AI31" s="2147"/>
      <c r="AJ31" s="2147"/>
      <c r="AK31" s="2147"/>
    </row>
    <row r="32" spans="3:37">
      <c r="C32" s="2141"/>
      <c r="D32" s="763">
        <v>4.5999999999999996</v>
      </c>
      <c r="E32" s="2150" t="s">
        <v>1849</v>
      </c>
      <c r="F32" s="765" t="s">
        <v>4368</v>
      </c>
      <c r="G32" s="2148"/>
      <c r="H32" s="2148"/>
      <c r="I32" s="2145"/>
      <c r="J32" s="2151"/>
      <c r="K32" s="2147"/>
      <c r="L32" s="2147"/>
      <c r="M32" s="2147"/>
      <c r="N32" s="2147"/>
      <c r="O32" s="2147"/>
      <c r="P32" s="2147"/>
      <c r="Q32" s="2147"/>
      <c r="R32" s="2147"/>
      <c r="S32" s="2147"/>
      <c r="T32" s="2147"/>
      <c r="U32" s="2147"/>
      <c r="V32" s="2147"/>
      <c r="W32" s="2147"/>
      <c r="X32" s="2147"/>
      <c r="Y32" s="2147"/>
      <c r="Z32" s="2147"/>
      <c r="AA32" s="2147"/>
      <c r="AB32" s="2147"/>
      <c r="AC32" s="2147"/>
      <c r="AD32" s="2147"/>
      <c r="AE32" s="2147"/>
      <c r="AF32" s="2147"/>
      <c r="AG32" s="2147"/>
      <c r="AH32" s="2147"/>
      <c r="AI32" s="2147"/>
      <c r="AJ32" s="2147"/>
      <c r="AK32" s="2147"/>
    </row>
    <row r="33" spans="3:37">
      <c r="C33" s="2141"/>
      <c r="D33" s="763">
        <v>4.7</v>
      </c>
      <c r="E33" s="2137" t="s">
        <v>1850</v>
      </c>
      <c r="F33" s="761" t="s">
        <v>1851</v>
      </c>
      <c r="G33" s="2148"/>
      <c r="H33" s="2144"/>
      <c r="I33" s="2145"/>
      <c r="J33" s="2146"/>
      <c r="K33" s="2147"/>
      <c r="L33" s="2147"/>
      <c r="M33" s="2147"/>
      <c r="N33" s="2147"/>
      <c r="O33" s="2147"/>
      <c r="P33" s="2147"/>
      <c r="Q33" s="2147"/>
      <c r="R33" s="2147"/>
      <c r="S33" s="2147"/>
      <c r="T33" s="2147"/>
      <c r="U33" s="2147"/>
      <c r="V33" s="2147"/>
      <c r="W33" s="2147"/>
      <c r="X33" s="2147"/>
      <c r="Y33" s="2147"/>
      <c r="Z33" s="2147"/>
      <c r="AA33" s="2147"/>
      <c r="AB33" s="2147"/>
      <c r="AC33" s="2147"/>
      <c r="AD33" s="2147"/>
      <c r="AE33" s="2147"/>
      <c r="AF33" s="2147"/>
      <c r="AG33" s="2147"/>
      <c r="AH33" s="2147"/>
      <c r="AI33" s="2147"/>
      <c r="AJ33" s="2147"/>
      <c r="AK33" s="2147"/>
    </row>
    <row r="34" spans="3:37">
      <c r="C34" s="2141"/>
      <c r="D34" s="763">
        <v>4.8</v>
      </c>
      <c r="E34" s="2137" t="s">
        <v>1852</v>
      </c>
      <c r="F34" s="761" t="s">
        <v>11</v>
      </c>
    </row>
    <row r="35" spans="3:37">
      <c r="C35" s="2141">
        <v>5</v>
      </c>
      <c r="D35" s="2137"/>
      <c r="E35" s="2140" t="s">
        <v>1853</v>
      </c>
      <c r="F35" s="761" t="s">
        <v>2236</v>
      </c>
    </row>
    <row r="36" spans="3:37">
      <c r="C36" s="2141">
        <v>6</v>
      </c>
      <c r="D36" s="2137"/>
      <c r="E36" s="2137" t="s">
        <v>1854</v>
      </c>
      <c r="F36" s="761">
        <v>810</v>
      </c>
    </row>
    <row r="37" spans="3:37">
      <c r="C37" s="2141">
        <v>7</v>
      </c>
      <c r="D37" s="2137"/>
      <c r="E37" s="2200" t="s">
        <v>4310</v>
      </c>
      <c r="F37" s="761" t="s">
        <v>2237</v>
      </c>
    </row>
    <row r="38" spans="3:37">
      <c r="C38" s="2141"/>
      <c r="D38" s="2137">
        <v>7.1</v>
      </c>
      <c r="E38" s="2140" t="s">
        <v>1855</v>
      </c>
      <c r="F38" s="761" t="s">
        <v>2238</v>
      </c>
    </row>
    <row r="39" spans="3:37">
      <c r="C39" s="2141"/>
      <c r="D39" s="2137">
        <v>7.2</v>
      </c>
      <c r="E39" s="2137" t="s">
        <v>1857</v>
      </c>
      <c r="F39" s="761"/>
    </row>
    <row r="40" spans="3:37">
      <c r="C40" s="2141"/>
      <c r="D40" s="2137">
        <v>7.3</v>
      </c>
      <c r="E40" s="2137" t="s">
        <v>1858</v>
      </c>
      <c r="F40" s="761">
        <v>8760</v>
      </c>
    </row>
    <row r="41" spans="3:37">
      <c r="C41" s="2141"/>
      <c r="D41" s="2137">
        <v>7.4</v>
      </c>
      <c r="E41" s="2137" t="s">
        <v>1825</v>
      </c>
      <c r="F41" s="761"/>
    </row>
    <row r="42" spans="3:37">
      <c r="C42" s="2141"/>
      <c r="D42" s="2137">
        <v>7.5</v>
      </c>
      <c r="E42" s="2137" t="s">
        <v>1859</v>
      </c>
      <c r="F42" s="761"/>
    </row>
    <row r="43" spans="3:37">
      <c r="C43" s="2141">
        <v>8</v>
      </c>
      <c r="D43" s="2137"/>
      <c r="E43" s="2137" t="s">
        <v>1860</v>
      </c>
      <c r="F43" s="761" t="s">
        <v>2230</v>
      </c>
    </row>
    <row r="44" spans="3:37">
      <c r="C44" s="2141"/>
      <c r="D44" s="2137">
        <v>8.1</v>
      </c>
      <c r="E44" s="2140" t="s">
        <v>1855</v>
      </c>
      <c r="F44" s="761" t="s">
        <v>1856</v>
      </c>
    </row>
    <row r="45" spans="3:37">
      <c r="C45" s="2141"/>
      <c r="D45" s="2137">
        <v>8.1999999999999993</v>
      </c>
      <c r="E45" s="2137" t="s">
        <v>1857</v>
      </c>
      <c r="F45" s="761">
        <v>42302162</v>
      </c>
    </row>
    <row r="46" spans="3:37">
      <c r="C46" s="2141"/>
      <c r="D46" s="2137">
        <v>8.3000000000000007</v>
      </c>
      <c r="E46" s="2137" t="s">
        <v>1858</v>
      </c>
      <c r="F46" s="761">
        <v>110618</v>
      </c>
    </row>
    <row r="47" spans="3:37">
      <c r="C47" s="2141"/>
      <c r="D47" s="2137">
        <v>8.4</v>
      </c>
      <c r="E47" s="2137" t="s">
        <v>1825</v>
      </c>
      <c r="F47" s="761" t="s">
        <v>2231</v>
      </c>
    </row>
    <row r="48" spans="3:37">
      <c r="C48" s="2141"/>
      <c r="D48" s="2137">
        <v>8.5</v>
      </c>
      <c r="E48" s="2137" t="s">
        <v>1859</v>
      </c>
      <c r="F48" s="761">
        <v>937749003</v>
      </c>
    </row>
    <row r="49" spans="3:6">
      <c r="C49" s="2141">
        <v>9</v>
      </c>
      <c r="D49" s="2137"/>
      <c r="E49" s="2519" t="s">
        <v>4400</v>
      </c>
      <c r="F49" s="761" t="s">
        <v>4401</v>
      </c>
    </row>
    <row r="50" spans="3:6">
      <c r="C50" s="2141"/>
      <c r="D50" s="2137">
        <v>9.1</v>
      </c>
      <c r="E50" s="2140" t="s">
        <v>1855</v>
      </c>
      <c r="F50" s="761" t="s">
        <v>4402</v>
      </c>
    </row>
    <row r="51" spans="3:6">
      <c r="C51" s="2141"/>
      <c r="D51" s="2137">
        <v>9.1999999999999993</v>
      </c>
      <c r="E51" s="2137" t="s">
        <v>1857</v>
      </c>
      <c r="F51" s="761"/>
    </row>
    <row r="52" spans="3:6">
      <c r="C52" s="2141"/>
      <c r="D52" s="2137">
        <v>9.3000000000000007</v>
      </c>
      <c r="E52" s="2137" t="s">
        <v>1858</v>
      </c>
      <c r="F52" s="761">
        <v>7252</v>
      </c>
    </row>
    <row r="53" spans="3:6">
      <c r="C53" s="2141"/>
      <c r="D53" s="2137">
        <v>9.4</v>
      </c>
      <c r="E53" s="2137" t="s">
        <v>1825</v>
      </c>
      <c r="F53" s="761"/>
    </row>
    <row r="54" spans="3:6">
      <c r="C54" s="2141"/>
      <c r="D54" s="2137">
        <v>9.5</v>
      </c>
      <c r="E54" s="2137" t="s">
        <v>1859</v>
      </c>
      <c r="F54" s="761">
        <v>984760985</v>
      </c>
    </row>
    <row r="55" spans="3:6" ht="30">
      <c r="C55" s="2525">
        <v>10</v>
      </c>
      <c r="D55" s="2137"/>
      <c r="E55" s="2524" t="s">
        <v>4415</v>
      </c>
      <c r="F55" s="761" t="s">
        <v>4403</v>
      </c>
    </row>
    <row r="56" spans="3:6">
      <c r="C56" s="2141"/>
      <c r="D56" s="2137">
        <v>10.1</v>
      </c>
      <c r="E56" s="2140" t="s">
        <v>1855</v>
      </c>
      <c r="F56" s="761" t="s">
        <v>4404</v>
      </c>
    </row>
    <row r="57" spans="3:6">
      <c r="C57" s="2141"/>
      <c r="D57" s="2137">
        <v>10.199999999999999</v>
      </c>
      <c r="E57" s="2137" t="s">
        <v>1857</v>
      </c>
      <c r="F57" s="761"/>
    </row>
    <row r="58" spans="3:6">
      <c r="C58" s="2141"/>
      <c r="D58" s="2137">
        <v>10.3</v>
      </c>
      <c r="E58" s="2137" t="s">
        <v>1858</v>
      </c>
      <c r="F58" s="761">
        <v>23789</v>
      </c>
    </row>
    <row r="59" spans="3:6">
      <c r="C59" s="2141"/>
      <c r="D59" s="2137">
        <v>10.4</v>
      </c>
      <c r="E59" s="2137" t="s">
        <v>1825</v>
      </c>
      <c r="F59" s="761"/>
    </row>
    <row r="60" spans="3:6">
      <c r="C60" s="2141"/>
      <c r="D60" s="2137">
        <v>10.5</v>
      </c>
      <c r="E60" s="2137" t="s">
        <v>1859</v>
      </c>
      <c r="F60" s="761">
        <v>983680831</v>
      </c>
    </row>
    <row r="61" spans="3:6">
      <c r="C61" s="2141">
        <v>11</v>
      </c>
      <c r="D61" s="2137"/>
      <c r="E61" s="2520" t="s">
        <v>1861</v>
      </c>
      <c r="F61" s="2521"/>
    </row>
    <row r="62" spans="3:6" ht="15" customHeight="1">
      <c r="C62" s="2141"/>
      <c r="D62" s="2152">
        <v>11.1</v>
      </c>
      <c r="E62" s="2560" t="s">
        <v>4405</v>
      </c>
      <c r="F62" s="2561"/>
    </row>
    <row r="63" spans="3:6">
      <c r="C63" s="2141"/>
      <c r="D63" s="2153"/>
      <c r="E63" s="2560"/>
      <c r="F63" s="2561"/>
    </row>
    <row r="64" spans="3:6">
      <c r="C64" s="2141"/>
      <c r="D64" s="2153"/>
      <c r="E64" s="2560"/>
      <c r="F64" s="2561"/>
    </row>
    <row r="65" spans="3:6">
      <c r="C65" s="2141"/>
      <c r="D65" s="2153"/>
      <c r="E65" s="2560"/>
      <c r="F65" s="2561"/>
    </row>
    <row r="66" spans="3:6">
      <c r="C66" s="2141"/>
      <c r="D66" s="2153"/>
      <c r="E66" s="2560"/>
      <c r="F66" s="2561"/>
    </row>
    <row r="67" spans="3:6">
      <c r="C67" s="2141"/>
      <c r="D67" s="2153"/>
      <c r="E67" s="2560"/>
      <c r="F67" s="2561"/>
    </row>
    <row r="68" spans="3:6">
      <c r="C68" s="2141"/>
      <c r="D68" s="2153"/>
      <c r="E68" s="2560"/>
      <c r="F68" s="2561"/>
    </row>
    <row r="69" spans="3:6">
      <c r="C69" s="2141"/>
      <c r="D69" s="2153"/>
      <c r="E69" s="2560"/>
      <c r="F69" s="2561"/>
    </row>
    <row r="70" spans="3:6">
      <c r="C70" s="2141"/>
      <c r="D70" s="2153"/>
      <c r="E70" s="2560"/>
      <c r="F70" s="2561"/>
    </row>
    <row r="71" spans="3:6">
      <c r="C71" s="2141"/>
      <c r="D71" s="2153"/>
      <c r="E71" s="2560"/>
      <c r="F71" s="2561"/>
    </row>
    <row r="72" spans="3:6">
      <c r="C72" s="2141"/>
      <c r="D72" s="2153"/>
      <c r="E72" s="2560"/>
      <c r="F72" s="2561"/>
    </row>
    <row r="73" spans="3:6">
      <c r="C73" s="2141"/>
      <c r="D73" s="2153"/>
      <c r="E73" s="2560"/>
      <c r="F73" s="2561"/>
    </row>
    <row r="74" spans="3:6">
      <c r="C74" s="2141"/>
      <c r="D74" s="2153"/>
      <c r="E74" s="2560"/>
      <c r="F74" s="2561"/>
    </row>
    <row r="75" spans="3:6">
      <c r="C75" s="2141"/>
      <c r="D75" s="2153"/>
      <c r="E75" s="2560"/>
      <c r="F75" s="2561"/>
    </row>
    <row r="76" spans="3:6">
      <c r="C76" s="2141"/>
      <c r="D76" s="2153"/>
      <c r="E76" s="2560"/>
      <c r="F76" s="2561"/>
    </row>
    <row r="77" spans="3:6">
      <c r="C77" s="2141"/>
      <c r="D77" s="2153"/>
      <c r="E77" s="2560"/>
      <c r="F77" s="2561"/>
    </row>
    <row r="78" spans="3:6">
      <c r="C78" s="2141"/>
      <c r="D78" s="2153"/>
      <c r="E78" s="2560"/>
      <c r="F78" s="2561"/>
    </row>
    <row r="79" spans="3:6">
      <c r="C79" s="2141"/>
      <c r="D79" s="2153"/>
      <c r="E79" s="2560"/>
      <c r="F79" s="2561"/>
    </row>
    <row r="80" spans="3:6">
      <c r="C80" s="2141"/>
      <c r="D80" s="2153"/>
      <c r="E80" s="2560"/>
      <c r="F80" s="2561"/>
    </row>
    <row r="81" spans="3:6">
      <c r="C81" s="2141"/>
      <c r="D81" s="2153"/>
      <c r="E81" s="2560"/>
      <c r="F81" s="2561"/>
    </row>
    <row r="82" spans="3:6">
      <c r="C82" s="2141"/>
      <c r="D82" s="2153"/>
      <c r="E82" s="2560"/>
      <c r="F82" s="2561"/>
    </row>
    <row r="83" spans="3:6">
      <c r="C83" s="2141"/>
      <c r="D83" s="2153"/>
      <c r="E83" s="2560"/>
      <c r="F83" s="2561"/>
    </row>
    <row r="84" spans="3:6">
      <c r="C84" s="2141"/>
      <c r="D84" s="2153"/>
      <c r="E84" s="2560"/>
      <c r="F84" s="2561"/>
    </row>
    <row r="85" spans="3:6">
      <c r="C85" s="2141"/>
      <c r="D85" s="2153"/>
      <c r="E85" s="2560"/>
      <c r="F85" s="2561"/>
    </row>
    <row r="86" spans="3:6">
      <c r="C86" s="2141"/>
      <c r="D86" s="2153"/>
      <c r="E86" s="2560"/>
      <c r="F86" s="2561"/>
    </row>
    <row r="87" spans="3:6">
      <c r="C87" s="2141"/>
      <c r="D87" s="2153"/>
      <c r="E87" s="2560"/>
      <c r="F87" s="2561"/>
    </row>
    <row r="88" spans="3:6">
      <c r="C88" s="2141"/>
      <c r="D88" s="2153"/>
      <c r="E88" s="2560"/>
      <c r="F88" s="2561"/>
    </row>
    <row r="89" spans="3:6">
      <c r="C89" s="2141"/>
      <c r="D89" s="2153"/>
      <c r="E89" s="2560"/>
      <c r="F89" s="2561"/>
    </row>
    <row r="90" spans="3:6">
      <c r="C90" s="2141"/>
      <c r="D90" s="2153"/>
      <c r="E90" s="2560"/>
      <c r="F90" s="2561"/>
    </row>
    <row r="91" spans="3:6">
      <c r="C91" s="2141"/>
      <c r="D91" s="2153"/>
      <c r="E91" s="2560"/>
      <c r="F91" s="2561"/>
    </row>
    <row r="92" spans="3:6">
      <c r="C92" s="2141"/>
      <c r="D92" s="2153"/>
      <c r="E92" s="2560"/>
      <c r="F92" s="2561"/>
    </row>
    <row r="93" spans="3:6">
      <c r="C93" s="2141"/>
      <c r="D93" s="2153"/>
      <c r="E93" s="2560"/>
      <c r="F93" s="2561"/>
    </row>
    <row r="94" spans="3:6">
      <c r="C94" s="2141"/>
      <c r="D94" s="2153"/>
      <c r="E94" s="2560"/>
      <c r="F94" s="2561"/>
    </row>
    <row r="95" spans="3:6">
      <c r="C95" s="2141"/>
      <c r="D95" s="2153"/>
      <c r="E95" s="2560"/>
      <c r="F95" s="2561"/>
    </row>
    <row r="96" spans="3:6">
      <c r="C96" s="2141"/>
      <c r="D96" s="2153"/>
      <c r="E96" s="2560"/>
      <c r="F96" s="2561"/>
    </row>
    <row r="97" spans="3:6" ht="28.5" customHeight="1">
      <c r="C97" s="2141"/>
      <c r="D97" s="2153"/>
      <c r="E97" s="2560"/>
      <c r="F97" s="2561"/>
    </row>
    <row r="98" spans="3:6" ht="15" customHeight="1">
      <c r="C98" s="2141"/>
      <c r="D98" s="2153"/>
      <c r="E98" s="2560"/>
      <c r="F98" s="2561"/>
    </row>
    <row r="99" spans="3:6">
      <c r="C99" s="2141"/>
      <c r="D99" s="2153"/>
      <c r="E99" s="2560"/>
      <c r="F99" s="2561"/>
    </row>
    <row r="100" spans="3:6">
      <c r="C100" s="2141"/>
      <c r="D100" s="2153"/>
      <c r="E100" s="2560"/>
      <c r="F100" s="2561"/>
    </row>
    <row r="101" spans="3:6">
      <c r="C101" s="2141"/>
      <c r="D101" s="2153"/>
      <c r="E101" s="2560"/>
      <c r="F101" s="2561"/>
    </row>
    <row r="102" spans="3:6">
      <c r="C102" s="2522"/>
      <c r="D102" s="2523"/>
      <c r="E102" s="2560"/>
      <c r="F102" s="2561"/>
    </row>
    <row r="103" spans="3:6" ht="15.75" thickBot="1">
      <c r="C103" s="2247"/>
      <c r="D103" s="2248"/>
      <c r="E103" s="2562"/>
      <c r="F103" s="2563"/>
    </row>
    <row r="104" spans="3:6">
      <c r="E104" s="766"/>
      <c r="F104" s="766"/>
    </row>
    <row r="105" spans="3:6">
      <c r="E105" s="766"/>
      <c r="F105" s="766"/>
    </row>
    <row r="106" spans="3:6">
      <c r="E106" s="766"/>
      <c r="F106" s="766"/>
    </row>
    <row r="107" spans="3:6">
      <c r="E107" s="766"/>
      <c r="F107" s="766"/>
    </row>
    <row r="108" spans="3:6">
      <c r="E108" s="766"/>
      <c r="F108" s="766"/>
    </row>
    <row r="109" spans="3:6">
      <c r="E109" s="766"/>
      <c r="F109" s="766"/>
    </row>
    <row r="110" spans="3:6">
      <c r="E110" s="766"/>
      <c r="F110" s="766"/>
    </row>
    <row r="111" spans="3:6">
      <c r="E111" s="766"/>
      <c r="F111" s="766"/>
    </row>
    <row r="112" spans="3:6">
      <c r="E112" s="766"/>
      <c r="F112" s="766"/>
    </row>
    <row r="113" spans="5:6">
      <c r="E113" s="766"/>
      <c r="F113" s="766"/>
    </row>
    <row r="114" spans="5:6">
      <c r="E114" s="766"/>
      <c r="F114" s="766"/>
    </row>
    <row r="115" spans="5:6">
      <c r="E115" s="766"/>
      <c r="F115" s="766"/>
    </row>
    <row r="116" spans="5:6">
      <c r="E116" s="766"/>
      <c r="F116" s="766"/>
    </row>
    <row r="117" spans="5:6">
      <c r="E117" s="766"/>
      <c r="F117" s="766"/>
    </row>
    <row r="118" spans="5:6">
      <c r="E118" s="766"/>
      <c r="F118" s="766"/>
    </row>
    <row r="119" spans="5:6">
      <c r="E119" s="766"/>
      <c r="F119" s="766"/>
    </row>
    <row r="120" spans="5:6">
      <c r="E120" s="766"/>
      <c r="F120" s="766"/>
    </row>
    <row r="121" spans="5:6">
      <c r="E121" s="766"/>
      <c r="F121" s="766"/>
    </row>
    <row r="122" spans="5:6">
      <c r="E122" s="766"/>
      <c r="F122" s="766"/>
    </row>
    <row r="123" spans="5:6">
      <c r="E123" s="766"/>
      <c r="F123" s="766"/>
    </row>
    <row r="124" spans="5:6">
      <c r="E124" s="766"/>
      <c r="F124" s="766"/>
    </row>
    <row r="125" spans="5:6">
      <c r="E125" s="766"/>
      <c r="F125" s="766"/>
    </row>
    <row r="126" spans="5:6">
      <c r="E126" s="766"/>
      <c r="F126" s="766"/>
    </row>
    <row r="127" spans="5:6">
      <c r="E127" s="766"/>
      <c r="F127" s="766"/>
    </row>
  </sheetData>
  <mergeCells count="6">
    <mergeCell ref="E62:F103"/>
    <mergeCell ref="J29:AK30"/>
    <mergeCell ref="C1:F1"/>
    <mergeCell ref="C2:F2"/>
    <mergeCell ref="E3:F3"/>
    <mergeCell ref="C10:C11"/>
  </mergeCells>
  <printOptions horizontalCentered="1"/>
  <pageMargins left="0.71" right="3.937007874015748E-2" top="0.87" bottom="0.56999999999999995" header="0.65" footer="0.64"/>
  <pageSetup paperSize="9" scale="79" fitToHeight="0" orientation="portrait" r:id="rId1"/>
  <rowBreaks count="1" manualBreakCount="1">
    <brk id="54" min="1" max="6" man="1"/>
  </row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AM167"/>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563" customWidth="1"/>
    <col min="5" max="5" width="9.425781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703125" style="850" customWidth="1"/>
    <col min="24" max="24" width="9.42578125" style="564" customWidth="1"/>
    <col min="25" max="25" width="7" style="564" customWidth="1"/>
    <col min="26" max="26" width="10.42578125" style="564" customWidth="1"/>
    <col min="27" max="27" width="8.5703125" style="564" customWidth="1"/>
    <col min="28" max="28" width="7" style="564" customWidth="1"/>
    <col min="29" max="29" width="9.42578125" style="564" customWidth="1"/>
    <col min="30" max="30" width="7" style="850" customWidth="1"/>
    <col min="31" max="31" width="9.5703125" style="1049" customWidth="1"/>
    <col min="32" max="32" width="7" style="564" customWidth="1"/>
    <col min="33" max="33" width="9.42578125" style="856" customWidth="1"/>
    <col min="34" max="34" width="9.42578125" style="564" hidden="1"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571" t="s">
        <v>283</v>
      </c>
      <c r="B1" s="2571"/>
      <c r="C1" s="2571"/>
      <c r="D1" s="2571"/>
      <c r="E1" s="2571"/>
      <c r="F1" s="2571"/>
      <c r="G1" s="2571"/>
      <c r="H1" s="2571"/>
      <c r="I1" s="2571"/>
      <c r="J1" s="2571"/>
      <c r="K1" s="2571"/>
      <c r="P1" s="564"/>
      <c r="W1" s="564"/>
      <c r="AD1" s="564"/>
      <c r="AG1" s="564"/>
    </row>
    <row r="2" spans="1:39">
      <c r="A2" s="2572" t="s">
        <v>1801</v>
      </c>
      <c r="B2" s="2572"/>
      <c r="C2" s="2572"/>
      <c r="D2" s="2572"/>
      <c r="E2" s="2572"/>
      <c r="F2" s="2572"/>
      <c r="G2" s="2572"/>
      <c r="H2" s="2572"/>
      <c r="I2" s="2572"/>
      <c r="J2" s="2572"/>
      <c r="K2" s="2572"/>
      <c r="P2" s="564"/>
      <c r="W2" s="564"/>
      <c r="AD2" s="564"/>
      <c r="AG2" s="564"/>
    </row>
    <row r="3" spans="1:39">
      <c r="A3" s="621"/>
      <c r="G3" s="563">
        <v>7</v>
      </c>
      <c r="I3" s="563"/>
      <c r="P3" s="564"/>
      <c r="W3" s="564"/>
      <c r="AD3" s="564"/>
      <c r="AG3" s="564"/>
    </row>
    <row r="4" spans="1:39">
      <c r="A4" s="623"/>
      <c r="B4" s="2573" t="s">
        <v>1799</v>
      </c>
      <c r="C4" s="2573"/>
      <c r="D4" s="2573"/>
      <c r="E4" s="2573"/>
      <c r="F4" s="2573"/>
      <c r="G4" s="2573"/>
      <c r="H4" s="2573"/>
      <c r="I4" s="2573"/>
      <c r="J4" s="2573"/>
      <c r="K4" s="2573"/>
      <c r="P4" s="564"/>
      <c r="W4" s="564"/>
      <c r="AD4" s="564"/>
      <c r="AG4" s="564"/>
    </row>
    <row r="5" spans="1:39" ht="12.75" customHeight="1">
      <c r="A5" s="623"/>
      <c r="B5" s="2574" t="e">
        <f>#REF!</f>
        <v>#REF!</v>
      </c>
      <c r="C5" s="2575"/>
      <c r="D5" s="2575"/>
      <c r="E5" s="2575"/>
      <c r="F5" s="2575"/>
      <c r="G5" s="2575"/>
      <c r="H5" s="2575"/>
      <c r="I5" s="2575"/>
      <c r="J5" s="2575"/>
      <c r="K5" s="2575"/>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2106</v>
      </c>
      <c r="E8" s="971" t="s">
        <v>1988</v>
      </c>
      <c r="F8" s="971" t="s">
        <v>1987</v>
      </c>
      <c r="G8" s="971" t="s">
        <v>1981</v>
      </c>
      <c r="H8" s="971" t="s">
        <v>1982</v>
      </c>
      <c r="I8" s="971" t="s">
        <v>1983</v>
      </c>
      <c r="J8" s="971" t="s">
        <v>1984</v>
      </c>
      <c r="K8" s="971" t="s">
        <v>1985</v>
      </c>
      <c r="L8" s="971" t="s">
        <v>1986</v>
      </c>
      <c r="M8" s="971" t="s">
        <v>1987</v>
      </c>
      <c r="N8" s="971" t="s">
        <v>1981</v>
      </c>
      <c r="O8" s="971" t="s">
        <v>1982</v>
      </c>
      <c r="P8" s="971" t="s">
        <v>1983</v>
      </c>
      <c r="Q8" s="971" t="s">
        <v>1984</v>
      </c>
      <c r="R8" s="971" t="s">
        <v>1985</v>
      </c>
      <c r="S8" s="971" t="s">
        <v>1986</v>
      </c>
      <c r="T8" s="971" t="s">
        <v>1987</v>
      </c>
      <c r="U8" s="971" t="s">
        <v>1981</v>
      </c>
      <c r="V8" s="971" t="s">
        <v>1982</v>
      </c>
      <c r="W8" s="971" t="s">
        <v>1983</v>
      </c>
      <c r="X8" s="971" t="s">
        <v>1984</v>
      </c>
      <c r="Y8" s="971" t="s">
        <v>1985</v>
      </c>
      <c r="Z8" s="971" t="s">
        <v>1986</v>
      </c>
      <c r="AA8" s="971" t="s">
        <v>1987</v>
      </c>
      <c r="AB8" s="971" t="s">
        <v>1981</v>
      </c>
      <c r="AC8" s="971" t="s">
        <v>1982</v>
      </c>
      <c r="AD8" s="971" t="s">
        <v>1983</v>
      </c>
      <c r="AE8" s="971" t="s">
        <v>1984</v>
      </c>
      <c r="AF8" s="971" t="s">
        <v>1985</v>
      </c>
      <c r="AG8" s="971" t="s">
        <v>1986</v>
      </c>
      <c r="AH8" s="971" t="s">
        <v>1984</v>
      </c>
      <c r="AI8" s="971"/>
    </row>
    <row r="9" spans="1:39" ht="13.5" thickBot="1">
      <c r="A9" s="2576" t="s">
        <v>285</v>
      </c>
      <c r="B9" s="2576"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358</v>
      </c>
      <c r="AJ9" s="756" t="s">
        <v>26</v>
      </c>
      <c r="AK9" s="755" t="s">
        <v>1821</v>
      </c>
      <c r="AL9" s="755" t="s">
        <v>1820</v>
      </c>
      <c r="AM9" s="572" t="s">
        <v>25</v>
      </c>
    </row>
    <row r="10" spans="1:39" ht="13.5" thickBot="1">
      <c r="A10" s="2577"/>
      <c r="B10" s="2577"/>
      <c r="C10" s="993" t="s">
        <v>73</v>
      </c>
      <c r="D10" s="574" t="s">
        <v>304</v>
      </c>
      <c r="E10" s="574" t="s">
        <v>304</v>
      </c>
      <c r="F10" s="831" t="s">
        <v>304</v>
      </c>
      <c r="G10" s="574" t="s">
        <v>304</v>
      </c>
      <c r="H10" s="574" t="s">
        <v>304</v>
      </c>
      <c r="I10" s="574" t="s">
        <v>304</v>
      </c>
      <c r="J10" s="574" t="s">
        <v>304</v>
      </c>
      <c r="K10" s="574" t="s">
        <v>304</v>
      </c>
      <c r="L10" s="574" t="s">
        <v>304</v>
      </c>
      <c r="M10" s="831" t="s">
        <v>304</v>
      </c>
      <c r="N10" s="574" t="s">
        <v>304</v>
      </c>
      <c r="O10" s="574" t="s">
        <v>304</v>
      </c>
      <c r="P10" s="574" t="s">
        <v>304</v>
      </c>
      <c r="Q10" s="574" t="s">
        <v>304</v>
      </c>
      <c r="R10" s="574" t="s">
        <v>304</v>
      </c>
      <c r="S10" s="574" t="s">
        <v>304</v>
      </c>
      <c r="T10" s="831" t="s">
        <v>304</v>
      </c>
      <c r="U10" s="574" t="s">
        <v>304</v>
      </c>
      <c r="V10" s="574" t="s">
        <v>304</v>
      </c>
      <c r="W10" s="574" t="s">
        <v>304</v>
      </c>
      <c r="X10" s="574" t="s">
        <v>304</v>
      </c>
      <c r="Y10" s="574" t="s">
        <v>304</v>
      </c>
      <c r="Z10" s="574" t="s">
        <v>304</v>
      </c>
      <c r="AA10" s="831" t="s">
        <v>304</v>
      </c>
      <c r="AB10" s="574" t="s">
        <v>304</v>
      </c>
      <c r="AC10" s="574" t="s">
        <v>304</v>
      </c>
      <c r="AD10" s="574" t="s">
        <v>304</v>
      </c>
      <c r="AE10" s="575" t="s">
        <v>304</v>
      </c>
      <c r="AF10" s="574" t="s">
        <v>304</v>
      </c>
      <c r="AG10" s="1066" t="s">
        <v>304</v>
      </c>
      <c r="AH10" s="574" t="s">
        <v>304</v>
      </c>
      <c r="AI10" s="576" t="s">
        <v>287</v>
      </c>
      <c r="AJ10" s="752" t="s">
        <v>287</v>
      </c>
      <c r="AK10" s="755"/>
      <c r="AL10" s="755"/>
      <c r="AM10" s="572"/>
    </row>
    <row r="11" spans="1:39" s="585" customFormat="1">
      <c r="A11" s="612" t="s">
        <v>33</v>
      </c>
      <c r="B11" s="612" t="s">
        <v>1131</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547</v>
      </c>
      <c r="B12" s="614" t="s">
        <v>1144</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5" thickBot="1">
      <c r="A13" s="610" t="s">
        <v>549</v>
      </c>
      <c r="B13" s="610" t="s">
        <v>1818</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1455</v>
      </c>
      <c r="AM13" s="753">
        <f>AL13-AK13</f>
        <v>491.72999999999996</v>
      </c>
    </row>
    <row r="14" spans="1:39" s="939" customFormat="1">
      <c r="A14" s="1058" t="s">
        <v>42</v>
      </c>
      <c r="B14" s="1058" t="s">
        <v>1153</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1154</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570</v>
      </c>
      <c r="B16" s="613" t="s">
        <v>1168</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571</v>
      </c>
      <c r="B17" s="610" t="s">
        <v>1169</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572</v>
      </c>
      <c r="B18" s="610" t="s">
        <v>1170</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1469</v>
      </c>
      <c r="AM18" s="753">
        <f t="shared" si="3"/>
        <v>3.4600000000000004</v>
      </c>
    </row>
    <row r="19" spans="1:39" s="566" customFormat="1">
      <c r="A19" s="610" t="s">
        <v>573</v>
      </c>
      <c r="B19" s="610" t="s">
        <v>1171</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1470</v>
      </c>
      <c r="AM19" s="753">
        <f t="shared" si="3"/>
        <v>144.52999999999997</v>
      </c>
    </row>
    <row r="20" spans="1:39" s="566" customFormat="1">
      <c r="A20" s="610" t="s">
        <v>574</v>
      </c>
      <c r="B20" s="610" t="s">
        <v>1172</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575</v>
      </c>
      <c r="B21" s="610" t="s">
        <v>1173</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1471</v>
      </c>
      <c r="AM21" s="753">
        <f t="shared" si="3"/>
        <v>0</v>
      </c>
    </row>
    <row r="22" spans="1:39" s="566" customFormat="1">
      <c r="A22" s="610" t="s">
        <v>576</v>
      </c>
      <c r="B22" s="610" t="s">
        <v>1174</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1472</v>
      </c>
      <c r="AM22" s="753">
        <f t="shared" si="3"/>
        <v>0</v>
      </c>
    </row>
    <row r="23" spans="1:39" s="585" customFormat="1">
      <c r="A23" s="610" t="s">
        <v>577</v>
      </c>
      <c r="B23" s="610" t="s">
        <v>1175</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1473</v>
      </c>
      <c r="AM23" s="753">
        <f t="shared" si="3"/>
        <v>193.58</v>
      </c>
    </row>
    <row r="24" spans="1:39" s="585" customFormat="1">
      <c r="A24" s="610" t="s">
        <v>578</v>
      </c>
      <c r="B24" s="610" t="s">
        <v>1176</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579</v>
      </c>
      <c r="B25" s="610" t="s">
        <v>1177</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1474</v>
      </c>
      <c r="AM25" s="753">
        <f t="shared" si="3"/>
        <v>1</v>
      </c>
    </row>
    <row r="26" spans="1:39" s="566" customFormat="1">
      <c r="A26" s="610" t="s">
        <v>580</v>
      </c>
      <c r="B26" s="610" t="s">
        <v>1178</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1475</v>
      </c>
      <c r="AM26" s="753">
        <f t="shared" si="3"/>
        <v>10.820000000000004</v>
      </c>
    </row>
    <row r="27" spans="1:39" s="566" customFormat="1">
      <c r="A27" s="610" t="s">
        <v>581</v>
      </c>
      <c r="B27" s="610" t="s">
        <v>1179</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1476</v>
      </c>
      <c r="AM27" s="753">
        <f t="shared" si="3"/>
        <v>333.36</v>
      </c>
    </row>
    <row r="28" spans="1:39" s="566" customFormat="1">
      <c r="A28" s="610" t="s">
        <v>586</v>
      </c>
      <c r="B28" s="610" t="s">
        <v>1184</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587</v>
      </c>
      <c r="B29" s="610" t="s">
        <v>1185</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1480</v>
      </c>
      <c r="AM29" s="753">
        <f t="shared" si="3"/>
        <v>0.53000000000000025</v>
      </c>
    </row>
    <row r="30" spans="1:39" s="566" customFormat="1">
      <c r="A30" s="610" t="s">
        <v>588</v>
      </c>
      <c r="B30" s="610" t="s">
        <v>1186</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1481</v>
      </c>
      <c r="AM30" s="753">
        <f t="shared" si="3"/>
        <v>0</v>
      </c>
    </row>
    <row r="31" spans="1:39" s="566" customFormat="1">
      <c r="A31" s="610" t="s">
        <v>589</v>
      </c>
      <c r="B31" s="610" t="s">
        <v>1187</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1482</v>
      </c>
      <c r="AM31" s="753">
        <f t="shared" si="3"/>
        <v>0</v>
      </c>
    </row>
    <row r="32" spans="1:39" s="585" customFormat="1">
      <c r="A32" s="610" t="s">
        <v>590</v>
      </c>
      <c r="B32" s="610" t="s">
        <v>1188</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591</v>
      </c>
      <c r="B33" s="610" t="s">
        <v>1189</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1483</v>
      </c>
      <c r="AM33" s="753">
        <f t="shared" si="3"/>
        <v>0</v>
      </c>
    </row>
    <row r="34" spans="1:39" s="566" customFormat="1">
      <c r="A34" s="610" t="s">
        <v>592</v>
      </c>
      <c r="B34" s="610" t="s">
        <v>1190</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1484</v>
      </c>
      <c r="AM34" s="753">
        <f t="shared" si="3"/>
        <v>0</v>
      </c>
    </row>
    <row r="35" spans="1:39" s="566" customFormat="1">
      <c r="A35" s="610" t="s">
        <v>593</v>
      </c>
      <c r="B35" s="610" t="s">
        <v>1191</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1485</v>
      </c>
      <c r="AM35" s="753">
        <f t="shared" si="3"/>
        <v>0</v>
      </c>
    </row>
    <row r="36" spans="1:39" s="566" customFormat="1">
      <c r="A36" s="610" t="s">
        <v>594</v>
      </c>
      <c r="B36" s="610" t="s">
        <v>1192</v>
      </c>
      <c r="C36" s="620" t="s">
        <v>1449</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1486</v>
      </c>
      <c r="AM36" s="753">
        <f t="shared" si="3"/>
        <v>147.94999999999999</v>
      </c>
    </row>
    <row r="37" spans="1:39" s="566" customFormat="1">
      <c r="A37" s="613" t="s">
        <v>601</v>
      </c>
      <c r="B37" s="613" t="s">
        <v>1199</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602</v>
      </c>
      <c r="B38" s="610" t="s">
        <v>1200</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1491</v>
      </c>
      <c r="AM38" s="753">
        <f t="shared" si="6"/>
        <v>100.3</v>
      </c>
    </row>
    <row r="39" spans="1:39" s="585" customFormat="1">
      <c r="A39" s="610" t="s">
        <v>603</v>
      </c>
      <c r="B39" s="610" t="s">
        <v>225</v>
      </c>
      <c r="C39" s="536" t="s">
        <v>1449</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1492</v>
      </c>
      <c r="AM39" s="753">
        <f t="shared" si="6"/>
        <v>13</v>
      </c>
    </row>
    <row r="40" spans="1:39" s="824" customFormat="1">
      <c r="A40" s="910" t="s">
        <v>44</v>
      </c>
      <c r="B40" s="911" t="s">
        <v>1201</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606</v>
      </c>
      <c r="B42" s="610" t="s">
        <v>1157</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1495</v>
      </c>
      <c r="AM42" s="753">
        <f t="shared" si="6"/>
        <v>26.490000000000002</v>
      </c>
    </row>
    <row r="43" spans="1:39" s="566" customFormat="1">
      <c r="A43" s="613" t="s">
        <v>615</v>
      </c>
      <c r="B43" s="613" t="s">
        <v>1168</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627</v>
      </c>
      <c r="B44" s="610" t="s">
        <v>1180</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628</v>
      </c>
      <c r="B45" s="610" t="s">
        <v>1181</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1510</v>
      </c>
      <c r="AM45" s="753">
        <f t="shared" si="6"/>
        <v>0</v>
      </c>
    </row>
    <row r="46" spans="1:39" s="566" customFormat="1">
      <c r="A46" s="610" t="s">
        <v>629</v>
      </c>
      <c r="B46" s="610" t="s">
        <v>1182</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1511</v>
      </c>
      <c r="AM46" s="753">
        <f t="shared" si="6"/>
        <v>2.1599999999999966</v>
      </c>
    </row>
    <row r="47" spans="1:39" s="566" customFormat="1">
      <c r="A47" s="610" t="s">
        <v>630</v>
      </c>
      <c r="B47" s="610" t="s">
        <v>1183</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1512</v>
      </c>
      <c r="AM47" s="753">
        <f t="shared" si="6"/>
        <v>261.08000000000004</v>
      </c>
    </row>
    <row r="48" spans="1:39" s="585" customFormat="1">
      <c r="A48" s="613" t="s">
        <v>646</v>
      </c>
      <c r="B48" s="613" t="s">
        <v>1199</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647</v>
      </c>
      <c r="B49" s="610" t="s">
        <v>1200</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1523</v>
      </c>
      <c r="AM49" s="753">
        <f t="shared" si="6"/>
        <v>83.2</v>
      </c>
    </row>
    <row r="50" spans="1:39" s="566" customFormat="1">
      <c r="A50" s="610" t="s">
        <v>648</v>
      </c>
      <c r="B50" s="610" t="s">
        <v>225</v>
      </c>
      <c r="C50" s="536" t="s">
        <v>1449</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1492</v>
      </c>
      <c r="AM50" s="753">
        <f t="shared" si="6"/>
        <v>13</v>
      </c>
    </row>
    <row r="51" spans="1:39" s="824" customFormat="1">
      <c r="A51" s="910" t="s">
        <v>52</v>
      </c>
      <c r="B51" s="911" t="s">
        <v>1208</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653</v>
      </c>
      <c r="B53" s="610" t="s">
        <v>1159</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1528</v>
      </c>
      <c r="AM53" s="753">
        <f t="shared" si="6"/>
        <v>9.2200000000000024</v>
      </c>
    </row>
    <row r="54" spans="1:39" s="585" customFormat="1">
      <c r="A54" s="613" t="s">
        <v>57</v>
      </c>
      <c r="B54" s="613" t="s">
        <v>1161</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656</v>
      </c>
      <c r="B55" s="610" t="s">
        <v>1203</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1530</v>
      </c>
      <c r="AM55" s="753">
        <f t="shared" ref="AM55:AM83" si="9">AL55-AK55</f>
        <v>9.620000000000001</v>
      </c>
    </row>
    <row r="56" spans="1:39" s="566" customFormat="1">
      <c r="A56" s="610" t="s">
        <v>657</v>
      </c>
      <c r="B56" s="610" t="s">
        <v>1204</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1531</v>
      </c>
      <c r="AM56" s="753">
        <f t="shared" si="9"/>
        <v>1.9800000000000002</v>
      </c>
    </row>
    <row r="57" spans="1:39" s="566" customFormat="1">
      <c r="A57" s="610" t="s">
        <v>658</v>
      </c>
      <c r="B57" s="610" t="s">
        <v>1166</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1532</v>
      </c>
      <c r="AM57" s="753">
        <f t="shared" si="9"/>
        <v>26.43</v>
      </c>
    </row>
    <row r="58" spans="1:39" s="566" customFormat="1">
      <c r="A58" s="613" t="s">
        <v>660</v>
      </c>
      <c r="B58" s="613" t="s">
        <v>1168</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672</v>
      </c>
      <c r="B59" s="610" t="s">
        <v>1180</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673</v>
      </c>
      <c r="B60" s="610" t="s">
        <v>1181</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1541</v>
      </c>
      <c r="AM60" s="753">
        <f t="shared" si="9"/>
        <v>2.58</v>
      </c>
    </row>
    <row r="61" spans="1:39" s="566" customFormat="1">
      <c r="A61" s="610" t="s">
        <v>674</v>
      </c>
      <c r="B61" s="610" t="s">
        <v>1182</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1542</v>
      </c>
      <c r="AM61" s="753">
        <f t="shared" si="9"/>
        <v>10.3</v>
      </c>
    </row>
    <row r="62" spans="1:39" s="566" customFormat="1">
      <c r="A62" s="610" t="s">
        <v>675</v>
      </c>
      <c r="B62" s="610" t="s">
        <v>1183</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1543</v>
      </c>
      <c r="AM62" s="753">
        <f t="shared" si="9"/>
        <v>254.45</v>
      </c>
    </row>
    <row r="63" spans="1:39" s="566" customFormat="1">
      <c r="A63" s="613" t="s">
        <v>691</v>
      </c>
      <c r="B63" s="613" t="s">
        <v>1199</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693</v>
      </c>
      <c r="B64" s="610" t="s">
        <v>225</v>
      </c>
      <c r="C64" s="620" t="s">
        <v>1449</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1492</v>
      </c>
      <c r="AM64" s="753">
        <f t="shared" si="9"/>
        <v>11</v>
      </c>
    </row>
    <row r="65" spans="1:39" s="566" customFormat="1">
      <c r="A65" s="910" t="s">
        <v>515</v>
      </c>
      <c r="B65" s="911" t="s">
        <v>1209</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516</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694</v>
      </c>
      <c r="B67" s="610" t="s">
        <v>1155</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1555</v>
      </c>
      <c r="AM67" s="753">
        <f t="shared" si="9"/>
        <v>6.7800000000000011</v>
      </c>
    </row>
    <row r="68" spans="1:39" s="566" customFormat="1">
      <c r="A68" s="610" t="s">
        <v>695</v>
      </c>
      <c r="B68" s="610" t="s">
        <v>1156</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1556</v>
      </c>
      <c r="AM68" s="753">
        <f t="shared" si="9"/>
        <v>0</v>
      </c>
    </row>
    <row r="69" spans="1:39" s="566" customFormat="1">
      <c r="A69" s="610" t="s">
        <v>696</v>
      </c>
      <c r="B69" s="610" t="s">
        <v>1157</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1557</v>
      </c>
      <c r="AM69" s="753">
        <f t="shared" si="9"/>
        <v>0</v>
      </c>
    </row>
    <row r="70" spans="1:39" s="566" customFormat="1">
      <c r="A70" s="610" t="s">
        <v>698</v>
      </c>
      <c r="B70" s="610" t="s">
        <v>1159</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1559</v>
      </c>
      <c r="AM70" s="753">
        <f t="shared" si="9"/>
        <v>7.9400000000000048</v>
      </c>
    </row>
    <row r="71" spans="1:39" s="566" customFormat="1">
      <c r="A71" s="613" t="s">
        <v>700</v>
      </c>
      <c r="B71" s="613" t="s">
        <v>1161</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701</v>
      </c>
      <c r="B72" s="610" t="s">
        <v>1162</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1560</v>
      </c>
      <c r="AM72" s="753">
        <f t="shared" si="9"/>
        <v>13.450000000000001</v>
      </c>
    </row>
    <row r="73" spans="1:39" s="566" customFormat="1">
      <c r="A73" s="610" t="s">
        <v>702</v>
      </c>
      <c r="B73" s="610" t="s">
        <v>1202</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1561</v>
      </c>
      <c r="AM73" s="753">
        <f t="shared" si="9"/>
        <v>0.20999999999999908</v>
      </c>
    </row>
    <row r="74" spans="1:39" s="566" customFormat="1">
      <c r="A74" s="613" t="s">
        <v>707</v>
      </c>
      <c r="B74" s="613" t="s">
        <v>1168</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708</v>
      </c>
      <c r="B75" s="610" t="s">
        <v>1169</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709</v>
      </c>
      <c r="B76" s="610" t="s">
        <v>1205</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1469</v>
      </c>
      <c r="AM76" s="753">
        <f t="shared" si="9"/>
        <v>0</v>
      </c>
    </row>
    <row r="77" spans="1:39" s="566" customFormat="1">
      <c r="A77" s="610" t="s">
        <v>710</v>
      </c>
      <c r="B77" s="610" t="s">
        <v>1171</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1470</v>
      </c>
      <c r="AM77" s="753">
        <f t="shared" si="9"/>
        <v>25.819999999999993</v>
      </c>
    </row>
    <row r="78" spans="1:39" s="566" customFormat="1">
      <c r="A78" s="610" t="s">
        <v>711</v>
      </c>
      <c r="B78" s="610" t="s">
        <v>1172</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712</v>
      </c>
      <c r="B79" s="610" t="s">
        <v>1206</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1565</v>
      </c>
      <c r="AM79" s="753">
        <f t="shared" si="9"/>
        <v>0</v>
      </c>
    </row>
    <row r="80" spans="1:39" s="566" customFormat="1">
      <c r="A80" s="610" t="s">
        <v>713</v>
      </c>
      <c r="B80" s="610" t="s">
        <v>1174</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1566</v>
      </c>
      <c r="AM80" s="753">
        <f t="shared" si="9"/>
        <v>0</v>
      </c>
    </row>
    <row r="81" spans="1:39" s="566" customFormat="1">
      <c r="A81" s="610" t="s">
        <v>714</v>
      </c>
      <c r="B81" s="610" t="s">
        <v>1175</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1567</v>
      </c>
      <c r="AM81" s="753">
        <f t="shared" si="9"/>
        <v>0</v>
      </c>
    </row>
    <row r="82" spans="1:39" s="566" customFormat="1">
      <c r="A82" s="610" t="s">
        <v>715</v>
      </c>
      <c r="B82" s="610" t="s">
        <v>1176</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716</v>
      </c>
      <c r="B83" s="610" t="s">
        <v>1207</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1531</v>
      </c>
      <c r="AM83" s="753">
        <f t="shared" si="9"/>
        <v>0.43000000000000016</v>
      </c>
    </row>
    <row r="84" spans="1:39" s="566" customFormat="1">
      <c r="A84" s="610" t="s">
        <v>717</v>
      </c>
      <c r="B84" s="610" t="s">
        <v>1178</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1568</v>
      </c>
      <c r="AM84" s="753">
        <f t="shared" ref="AM84:AM118" si="14">AL84-AK84</f>
        <v>6.7999999999999972</v>
      </c>
    </row>
    <row r="85" spans="1:39" s="566" customFormat="1">
      <c r="A85" s="610" t="s">
        <v>718</v>
      </c>
      <c r="B85" s="610" t="s">
        <v>1179</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1569</v>
      </c>
      <c r="AM85" s="753">
        <f t="shared" si="14"/>
        <v>0</v>
      </c>
    </row>
    <row r="86" spans="1:39" s="566" customFormat="1">
      <c r="A86" s="610" t="s">
        <v>723</v>
      </c>
      <c r="B86" s="610" t="s">
        <v>1184</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724</v>
      </c>
      <c r="B87" s="610" t="s">
        <v>1185</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1570</v>
      </c>
      <c r="AM87" s="753">
        <f t="shared" si="14"/>
        <v>0</v>
      </c>
    </row>
    <row r="88" spans="1:39" s="566" customFormat="1">
      <c r="A88" s="610" t="s">
        <v>725</v>
      </c>
      <c r="B88" s="610" t="s">
        <v>1186</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1571</v>
      </c>
      <c r="AM88" s="753">
        <f t="shared" si="14"/>
        <v>0</v>
      </c>
    </row>
    <row r="89" spans="1:39" s="566" customFormat="1" ht="13.5">
      <c r="A89" s="610" t="s">
        <v>726</v>
      </c>
      <c r="B89" s="610" t="s">
        <v>1187</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1572</v>
      </c>
      <c r="AM89" s="753">
        <f t="shared" si="14"/>
        <v>0</v>
      </c>
    </row>
    <row r="90" spans="1:39" s="566" customFormat="1">
      <c r="A90" s="610" t="s">
        <v>727</v>
      </c>
      <c r="B90" s="610" t="s">
        <v>1188</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728</v>
      </c>
      <c r="B91" s="610" t="s">
        <v>1189</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1573</v>
      </c>
      <c r="AM91" s="753">
        <f t="shared" si="14"/>
        <v>0</v>
      </c>
    </row>
    <row r="92" spans="1:39" s="566" customFormat="1">
      <c r="A92" s="610" t="s">
        <v>729</v>
      </c>
      <c r="B92" s="610" t="s">
        <v>1190</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1574</v>
      </c>
      <c r="AM92" s="753">
        <f t="shared" si="14"/>
        <v>0</v>
      </c>
    </row>
    <row r="93" spans="1:39" s="566" customFormat="1">
      <c r="A93" s="610" t="s">
        <v>730</v>
      </c>
      <c r="B93" s="610" t="s">
        <v>1191</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1575</v>
      </c>
      <c r="AM93" s="753">
        <f t="shared" si="14"/>
        <v>0</v>
      </c>
    </row>
    <row r="94" spans="1:39" s="566" customFormat="1">
      <c r="A94" s="610" t="s">
        <v>731</v>
      </c>
      <c r="B94" s="610" t="s">
        <v>1192</v>
      </c>
      <c r="C94" s="620" t="s">
        <v>1449</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1576</v>
      </c>
      <c r="AM94" s="753">
        <f t="shared" si="14"/>
        <v>74.480000000000018</v>
      </c>
    </row>
    <row r="95" spans="1:39" s="566" customFormat="1">
      <c r="A95" s="613" t="s">
        <v>738</v>
      </c>
      <c r="B95" s="613" t="s">
        <v>1199</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740</v>
      </c>
      <c r="B96" s="610" t="s">
        <v>225</v>
      </c>
      <c r="C96" s="620" t="s">
        <v>1449</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1492</v>
      </c>
      <c r="AM96" s="753">
        <f t="shared" si="14"/>
        <v>13</v>
      </c>
    </row>
    <row r="97" spans="1:39" s="824" customFormat="1">
      <c r="A97" s="910" t="s">
        <v>741</v>
      </c>
      <c r="B97" s="911" t="s">
        <v>1210</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742</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743</v>
      </c>
      <c r="B99" s="610" t="s">
        <v>1211</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1582</v>
      </c>
      <c r="AM99" s="753">
        <f t="shared" si="14"/>
        <v>452.53</v>
      </c>
    </row>
    <row r="100" spans="1:39" s="566" customFormat="1">
      <c r="A100" s="613" t="s">
        <v>747</v>
      </c>
      <c r="B100" s="613" t="s">
        <v>1168</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748</v>
      </c>
      <c r="B101" s="610" t="s">
        <v>1176</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749</v>
      </c>
      <c r="B102" s="610" t="s">
        <v>1207</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1585</v>
      </c>
      <c r="AM102" s="753">
        <f t="shared" si="14"/>
        <v>4.5999999999999996</v>
      </c>
    </row>
    <row r="103" spans="1:39" s="566" customFormat="1">
      <c r="A103" s="610" t="s">
        <v>750</v>
      </c>
      <c r="B103" s="610" t="s">
        <v>1178</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1586</v>
      </c>
      <c r="AM103" s="753">
        <f t="shared" si="14"/>
        <v>64.83</v>
      </c>
    </row>
    <row r="104" spans="1:39" s="824" customFormat="1">
      <c r="A104" s="910" t="s">
        <v>762</v>
      </c>
      <c r="B104" s="911" t="s">
        <v>1216</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763</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764</v>
      </c>
      <c r="B106" s="610" t="s">
        <v>1211</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1595</v>
      </c>
      <c r="AM106" s="753">
        <f t="shared" si="14"/>
        <v>400.49</v>
      </c>
    </row>
    <row r="107" spans="1:39" s="566" customFormat="1">
      <c r="A107" s="613" t="s">
        <v>766</v>
      </c>
      <c r="B107" s="613" t="s">
        <v>1217</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767</v>
      </c>
      <c r="B108" s="610" t="s">
        <v>1218</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1597</v>
      </c>
      <c r="AM108" s="753">
        <f t="shared" si="14"/>
        <v>193.23</v>
      </c>
    </row>
    <row r="109" spans="1:39" s="566" customFormat="1">
      <c r="A109" s="610" t="s">
        <v>768</v>
      </c>
      <c r="B109" s="610" t="s">
        <v>1219</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1598</v>
      </c>
      <c r="AM109" s="753">
        <f t="shared" si="14"/>
        <v>504.94000000000005</v>
      </c>
    </row>
    <row r="110" spans="1:39" s="566" customFormat="1">
      <c r="A110" s="610" t="s">
        <v>769</v>
      </c>
      <c r="B110" s="610" t="s">
        <v>1220</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1599</v>
      </c>
      <c r="AM110" s="753">
        <f t="shared" si="14"/>
        <v>15050.6</v>
      </c>
    </row>
    <row r="111" spans="1:39" s="566" customFormat="1">
      <c r="A111" s="613" t="s">
        <v>770</v>
      </c>
      <c r="B111" s="613" t="s">
        <v>1199</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772</v>
      </c>
      <c r="B112" s="610" t="s">
        <v>225</v>
      </c>
      <c r="C112" s="620" t="s">
        <v>1449</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1601</v>
      </c>
      <c r="AM112" s="753">
        <f t="shared" si="14"/>
        <v>17</v>
      </c>
    </row>
    <row r="113" spans="1:39" s="566" customFormat="1">
      <c r="A113" s="910" t="s">
        <v>773</v>
      </c>
      <c r="B113" s="911" t="s">
        <v>1222</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774</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775</v>
      </c>
      <c r="B115" s="610" t="s">
        <v>1211</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1602</v>
      </c>
      <c r="AM115" s="753">
        <f t="shared" si="14"/>
        <v>87.13</v>
      </c>
    </row>
    <row r="116" spans="1:39" s="566" customFormat="1">
      <c r="A116" s="613" t="s">
        <v>777</v>
      </c>
      <c r="B116" s="613" t="s">
        <v>1161</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778</v>
      </c>
      <c r="B117" s="610" t="s">
        <v>1203</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1604</v>
      </c>
      <c r="AM117" s="753">
        <f t="shared" si="14"/>
        <v>74.62</v>
      </c>
    </row>
    <row r="118" spans="1:39" s="566" customFormat="1" ht="13.5" thickBot="1">
      <c r="A118" s="610" t="s">
        <v>779</v>
      </c>
      <c r="B118" s="610" t="s">
        <v>1223</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1605</v>
      </c>
      <c r="AM118" s="753">
        <f t="shared" si="14"/>
        <v>186.57</v>
      </c>
    </row>
    <row r="119" spans="1:39" s="939" customFormat="1">
      <c r="A119" s="1058" t="s">
        <v>45</v>
      </c>
      <c r="B119" s="1058" t="s">
        <v>1233</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1234</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1235</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800</v>
      </c>
      <c r="B122" s="610" t="s">
        <v>1236</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1618</v>
      </c>
      <c r="AM122" s="753">
        <f t="shared" si="17"/>
        <v>54.259999999999991</v>
      </c>
    </row>
    <row r="123" spans="1:39" s="566" customFormat="1">
      <c r="A123" s="613" t="s">
        <v>50</v>
      </c>
      <c r="B123" s="613" t="s">
        <v>1238</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807</v>
      </c>
      <c r="B124" s="610" t="s">
        <v>1244</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1625</v>
      </c>
      <c r="AM124" s="753">
        <f t="shared" si="17"/>
        <v>24.239999999999995</v>
      </c>
    </row>
    <row r="125" spans="1:39" s="566" customFormat="1">
      <c r="A125" s="613" t="s">
        <v>51</v>
      </c>
      <c r="B125" s="613" t="s">
        <v>1246</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809</v>
      </c>
      <c r="B126" s="610" t="s">
        <v>1247</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1627</v>
      </c>
      <c r="AM126" s="753">
        <f t="shared" si="17"/>
        <v>0</v>
      </c>
    </row>
    <row r="127" spans="1:39" s="566" customFormat="1">
      <c r="A127" s="498" t="s">
        <v>474</v>
      </c>
      <c r="B127" s="614" t="s">
        <v>1283</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475</v>
      </c>
      <c r="B128" s="613" t="s">
        <v>1235</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841</v>
      </c>
      <c r="B129" s="610" t="s">
        <v>1236</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1645</v>
      </c>
      <c r="AM129" s="753">
        <f t="shared" si="20"/>
        <v>38.760000000000005</v>
      </c>
    </row>
    <row r="130" spans="1:39" s="566" customFormat="1">
      <c r="A130" s="613" t="s">
        <v>476</v>
      </c>
      <c r="B130" s="613" t="s">
        <v>1238</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848</v>
      </c>
      <c r="B131" s="610" t="s">
        <v>1244</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1652</v>
      </c>
      <c r="AM131" s="753">
        <f t="shared" si="20"/>
        <v>0.21999999999999886</v>
      </c>
    </row>
    <row r="132" spans="1:39" s="566" customFormat="1">
      <c r="A132" s="613" t="s">
        <v>477</v>
      </c>
      <c r="B132" s="613" t="s">
        <v>1246</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850</v>
      </c>
      <c r="B133" s="610" t="s">
        <v>1247</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1654</v>
      </c>
      <c r="AM133" s="753">
        <f t="shared" si="20"/>
        <v>18.300000000000004</v>
      </c>
    </row>
    <row r="134" spans="1:39" s="566" customFormat="1">
      <c r="A134" s="498" t="s">
        <v>517</v>
      </c>
      <c r="B134" s="614" t="s">
        <v>1296</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518</v>
      </c>
      <c r="B135" s="613" t="s">
        <v>1235</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519</v>
      </c>
      <c r="B136" s="610" t="s">
        <v>1236</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1702</v>
      </c>
      <c r="AM136" s="753">
        <f t="shared" si="23"/>
        <v>55.66</v>
      </c>
    </row>
    <row r="137" spans="1:39" s="824" customFormat="1">
      <c r="A137" s="910" t="s">
        <v>525</v>
      </c>
      <c r="B137" s="911" t="s">
        <v>1297</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976</v>
      </c>
      <c r="B138" s="613" t="s">
        <v>1238</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977</v>
      </c>
      <c r="B139" s="610" t="s">
        <v>1299</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1728</v>
      </c>
      <c r="AM139" s="753">
        <f t="shared" si="25"/>
        <v>49.78</v>
      </c>
    </row>
    <row r="140" spans="1:39" s="566" customFormat="1">
      <c r="A140" s="610" t="s">
        <v>978</v>
      </c>
      <c r="B140" s="610" t="s">
        <v>1300</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1729</v>
      </c>
      <c r="AM140" s="753">
        <f t="shared" si="25"/>
        <v>55.83</v>
      </c>
    </row>
    <row r="141" spans="1:39" s="566" customFormat="1" ht="13.5" thickBot="1">
      <c r="A141" s="610" t="s">
        <v>979</v>
      </c>
      <c r="B141" s="610" t="s">
        <v>1301</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1589</v>
      </c>
      <c r="AM141" s="753">
        <f t="shared" si="25"/>
        <v>31.259999999999998</v>
      </c>
    </row>
    <row r="142" spans="1:39" s="939" customFormat="1">
      <c r="A142" s="1058" t="s">
        <v>510</v>
      </c>
      <c r="B142" s="1058" t="s">
        <v>1382</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511</v>
      </c>
      <c r="B143" s="614" t="s">
        <v>1383</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1057</v>
      </c>
      <c r="B144" s="613" t="s">
        <v>1389</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5" thickBot="1">
      <c r="A145" s="610" t="s">
        <v>1058</v>
      </c>
      <c r="B145" s="610" t="s">
        <v>1389</v>
      </c>
      <c r="C145" s="620" t="s">
        <v>1451</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1762</v>
      </c>
      <c r="AM145" s="753">
        <f t="shared" si="28"/>
        <v>30</v>
      </c>
    </row>
    <row r="146" spans="1:39" ht="13.5"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1800</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1922</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39" priority="1" operator="lessThan">
      <formula>0</formula>
    </cfRule>
    <cfRule type="cellIs" dxfId="3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S146"/>
  <sheetViews>
    <sheetView workbookViewId="0">
      <selection sqref="A1:X1"/>
    </sheetView>
  </sheetViews>
  <sheetFormatPr baseColWidth="10" defaultColWidth="11.42578125" defaultRowHeight="12.75"/>
  <cols>
    <col min="1" max="1" width="10.42578125" style="624" customWidth="1"/>
    <col min="2" max="2" width="99.42578125" style="622" customWidth="1"/>
    <col min="3" max="3" width="5" style="565" customWidth="1"/>
    <col min="4" max="5" width="9.42578125" style="563" customWidth="1"/>
    <col min="6" max="29" width="7" style="563" customWidth="1"/>
    <col min="30" max="33" width="7" style="564" customWidth="1"/>
    <col min="34" max="34" width="7" style="564" hidden="1" customWidth="1"/>
    <col min="35" max="35" width="9.42578125" style="566" customWidth="1"/>
    <col min="36"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5">
      <c r="A1" s="2571" t="s">
        <v>283</v>
      </c>
      <c r="B1" s="2571"/>
      <c r="C1" s="2571"/>
      <c r="D1" s="2571"/>
      <c r="E1" s="2571"/>
      <c r="F1" s="2571"/>
      <c r="G1" s="2571"/>
      <c r="H1" s="2571"/>
      <c r="I1" s="2571"/>
      <c r="J1" s="2571"/>
      <c r="K1" s="2571"/>
      <c r="L1" s="2571"/>
      <c r="M1" s="2571"/>
      <c r="N1" s="2571"/>
      <c r="O1" s="2571"/>
      <c r="P1" s="2571"/>
      <c r="Q1" s="2571"/>
      <c r="R1" s="2571"/>
      <c r="S1" s="2571"/>
      <c r="T1" s="2571"/>
      <c r="U1" s="2571"/>
      <c r="V1" s="2571"/>
      <c r="W1" s="2571"/>
      <c r="X1" s="2571"/>
    </row>
    <row r="2" spans="1:45">
      <c r="A2" s="2572" t="s">
        <v>1801</v>
      </c>
      <c r="B2" s="2572"/>
      <c r="C2" s="2572"/>
      <c r="D2" s="2572"/>
      <c r="E2" s="2572"/>
      <c r="F2" s="2572"/>
      <c r="G2" s="2572"/>
      <c r="H2" s="2572"/>
      <c r="I2" s="2572"/>
      <c r="J2" s="2572"/>
      <c r="K2" s="2572"/>
      <c r="L2" s="2572"/>
      <c r="M2" s="2572"/>
      <c r="N2" s="2572"/>
      <c r="O2" s="2572"/>
      <c r="P2" s="2572"/>
      <c r="Q2" s="2572"/>
      <c r="R2" s="2572"/>
      <c r="S2" s="2572"/>
      <c r="T2" s="2572"/>
      <c r="U2" s="2572"/>
      <c r="V2" s="2572"/>
      <c r="W2" s="2572"/>
      <c r="X2" s="2572"/>
    </row>
    <row r="3" spans="1:45">
      <c r="A3" s="621"/>
    </row>
    <row r="4" spans="1:45">
      <c r="A4" s="623"/>
      <c r="B4" s="2573" t="s">
        <v>1799</v>
      </c>
      <c r="C4" s="2573"/>
      <c r="D4" s="2573"/>
      <c r="E4" s="2573"/>
      <c r="F4" s="2573"/>
      <c r="G4" s="2573"/>
      <c r="H4" s="2573"/>
      <c r="I4" s="2573"/>
      <c r="J4" s="2573"/>
      <c r="K4" s="2573"/>
      <c r="L4" s="2573"/>
    </row>
    <row r="5" spans="1:45" ht="12.75" customHeight="1">
      <c r="A5" s="623"/>
      <c r="B5" s="2574" t="e">
        <f>#REF!</f>
        <v>#REF!</v>
      </c>
      <c r="C5" s="2575"/>
      <c r="D5" s="2575"/>
      <c r="E5" s="2575"/>
      <c r="F5" s="2575"/>
      <c r="G5" s="2575"/>
      <c r="H5" s="2575"/>
      <c r="I5" s="2575"/>
      <c r="J5" s="2575"/>
      <c r="K5" s="2575"/>
      <c r="L5" s="2575"/>
      <c r="M5" s="2575"/>
      <c r="N5" s="2575"/>
      <c r="O5" s="2575"/>
      <c r="P5" s="2575"/>
      <c r="Q5" s="2575"/>
      <c r="R5" s="2575"/>
      <c r="S5" s="2575"/>
      <c r="T5" s="2575"/>
      <c r="U5" s="2575"/>
      <c r="V5" s="2575"/>
      <c r="W5" s="2575"/>
      <c r="X5" s="2575"/>
      <c r="Y5" s="2575"/>
      <c r="Z5" s="2575"/>
      <c r="AA5" s="2575"/>
    </row>
    <row r="6" spans="1:45" ht="13.5" customHeight="1">
      <c r="B6" s="625"/>
      <c r="C6" s="567"/>
    </row>
    <row r="7" spans="1:45" ht="13.5" customHeight="1">
      <c r="B7" s="625"/>
      <c r="C7" s="567"/>
      <c r="Q7" s="2578" t="s">
        <v>284</v>
      </c>
      <c r="R7" s="2578"/>
      <c r="S7" s="2578"/>
      <c r="T7" s="2578"/>
      <c r="U7" s="2578"/>
      <c r="V7" s="2578"/>
      <c r="W7" s="2579">
        <v>42888</v>
      </c>
      <c r="X7" s="2579"/>
      <c r="Y7" s="2579"/>
      <c r="Z7" s="2579"/>
    </row>
    <row r="8" spans="1:45" ht="13.5" customHeight="1" thickBot="1">
      <c r="B8" s="625"/>
      <c r="C8" s="567"/>
      <c r="D8" s="971" t="s">
        <v>2106</v>
      </c>
      <c r="E8" s="971" t="s">
        <v>1988</v>
      </c>
      <c r="F8" s="971" t="s">
        <v>1987</v>
      </c>
      <c r="G8" s="971" t="s">
        <v>1981</v>
      </c>
      <c r="H8" s="971" t="s">
        <v>1982</v>
      </c>
      <c r="I8" s="971" t="s">
        <v>1983</v>
      </c>
      <c r="J8" s="971" t="s">
        <v>1984</v>
      </c>
      <c r="K8" s="971" t="s">
        <v>1985</v>
      </c>
      <c r="L8" s="971" t="s">
        <v>1986</v>
      </c>
      <c r="M8" s="971" t="s">
        <v>1987</v>
      </c>
      <c r="N8" s="971" t="s">
        <v>1981</v>
      </c>
      <c r="O8" s="971" t="s">
        <v>1982</v>
      </c>
      <c r="P8" s="971" t="s">
        <v>1983</v>
      </c>
      <c r="Q8" s="971" t="s">
        <v>1984</v>
      </c>
      <c r="R8" s="971" t="s">
        <v>1985</v>
      </c>
      <c r="S8" s="971" t="s">
        <v>1986</v>
      </c>
      <c r="T8" s="971" t="s">
        <v>1987</v>
      </c>
      <c r="U8" s="971" t="s">
        <v>1981</v>
      </c>
      <c r="V8" s="971" t="s">
        <v>1982</v>
      </c>
      <c r="W8" s="971" t="s">
        <v>1983</v>
      </c>
      <c r="X8" s="971" t="s">
        <v>1984</v>
      </c>
      <c r="Y8" s="971" t="s">
        <v>1985</v>
      </c>
      <c r="Z8" s="971" t="s">
        <v>1986</v>
      </c>
      <c r="AA8" s="971" t="s">
        <v>1987</v>
      </c>
      <c r="AB8" s="971" t="s">
        <v>1981</v>
      </c>
      <c r="AC8" s="971" t="s">
        <v>1982</v>
      </c>
      <c r="AD8" s="971" t="s">
        <v>1983</v>
      </c>
      <c r="AE8" s="971" t="s">
        <v>1984</v>
      </c>
      <c r="AF8" s="971" t="s">
        <v>1985</v>
      </c>
      <c r="AG8" s="971" t="s">
        <v>1986</v>
      </c>
      <c r="AH8" s="971" t="s">
        <v>1987</v>
      </c>
      <c r="AI8" s="1061"/>
    </row>
    <row r="9" spans="1:45" ht="13.5" thickBot="1">
      <c r="A9" s="2576" t="s">
        <v>285</v>
      </c>
      <c r="B9" s="2576"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358</v>
      </c>
      <c r="AJ9" s="756" t="s">
        <v>26</v>
      </c>
      <c r="AK9" s="755" t="s">
        <v>1821</v>
      </c>
      <c r="AL9" s="755" t="s">
        <v>1820</v>
      </c>
      <c r="AM9" s="572" t="s">
        <v>25</v>
      </c>
      <c r="AN9" s="563" t="s">
        <v>2</v>
      </c>
    </row>
    <row r="10" spans="1:45" ht="13.5" thickBot="1">
      <c r="A10" s="2577"/>
      <c r="B10" s="2577"/>
      <c r="C10" s="573" t="s">
        <v>286</v>
      </c>
      <c r="D10" s="574" t="s">
        <v>304</v>
      </c>
      <c r="E10" s="574" t="s">
        <v>304</v>
      </c>
      <c r="F10" s="831" t="s">
        <v>304</v>
      </c>
      <c r="G10" s="574" t="s">
        <v>304</v>
      </c>
      <c r="H10" s="574" t="s">
        <v>304</v>
      </c>
      <c r="I10" s="574" t="s">
        <v>304</v>
      </c>
      <c r="J10" s="574" t="s">
        <v>304</v>
      </c>
      <c r="K10" s="574" t="s">
        <v>304</v>
      </c>
      <c r="L10" s="574" t="s">
        <v>304</v>
      </c>
      <c r="M10" s="831" t="s">
        <v>304</v>
      </c>
      <c r="N10" s="574" t="s">
        <v>304</v>
      </c>
      <c r="O10" s="574" t="s">
        <v>304</v>
      </c>
      <c r="P10" s="574" t="s">
        <v>304</v>
      </c>
      <c r="Q10" s="574" t="s">
        <v>304</v>
      </c>
      <c r="R10" s="574" t="s">
        <v>304</v>
      </c>
      <c r="S10" s="574" t="s">
        <v>304</v>
      </c>
      <c r="T10" s="831" t="s">
        <v>304</v>
      </c>
      <c r="U10" s="574" t="s">
        <v>304</v>
      </c>
      <c r="V10" s="574" t="s">
        <v>304</v>
      </c>
      <c r="W10" s="574" t="s">
        <v>304</v>
      </c>
      <c r="X10" s="574" t="s">
        <v>304</v>
      </c>
      <c r="Y10" s="574" t="s">
        <v>304</v>
      </c>
      <c r="Z10" s="574" t="s">
        <v>304</v>
      </c>
      <c r="AA10" s="831" t="s">
        <v>304</v>
      </c>
      <c r="AB10" s="574" t="s">
        <v>304</v>
      </c>
      <c r="AC10" s="574" t="s">
        <v>304</v>
      </c>
      <c r="AD10" s="575" t="s">
        <v>304</v>
      </c>
      <c r="AE10" s="574" t="s">
        <v>304</v>
      </c>
      <c r="AF10" s="575" t="s">
        <v>304</v>
      </c>
      <c r="AG10" s="575" t="s">
        <v>304</v>
      </c>
      <c r="AH10" s="574" t="s">
        <v>304</v>
      </c>
      <c r="AI10" s="1062" t="s">
        <v>287</v>
      </c>
      <c r="AJ10" s="752" t="s">
        <v>287</v>
      </c>
      <c r="AK10" s="755"/>
      <c r="AL10" s="755"/>
      <c r="AM10" s="572"/>
    </row>
    <row r="11" spans="1:45" s="585" customFormat="1">
      <c r="A11" s="809" t="s">
        <v>33</v>
      </c>
      <c r="B11" s="810" t="s">
        <v>1131</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75">
      <c r="A13" s="814" t="s">
        <v>542</v>
      </c>
      <c r="B13" s="743" t="s">
        <v>1139</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1456</v>
      </c>
      <c r="AM13" s="823">
        <f>AN13-AK13</f>
        <v>34.529999999999973</v>
      </c>
      <c r="AN13" s="921">
        <v>1024</v>
      </c>
      <c r="AO13" s="835">
        <f>AL13-AN13</f>
        <v>-416.4</v>
      </c>
      <c r="AP13" s="835"/>
      <c r="AQ13" s="835"/>
      <c r="AR13" s="835"/>
      <c r="AS13" s="835"/>
    </row>
    <row r="14" spans="1:45" s="566" customFormat="1">
      <c r="A14" s="498" t="s">
        <v>547</v>
      </c>
      <c r="B14" s="614" t="s">
        <v>1144</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5" thickBot="1">
      <c r="A15" s="610" t="s">
        <v>549</v>
      </c>
      <c r="B15" s="610" t="s">
        <v>1818</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1455</v>
      </c>
      <c r="AM15" s="753">
        <f>AL15-AK15</f>
        <v>489.55999999999995</v>
      </c>
      <c r="AO15" s="566">
        <f>AM13/15</f>
        <v>2.3019999999999983</v>
      </c>
    </row>
    <row r="16" spans="1:45" s="566" customFormat="1">
      <c r="A16" s="612" t="s">
        <v>42</v>
      </c>
      <c r="B16" s="612" t="s">
        <v>1153</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1154</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570</v>
      </c>
      <c r="B18" s="613" t="s">
        <v>1168</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574</v>
      </c>
      <c r="B19" s="610" t="s">
        <v>1172</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575</v>
      </c>
      <c r="B20" s="610" t="s">
        <v>1173</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1471</v>
      </c>
      <c r="AM20" s="753">
        <f t="shared" si="3"/>
        <v>1.68</v>
      </c>
    </row>
    <row r="21" spans="1:39" s="566" customFormat="1">
      <c r="A21" s="610" t="s">
        <v>576</v>
      </c>
      <c r="B21" s="610" t="s">
        <v>1174</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1472</v>
      </c>
      <c r="AM21" s="753">
        <f t="shared" si="3"/>
        <v>13.879999999999999</v>
      </c>
    </row>
    <row r="22" spans="1:39" s="566" customFormat="1">
      <c r="A22" s="610" t="s">
        <v>577</v>
      </c>
      <c r="B22" s="610" t="s">
        <v>1175</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1473</v>
      </c>
      <c r="AM22" s="753">
        <f t="shared" si="3"/>
        <v>257.69</v>
      </c>
    </row>
    <row r="23" spans="1:39" s="566" customFormat="1">
      <c r="A23" s="610" t="s">
        <v>578</v>
      </c>
      <c r="B23" s="610" t="s">
        <v>1176</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581</v>
      </c>
      <c r="B24" s="610" t="s">
        <v>1179</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1476</v>
      </c>
      <c r="AM24" s="753">
        <f t="shared" si="3"/>
        <v>432.65000000000003</v>
      </c>
    </row>
    <row r="25" spans="1:39" s="566" customFormat="1">
      <c r="A25" s="610" t="s">
        <v>590</v>
      </c>
      <c r="B25" s="610" t="s">
        <v>1188</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591</v>
      </c>
      <c r="B26" s="610" t="s">
        <v>1189</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1483</v>
      </c>
      <c r="AM26" s="753">
        <f t="shared" si="3"/>
        <v>1.68</v>
      </c>
    </row>
    <row r="27" spans="1:39" s="566" customFormat="1">
      <c r="A27" s="610" t="s">
        <v>593</v>
      </c>
      <c r="B27" s="610" t="s">
        <v>1191</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1485</v>
      </c>
      <c r="AM27" s="753">
        <f t="shared" si="3"/>
        <v>-71.920000000000016</v>
      </c>
    </row>
    <row r="28" spans="1:39" s="566" customFormat="1">
      <c r="A28" s="498" t="s">
        <v>44</v>
      </c>
      <c r="B28" s="614" t="s">
        <v>1201</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615</v>
      </c>
      <c r="B29" s="613" t="s">
        <v>1168</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627</v>
      </c>
      <c r="B30" s="610" t="s">
        <v>1180</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628</v>
      </c>
      <c r="B31" s="610" t="s">
        <v>1181</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1510</v>
      </c>
      <c r="AM31" s="753">
        <f t="shared" si="6"/>
        <v>2.5099999999999998</v>
      </c>
    </row>
    <row r="32" spans="1:39" s="566" customFormat="1">
      <c r="A32" s="498" t="s">
        <v>52</v>
      </c>
      <c r="B32" s="614" t="s">
        <v>1208</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1524</v>
      </c>
      <c r="AM33" s="753">
        <f t="shared" si="6"/>
        <v>28.51</v>
      </c>
    </row>
    <row r="34" spans="1:39" s="566" customFormat="1">
      <c r="A34" s="610" t="s">
        <v>651</v>
      </c>
      <c r="B34" s="610" t="s">
        <v>1157</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1527</v>
      </c>
      <c r="AM34" s="753">
        <f t="shared" si="6"/>
        <v>-8.2399999999999949</v>
      </c>
    </row>
    <row r="35" spans="1:39" s="566" customFormat="1">
      <c r="A35" s="610" t="s">
        <v>653</v>
      </c>
      <c r="B35" s="610" t="s">
        <v>1159</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1528</v>
      </c>
      <c r="AM35" s="753">
        <f t="shared" si="6"/>
        <v>15.160000000000002</v>
      </c>
    </row>
    <row r="36" spans="1:39" s="566" customFormat="1">
      <c r="A36" s="613" t="s">
        <v>57</v>
      </c>
      <c r="B36" s="613" t="s">
        <v>1161</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1529</v>
      </c>
      <c r="AM36" s="753">
        <f t="shared" si="6"/>
        <v>23.07</v>
      </c>
    </row>
    <row r="37" spans="1:39" s="566" customFormat="1">
      <c r="A37" s="610" t="s">
        <v>655</v>
      </c>
      <c r="B37" s="610" t="s">
        <v>1202</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1530</v>
      </c>
      <c r="AM37" s="753">
        <f t="shared" si="6"/>
        <v>8.84</v>
      </c>
    </row>
    <row r="38" spans="1:39" s="566" customFormat="1" ht="13.35" customHeight="1">
      <c r="A38" s="498" t="s">
        <v>515</v>
      </c>
      <c r="B38" s="614" t="s">
        <v>1209</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516</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1555</v>
      </c>
      <c r="AM39" s="753">
        <f t="shared" si="9"/>
        <v>39.86</v>
      </c>
    </row>
    <row r="40" spans="1:39" s="566" customFormat="1" ht="13.35" customHeight="1">
      <c r="A40" s="610" t="s">
        <v>695</v>
      </c>
      <c r="B40" s="610" t="s">
        <v>1156</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1557</v>
      </c>
      <c r="AM40" s="753">
        <f t="shared" si="9"/>
        <v>6.0500000000000007</v>
      </c>
    </row>
    <row r="41" spans="1:39" s="566" customFormat="1" ht="13.35" customHeight="1">
      <c r="A41" s="610" t="s">
        <v>696</v>
      </c>
      <c r="B41" s="610" t="s">
        <v>1157</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1558</v>
      </c>
      <c r="AM41" s="753">
        <f t="shared" si="9"/>
        <v>14.060000000000002</v>
      </c>
    </row>
    <row r="42" spans="1:39" s="566" customFormat="1" ht="13.35" customHeight="1">
      <c r="A42" s="613" t="s">
        <v>707</v>
      </c>
      <c r="B42" s="613" t="s">
        <v>1168</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708</v>
      </c>
      <c r="B43" s="610" t="s">
        <v>1169</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1469</v>
      </c>
      <c r="AM43" s="753">
        <f t="shared" si="9"/>
        <v>4.6100000000000003</v>
      </c>
    </row>
    <row r="44" spans="1:39" s="566" customFormat="1" ht="13.35" customHeight="1">
      <c r="A44" s="610" t="s">
        <v>709</v>
      </c>
      <c r="B44" s="610" t="s">
        <v>1205</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1470</v>
      </c>
      <c r="AM44" s="753">
        <f t="shared" si="9"/>
        <v>191.48</v>
      </c>
    </row>
    <row r="45" spans="1:39" s="566" customFormat="1" ht="13.35" customHeight="1">
      <c r="A45" s="610" t="s">
        <v>711</v>
      </c>
      <c r="B45" s="610" t="s">
        <v>1172</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1565</v>
      </c>
      <c r="AM45" s="753">
        <f t="shared" si="9"/>
        <v>2.19</v>
      </c>
    </row>
    <row r="46" spans="1:39" s="566" customFormat="1" ht="13.35" customHeight="1">
      <c r="A46" s="610" t="s">
        <v>712</v>
      </c>
      <c r="B46" s="610" t="s">
        <v>1206</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1566</v>
      </c>
      <c r="AM46" s="753">
        <f t="shared" si="9"/>
        <v>17.489999999999998</v>
      </c>
    </row>
    <row r="47" spans="1:39" s="566" customFormat="1" ht="13.35" customHeight="1">
      <c r="A47" s="610" t="s">
        <v>713</v>
      </c>
      <c r="B47" s="610" t="s">
        <v>1174</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1567</v>
      </c>
      <c r="AM47" s="753">
        <f t="shared" si="9"/>
        <v>175.74</v>
      </c>
    </row>
    <row r="48" spans="1:39" s="566" customFormat="1" ht="13.35" customHeight="1">
      <c r="A48" s="610" t="s">
        <v>714</v>
      </c>
      <c r="B48" s="610" t="s">
        <v>1175</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715</v>
      </c>
      <c r="B49" s="610" t="s">
        <v>1176</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1531</v>
      </c>
      <c r="AM49" s="753">
        <f t="shared" si="9"/>
        <v>2.1800000000000002</v>
      </c>
    </row>
    <row r="50" spans="1:39" s="566" customFormat="1" ht="13.35" customHeight="1">
      <c r="A50" s="610" t="s">
        <v>718</v>
      </c>
      <c r="B50" s="610" t="s">
        <v>1179</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723</v>
      </c>
      <c r="B51" s="610" t="s">
        <v>1184</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1570</v>
      </c>
      <c r="AM51" s="753">
        <f t="shared" si="9"/>
        <v>5.6</v>
      </c>
    </row>
    <row r="52" spans="1:39" s="566" customFormat="1" ht="13.35" customHeight="1">
      <c r="A52" s="610" t="s">
        <v>724</v>
      </c>
      <c r="B52" s="610" t="s">
        <v>1185</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1571</v>
      </c>
      <c r="AM52" s="753">
        <f t="shared" ref="AM52:AM60" si="12">AL52-AK52</f>
        <v>48.26</v>
      </c>
    </row>
    <row r="53" spans="1:39" s="566" customFormat="1" ht="13.35" customHeight="1">
      <c r="A53" s="610" t="s">
        <v>727</v>
      </c>
      <c r="B53" s="610" t="s">
        <v>1188</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1573</v>
      </c>
      <c r="AM53" s="753">
        <f t="shared" si="12"/>
        <v>3.36</v>
      </c>
    </row>
    <row r="54" spans="1:39" s="566" customFormat="1" ht="13.35" customHeight="1">
      <c r="A54" s="610" t="s">
        <v>728</v>
      </c>
      <c r="B54" s="610" t="s">
        <v>1189</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1574</v>
      </c>
      <c r="AM54" s="753">
        <f t="shared" si="12"/>
        <v>37.68</v>
      </c>
    </row>
    <row r="55" spans="1:39" s="566" customFormat="1" ht="13.35" customHeight="1">
      <c r="A55" s="610" t="s">
        <v>729</v>
      </c>
      <c r="B55" s="610" t="s">
        <v>1190</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1575</v>
      </c>
      <c r="AM55" s="753">
        <f t="shared" si="12"/>
        <v>273.39</v>
      </c>
    </row>
    <row r="56" spans="1:39" s="566" customFormat="1" ht="13.35" customHeight="1">
      <c r="A56" s="610" t="s">
        <v>730</v>
      </c>
      <c r="B56" s="610" t="s">
        <v>1191</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1576</v>
      </c>
      <c r="AM56" s="753">
        <f t="shared" si="12"/>
        <v>284.55</v>
      </c>
    </row>
    <row r="57" spans="1:39" s="566" customFormat="1" ht="13.35" customHeight="1">
      <c r="A57" s="498" t="s">
        <v>741</v>
      </c>
      <c r="B57" s="614" t="s">
        <v>1210</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747</v>
      </c>
      <c r="B58" s="613" t="s">
        <v>1168</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748</v>
      </c>
      <c r="B59" s="610" t="s">
        <v>1176</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1585</v>
      </c>
      <c r="AM59" s="753">
        <f t="shared" si="12"/>
        <v>4.8899999999999997</v>
      </c>
    </row>
    <row r="60" spans="1:39" s="566" customFormat="1" ht="13.35" customHeight="1" thickBot="1">
      <c r="A60" s="610" t="s">
        <v>751</v>
      </c>
      <c r="B60" s="610" t="s">
        <v>1179</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1233</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1234</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1246</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1627</v>
      </c>
      <c r="AM63" s="753">
        <f t="shared" si="15"/>
        <v>90.62</v>
      </c>
    </row>
    <row r="64" spans="1:39" s="566" customFormat="1" ht="13.35" customHeight="1">
      <c r="A64" s="610" t="s">
        <v>809</v>
      </c>
      <c r="B64" s="610" t="s">
        <v>1247</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525</v>
      </c>
      <c r="B65" s="614" t="s">
        <v>1297</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976</v>
      </c>
      <c r="B66" s="613" t="s">
        <v>1238</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1728</v>
      </c>
      <c r="AM66" s="753">
        <f t="shared" si="18"/>
        <v>117.85</v>
      </c>
    </row>
    <row r="67" spans="1:39" s="566" customFormat="1" ht="13.35" customHeight="1">
      <c r="A67" s="610" t="s">
        <v>977</v>
      </c>
      <c r="B67" s="610" t="s">
        <v>1299</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1729</v>
      </c>
      <c r="AM67" s="753">
        <f t="shared" si="18"/>
        <v>30.97</v>
      </c>
    </row>
    <row r="68" spans="1:39" s="566" customFormat="1" ht="13.35" customHeight="1" thickBot="1">
      <c r="A68" s="610" t="s">
        <v>979</v>
      </c>
      <c r="B68" s="610" t="s">
        <v>1301</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510</v>
      </c>
      <c r="B69" s="1058" t="s">
        <v>1382</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511</v>
      </c>
      <c r="B70" s="614" t="s">
        <v>1383</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1057</v>
      </c>
      <c r="B71" s="613" t="s">
        <v>1389</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1762</v>
      </c>
      <c r="AM71" s="753">
        <f t="shared" si="21"/>
        <v>43</v>
      </c>
    </row>
    <row r="72" spans="1:39" ht="13.35" customHeight="1" thickBot="1">
      <c r="A72" s="610" t="s">
        <v>1058</v>
      </c>
      <c r="B72" s="610" t="s">
        <v>1389</v>
      </c>
      <c r="C72" s="620" t="s">
        <v>1451</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1763</v>
      </c>
      <c r="AM72" s="753">
        <f t="shared" si="21"/>
        <v>2</v>
      </c>
    </row>
    <row r="73" spans="1:39" ht="13.35" hidden="1" customHeight="1">
      <c r="A73" s="610" t="s">
        <v>1059</v>
      </c>
      <c r="B73" s="610" t="s">
        <v>1390</v>
      </c>
      <c r="C73" s="620" t="s">
        <v>1451</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1060</v>
      </c>
      <c r="B74" s="613" t="s">
        <v>1391</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1764</v>
      </c>
      <c r="AM74" s="753">
        <f t="shared" si="21"/>
        <v>17</v>
      </c>
    </row>
    <row r="75" spans="1:39" ht="13.35" hidden="1" customHeight="1">
      <c r="A75" s="610" t="s">
        <v>1061</v>
      </c>
      <c r="B75" s="610" t="s">
        <v>1392</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1765</v>
      </c>
      <c r="AM75" s="753">
        <f t="shared" si="21"/>
        <v>23</v>
      </c>
    </row>
    <row r="76" spans="1:39" ht="13.35" hidden="1" customHeight="1">
      <c r="A76" s="610" t="s">
        <v>1062</v>
      </c>
      <c r="B76" s="610" t="s">
        <v>1393</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1697</v>
      </c>
      <c r="AM76" s="753">
        <f t="shared" si="21"/>
        <v>2</v>
      </c>
    </row>
    <row r="77" spans="1:39" ht="13.35" hidden="1" customHeight="1">
      <c r="A77" s="610" t="s">
        <v>1063</v>
      </c>
      <c r="B77" s="610" t="s">
        <v>1394</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1454</v>
      </c>
      <c r="AM77" s="753">
        <f t="shared" si="21"/>
        <v>1</v>
      </c>
    </row>
    <row r="78" spans="1:39" ht="13.35" hidden="1" customHeight="1">
      <c r="A78" s="610" t="s">
        <v>1064</v>
      </c>
      <c r="B78" s="610" t="s">
        <v>1395</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1763</v>
      </c>
      <c r="AM78" s="753">
        <f t="shared" si="21"/>
        <v>7</v>
      </c>
    </row>
    <row r="79" spans="1:39" ht="13.35" hidden="1" customHeight="1">
      <c r="A79" s="610" t="s">
        <v>1065</v>
      </c>
      <c r="B79" s="610" t="s">
        <v>1396</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1066</v>
      </c>
      <c r="B80" s="613" t="s">
        <v>1397</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1488</v>
      </c>
      <c r="AM80" s="753">
        <f t="shared" si="21"/>
        <v>16</v>
      </c>
    </row>
    <row r="81" spans="1:39" ht="13.35" hidden="1" customHeight="1">
      <c r="A81" s="610" t="s">
        <v>1067</v>
      </c>
      <c r="B81" s="610" t="s">
        <v>1398</v>
      </c>
      <c r="C81" s="620" t="s">
        <v>1451</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1697</v>
      </c>
      <c r="AM81" s="753">
        <f t="shared" si="21"/>
        <v>2</v>
      </c>
    </row>
    <row r="82" spans="1:39" ht="13.35" hidden="1" customHeight="1">
      <c r="A82" s="610" t="s">
        <v>1068</v>
      </c>
      <c r="B82" s="610" t="s">
        <v>1399</v>
      </c>
      <c r="C82" s="620" t="s">
        <v>1451</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1697</v>
      </c>
      <c r="AM82" s="753">
        <f t="shared" si="21"/>
        <v>2</v>
      </c>
    </row>
    <row r="83" spans="1:39" ht="13.35" hidden="1" customHeight="1">
      <c r="A83" s="610" t="s">
        <v>1069</v>
      </c>
      <c r="B83" s="610" t="s">
        <v>1400</v>
      </c>
      <c r="C83" s="620" t="s">
        <v>1451</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1070</v>
      </c>
      <c r="B84" s="613" t="s">
        <v>1401</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1766</v>
      </c>
      <c r="AM84" s="753">
        <f t="shared" si="21"/>
        <v>14</v>
      </c>
    </row>
    <row r="85" spans="1:39" ht="13.35" hidden="1" customHeight="1">
      <c r="A85" s="610" t="s">
        <v>1071</v>
      </c>
      <c r="B85" s="610" t="s">
        <v>1402</v>
      </c>
      <c r="C85" s="620" t="s">
        <v>1451</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1454</v>
      </c>
      <c r="AM85" s="753">
        <f t="shared" si="21"/>
        <v>1</v>
      </c>
    </row>
    <row r="86" spans="1:39" ht="13.35" hidden="1" customHeight="1">
      <c r="A86" s="610" t="s">
        <v>1072</v>
      </c>
      <c r="B86" s="610" t="s">
        <v>1403</v>
      </c>
      <c r="C86" s="620" t="s">
        <v>1451</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1617</v>
      </c>
      <c r="AM86" s="753">
        <f t="shared" si="21"/>
        <v>3</v>
      </c>
    </row>
    <row r="87" spans="1:39" ht="13.35" hidden="1" customHeight="1">
      <c r="A87" s="610" t="s">
        <v>1073</v>
      </c>
      <c r="B87" s="610" t="s">
        <v>1404</v>
      </c>
      <c r="C87" s="620" t="s">
        <v>1451</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1640</v>
      </c>
      <c r="AM87" s="753">
        <f t="shared" si="21"/>
        <v>9</v>
      </c>
    </row>
    <row r="88" spans="1:39" ht="13.35" hidden="1" customHeight="1">
      <c r="A88" s="610" t="s">
        <v>1074</v>
      </c>
      <c r="B88" s="610" t="s">
        <v>1405</v>
      </c>
      <c r="C88" s="620" t="s">
        <v>1451</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1454</v>
      </c>
      <c r="AM88" s="753">
        <f t="shared" si="21"/>
        <v>1</v>
      </c>
    </row>
    <row r="89" spans="1:39" ht="13.35" hidden="1" customHeight="1">
      <c r="A89" s="610" t="s">
        <v>1075</v>
      </c>
      <c r="B89" s="610" t="s">
        <v>1406</v>
      </c>
      <c r="C89" s="620" t="s">
        <v>1451</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1076</v>
      </c>
      <c r="B90" s="613" t="s">
        <v>1407</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1454</v>
      </c>
      <c r="AM90" s="753">
        <f t="shared" si="21"/>
        <v>1</v>
      </c>
    </row>
    <row r="91" spans="1:39" ht="13.35" hidden="1" customHeight="1">
      <c r="A91" s="610" t="s">
        <v>1077</v>
      </c>
      <c r="B91" s="610" t="s">
        <v>1408</v>
      </c>
      <c r="C91" s="620" t="s">
        <v>1451</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1454</v>
      </c>
      <c r="AM91" s="753">
        <f t="shared" si="21"/>
        <v>1</v>
      </c>
    </row>
    <row r="92" spans="1:39" ht="13.35" hidden="1" customHeight="1">
      <c r="A92" s="610" t="s">
        <v>1078</v>
      </c>
      <c r="B92" s="610" t="s">
        <v>1409</v>
      </c>
      <c r="C92" s="620" t="s">
        <v>1451</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1725</v>
      </c>
      <c r="AM92" s="753">
        <f t="shared" si="21"/>
        <v>11</v>
      </c>
    </row>
    <row r="93" spans="1:39" ht="13.35" hidden="1" customHeight="1">
      <c r="A93" s="610" t="s">
        <v>1079</v>
      </c>
      <c r="B93" s="610" t="s">
        <v>1410</v>
      </c>
      <c r="C93" s="620" t="s">
        <v>1451</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1697</v>
      </c>
      <c r="AM93" s="753">
        <f t="shared" si="21"/>
        <v>2</v>
      </c>
    </row>
    <row r="94" spans="1:39" ht="13.35" hidden="1" customHeight="1">
      <c r="A94" s="610" t="s">
        <v>1080</v>
      </c>
      <c r="B94" s="610" t="s">
        <v>1411</v>
      </c>
      <c r="C94" s="620" t="s">
        <v>1451</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1697</v>
      </c>
      <c r="AM94" s="753">
        <f t="shared" si="21"/>
        <v>2</v>
      </c>
    </row>
    <row r="95" spans="1:39" ht="13.35" hidden="1" customHeight="1">
      <c r="A95" s="610" t="s">
        <v>1081</v>
      </c>
      <c r="B95" s="610" t="s">
        <v>1412</v>
      </c>
      <c r="C95" s="620" t="s">
        <v>1451</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1082</v>
      </c>
      <c r="B96" s="613" t="s">
        <v>1413</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1454</v>
      </c>
      <c r="AM96" s="753">
        <f t="shared" si="21"/>
        <v>1</v>
      </c>
    </row>
    <row r="97" spans="1:39" ht="13.35" hidden="1" customHeight="1">
      <c r="A97" s="610" t="s">
        <v>1083</v>
      </c>
      <c r="B97" s="610" t="s">
        <v>1414</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1084</v>
      </c>
      <c r="B98" s="613" t="s">
        <v>1415</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1454</v>
      </c>
      <c r="AM98" s="753">
        <f t="shared" si="21"/>
        <v>1</v>
      </c>
    </row>
    <row r="99" spans="1:39" ht="13.35" hidden="1" customHeight="1">
      <c r="A99" s="610" t="s">
        <v>1085</v>
      </c>
      <c r="B99" s="610" t="s">
        <v>1416</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512</v>
      </c>
      <c r="B100" s="614" t="s">
        <v>1417</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1086</v>
      </c>
      <c r="B101" s="613" t="s">
        <v>1418</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1767</v>
      </c>
      <c r="AM101" s="753">
        <f t="shared" si="21"/>
        <v>29</v>
      </c>
    </row>
    <row r="102" spans="1:39" ht="13.35" hidden="1" customHeight="1">
      <c r="A102" s="610" t="s">
        <v>1087</v>
      </c>
      <c r="B102" s="610" t="s">
        <v>1419</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1088</v>
      </c>
      <c r="B103" s="613" t="s">
        <v>1420</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1735</v>
      </c>
      <c r="AM103" s="753">
        <f t="shared" si="21"/>
        <v>64</v>
      </c>
    </row>
    <row r="104" spans="1:39" ht="13.35" hidden="1" customHeight="1">
      <c r="A104" s="610" t="s">
        <v>1089</v>
      </c>
      <c r="B104" s="610" t="s">
        <v>1421</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1090</v>
      </c>
      <c r="B105" s="613" t="s">
        <v>1422</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1735</v>
      </c>
      <c r="AM105" s="753">
        <f t="shared" si="21"/>
        <v>64</v>
      </c>
    </row>
    <row r="106" spans="1:39" ht="13.35" hidden="1" customHeight="1">
      <c r="A106" s="610" t="s">
        <v>1091</v>
      </c>
      <c r="B106" s="610" t="s">
        <v>1423</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1092</v>
      </c>
      <c r="B107" s="613" t="s">
        <v>1424</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1616</v>
      </c>
      <c r="AM107" s="753">
        <f t="shared" si="21"/>
        <v>6</v>
      </c>
    </row>
    <row r="108" spans="1:39" ht="13.35" hidden="1" customHeight="1">
      <c r="A108" s="610" t="s">
        <v>1093</v>
      </c>
      <c r="B108" s="610" t="s">
        <v>1425</v>
      </c>
      <c r="C108" s="620" t="s">
        <v>1451</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1094</v>
      </c>
      <c r="B109" s="613" t="s">
        <v>1391</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1616</v>
      </c>
      <c r="AM109" s="753">
        <f t="shared" si="21"/>
        <v>6</v>
      </c>
    </row>
    <row r="110" spans="1:39" ht="13.35" hidden="1" customHeight="1">
      <c r="A110" s="610" t="s">
        <v>1095</v>
      </c>
      <c r="B110" s="610" t="s">
        <v>1426</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1096</v>
      </c>
      <c r="B111" s="614" t="s">
        <v>1427</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1097</v>
      </c>
      <c r="B112" s="613" t="s">
        <v>1418</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1768</v>
      </c>
      <c r="AM112" s="753">
        <f t="shared" si="21"/>
        <v>56</v>
      </c>
    </row>
    <row r="113" spans="1:39" ht="13.35" hidden="1" customHeight="1">
      <c r="A113" s="610" t="s">
        <v>1098</v>
      </c>
      <c r="B113" s="610" t="s">
        <v>1419</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1099</v>
      </c>
      <c r="B114" s="613" t="s">
        <v>1420</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1769</v>
      </c>
      <c r="AM114" s="753">
        <f t="shared" si="21"/>
        <v>80</v>
      </c>
    </row>
    <row r="115" spans="1:39" ht="13.35" hidden="1" customHeight="1">
      <c r="A115" s="610" t="s">
        <v>1100</v>
      </c>
      <c r="B115" s="610" t="s">
        <v>1428</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1101</v>
      </c>
      <c r="B116" s="613" t="s">
        <v>1422</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1768</v>
      </c>
      <c r="AM116" s="753">
        <f t="shared" si="21"/>
        <v>56</v>
      </c>
    </row>
    <row r="117" spans="1:39" ht="13.35" hidden="1" customHeight="1">
      <c r="A117" s="610" t="s">
        <v>1102</v>
      </c>
      <c r="B117" s="610" t="s">
        <v>1429</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1103</v>
      </c>
      <c r="B118" s="613" t="s">
        <v>1430</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1616</v>
      </c>
      <c r="AM118" s="753">
        <f t="shared" si="21"/>
        <v>6</v>
      </c>
    </row>
    <row r="119" spans="1:39" ht="13.35" hidden="1" customHeight="1">
      <c r="A119" s="610" t="s">
        <v>1104</v>
      </c>
      <c r="B119" s="610" t="s">
        <v>1431</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1105</v>
      </c>
      <c r="B120" s="613" t="s">
        <v>1432</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1616</v>
      </c>
      <c r="AM120" s="753">
        <f t="shared" si="21"/>
        <v>6</v>
      </c>
    </row>
    <row r="121" spans="1:39" ht="13.35" hidden="1" customHeight="1">
      <c r="A121" s="610" t="s">
        <v>1106</v>
      </c>
      <c r="B121" s="610" t="s">
        <v>1433</v>
      </c>
      <c r="C121" s="620" t="s">
        <v>1451</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1107</v>
      </c>
      <c r="B122" s="613" t="s">
        <v>1415</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1616</v>
      </c>
      <c r="AM122" s="753">
        <f t="shared" si="21"/>
        <v>6</v>
      </c>
    </row>
    <row r="123" spans="1:39" ht="13.35" hidden="1" customHeight="1">
      <c r="A123" s="610" t="s">
        <v>1108</v>
      </c>
      <c r="B123" s="610" t="s">
        <v>1434</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1109</v>
      </c>
      <c r="B124" s="613" t="s">
        <v>1424</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1616</v>
      </c>
      <c r="AM124" s="753">
        <f t="shared" si="21"/>
        <v>6</v>
      </c>
    </row>
    <row r="125" spans="1:39" ht="13.35" hidden="1" customHeight="1">
      <c r="A125" s="610" t="s">
        <v>1110</v>
      </c>
      <c r="B125" s="610" t="s">
        <v>1435</v>
      </c>
      <c r="C125" s="620" t="s">
        <v>1451</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1111</v>
      </c>
      <c r="B126" s="613" t="s">
        <v>1391</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1616</v>
      </c>
      <c r="AM126" s="753">
        <f t="shared" si="21"/>
        <v>6</v>
      </c>
    </row>
    <row r="127" spans="1:39" ht="13.35" hidden="1" customHeight="1">
      <c r="A127" s="610" t="s">
        <v>1112</v>
      </c>
      <c r="B127" s="610" t="s">
        <v>1436</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1113</v>
      </c>
      <c r="B128" s="614" t="s">
        <v>1437</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1114</v>
      </c>
      <c r="B129" s="613" t="s">
        <v>1438</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1454</v>
      </c>
      <c r="AM129" s="753">
        <f t="shared" si="24"/>
        <v>1</v>
      </c>
    </row>
    <row r="130" spans="1:39" ht="13.35" hidden="1" customHeight="1">
      <c r="A130" s="610" t="s">
        <v>1115</v>
      </c>
      <c r="B130" s="610" t="s">
        <v>1439</v>
      </c>
      <c r="C130" s="620" t="s">
        <v>1452</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1116</v>
      </c>
      <c r="B131" s="613" t="s">
        <v>1440</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1697</v>
      </c>
      <c r="AM131" s="753">
        <f t="shared" si="24"/>
        <v>2</v>
      </c>
    </row>
    <row r="132" spans="1:39" ht="13.35" hidden="1" customHeight="1">
      <c r="A132" s="610" t="s">
        <v>1117</v>
      </c>
      <c r="B132" s="610" t="s">
        <v>1441</v>
      </c>
      <c r="C132" s="620" t="s">
        <v>1453</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1118</v>
      </c>
      <c r="B133" s="613" t="s">
        <v>1418</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1770</v>
      </c>
      <c r="AM133" s="753">
        <f t="shared" si="24"/>
        <v>90</v>
      </c>
    </row>
    <row r="134" spans="1:39" ht="13.35" hidden="1" customHeight="1">
      <c r="A134" s="610" t="s">
        <v>1119</v>
      </c>
      <c r="B134" s="610" t="s">
        <v>1419</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1120</v>
      </c>
      <c r="B135" s="613" t="s">
        <v>1420</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1121</v>
      </c>
      <c r="B136" s="610" t="s">
        <v>1442</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1122</v>
      </c>
      <c r="B137" s="610" t="s">
        <v>1443</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1123</v>
      </c>
      <c r="B138" s="613" t="s">
        <v>1422</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1124</v>
      </c>
      <c r="B139" s="610" t="s">
        <v>1444</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1125</v>
      </c>
      <c r="B140" s="613" t="s">
        <v>1415</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1126</v>
      </c>
      <c r="B141" s="610" t="s">
        <v>1416</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1127</v>
      </c>
      <c r="B142" s="613" t="s">
        <v>1445</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1128</v>
      </c>
      <c r="B143" s="610" t="s">
        <v>1446</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1129</v>
      </c>
      <c r="B144" s="613" t="s">
        <v>1447</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1130</v>
      </c>
      <c r="B145" s="626" t="s">
        <v>1448</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Q78"/>
  <sheetViews>
    <sheetView workbookViewId="0">
      <selection sqref="A1:X1"/>
    </sheetView>
  </sheetViews>
  <sheetFormatPr baseColWidth="10" defaultColWidth="11.42578125" defaultRowHeight="12.75"/>
  <cols>
    <col min="1" max="1" width="11.5703125" style="624" customWidth="1"/>
    <col min="2" max="2" width="99.42578125" style="622" customWidth="1"/>
    <col min="3" max="3" width="5" style="565" customWidth="1"/>
    <col min="4" max="29" width="7" style="563" customWidth="1"/>
    <col min="30" max="30" width="7" style="564" customWidth="1"/>
    <col min="31" max="31" width="10.42578125" style="564" customWidth="1"/>
    <col min="32" max="33" width="7" style="564" customWidth="1"/>
    <col min="34" max="34" width="7" style="564" hidden="1"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571" t="s">
        <v>283</v>
      </c>
      <c r="B1" s="2571"/>
      <c r="C1" s="2571"/>
      <c r="D1" s="2571"/>
      <c r="E1" s="2571"/>
      <c r="F1" s="2571"/>
      <c r="G1" s="2571"/>
      <c r="H1" s="2571"/>
      <c r="I1" s="2571"/>
      <c r="J1" s="2571"/>
      <c r="K1" s="2571"/>
      <c r="L1" s="2571"/>
      <c r="M1" s="2571"/>
      <c r="N1" s="2571"/>
      <c r="O1" s="2571"/>
      <c r="P1" s="2571"/>
      <c r="Q1" s="2571"/>
      <c r="R1" s="2571"/>
      <c r="S1" s="2571"/>
      <c r="T1" s="2571"/>
      <c r="U1" s="2571"/>
      <c r="V1" s="2571"/>
      <c r="W1" s="2571"/>
      <c r="X1" s="2571"/>
    </row>
    <row r="2" spans="1:43">
      <c r="A2" s="2572" t="s">
        <v>1802</v>
      </c>
      <c r="B2" s="2572"/>
      <c r="C2" s="2572"/>
      <c r="D2" s="2572"/>
      <c r="E2" s="2572"/>
      <c r="F2" s="2572"/>
      <c r="G2" s="2572"/>
      <c r="H2" s="2572"/>
      <c r="I2" s="2572"/>
      <c r="J2" s="2572"/>
      <c r="K2" s="2572"/>
      <c r="L2" s="2572"/>
      <c r="M2" s="2572"/>
      <c r="N2" s="2572"/>
      <c r="O2" s="2572"/>
      <c r="P2" s="2572"/>
      <c r="Q2" s="2572"/>
      <c r="R2" s="2572"/>
      <c r="S2" s="2572"/>
      <c r="T2" s="2572"/>
      <c r="U2" s="2572"/>
      <c r="V2" s="2572"/>
      <c r="W2" s="2572"/>
      <c r="X2" s="2572"/>
    </row>
    <row r="3" spans="1:43">
      <c r="A3" s="621"/>
      <c r="O3" s="563" t="s">
        <v>2093</v>
      </c>
    </row>
    <row r="4" spans="1:43">
      <c r="A4" s="623"/>
      <c r="B4" s="2573" t="s">
        <v>1799</v>
      </c>
      <c r="C4" s="2573"/>
      <c r="D4" s="2573"/>
      <c r="E4" s="2573"/>
      <c r="F4" s="2573"/>
      <c r="G4" s="2573"/>
      <c r="H4" s="2573"/>
      <c r="I4" s="2573"/>
      <c r="J4" s="2573"/>
      <c r="K4" s="2573"/>
      <c r="L4" s="2573"/>
    </row>
    <row r="5" spans="1:43" ht="12.75" customHeight="1">
      <c r="A5" s="623"/>
      <c r="B5" s="2574" t="e">
        <f>#REF!</f>
        <v>#REF!</v>
      </c>
      <c r="C5" s="2575"/>
      <c r="D5" s="2575"/>
      <c r="E5" s="2575"/>
      <c r="F5" s="2575"/>
      <c r="G5" s="2575"/>
      <c r="H5" s="2575"/>
      <c r="I5" s="2575"/>
      <c r="J5" s="2575"/>
      <c r="K5" s="2575"/>
      <c r="L5" s="2575"/>
      <c r="M5" s="2575"/>
      <c r="N5" s="2575"/>
      <c r="O5" s="2575"/>
      <c r="P5" s="2575"/>
      <c r="Q5" s="2575"/>
      <c r="R5" s="2575"/>
      <c r="S5" s="2575"/>
      <c r="T5" s="2575"/>
      <c r="U5" s="2575"/>
      <c r="V5" s="2575"/>
      <c r="W5" s="2575"/>
      <c r="X5" s="2575"/>
      <c r="Y5" s="2575"/>
      <c r="Z5" s="2575"/>
      <c r="AA5" s="2575"/>
    </row>
    <row r="6" spans="1:43" ht="13.5" customHeight="1">
      <c r="B6" s="625"/>
      <c r="C6" s="567"/>
    </row>
    <row r="7" spans="1:43" ht="13.5" customHeight="1" thickBot="1">
      <c r="B7" s="625"/>
      <c r="C7" s="567"/>
      <c r="Q7" s="2578" t="s">
        <v>284</v>
      </c>
      <c r="R7" s="2578"/>
      <c r="S7" s="2578"/>
      <c r="T7" s="2578"/>
      <c r="U7" s="2578"/>
      <c r="V7" s="2578"/>
      <c r="W7" s="2579">
        <v>42857</v>
      </c>
      <c r="X7" s="2579"/>
      <c r="Y7" s="2579"/>
      <c r="Z7" s="2579"/>
    </row>
    <row r="8" spans="1:43" ht="13.5" customHeight="1" thickBot="1">
      <c r="B8" s="625"/>
      <c r="C8" s="567"/>
      <c r="D8" s="1052" t="s">
        <v>2106</v>
      </c>
      <c r="E8" s="1052" t="s">
        <v>1988</v>
      </c>
      <c r="F8" s="1052" t="s">
        <v>1987</v>
      </c>
      <c r="G8" s="1052" t="s">
        <v>1981</v>
      </c>
      <c r="H8" s="1052" t="s">
        <v>1982</v>
      </c>
      <c r="I8" s="1052" t="s">
        <v>1983</v>
      </c>
      <c r="J8" s="1052" t="s">
        <v>1984</v>
      </c>
      <c r="K8" s="1052" t="s">
        <v>1985</v>
      </c>
      <c r="L8" s="1052" t="s">
        <v>1986</v>
      </c>
      <c r="M8" s="1052" t="s">
        <v>1987</v>
      </c>
      <c r="N8" s="1052" t="s">
        <v>1981</v>
      </c>
      <c r="O8" s="1052" t="s">
        <v>1982</v>
      </c>
      <c r="P8" s="1052" t="s">
        <v>1983</v>
      </c>
      <c r="Q8" s="1052" t="s">
        <v>1984</v>
      </c>
      <c r="R8" s="1052" t="s">
        <v>1985</v>
      </c>
      <c r="S8" s="1052" t="s">
        <v>1986</v>
      </c>
      <c r="T8" s="1052" t="s">
        <v>1987</v>
      </c>
      <c r="U8" s="1052" t="s">
        <v>1981</v>
      </c>
      <c r="V8" s="1052" t="s">
        <v>1982</v>
      </c>
      <c r="W8" s="1052" t="s">
        <v>1983</v>
      </c>
      <c r="X8" s="1052" t="s">
        <v>1984</v>
      </c>
      <c r="Y8" s="1052" t="s">
        <v>1985</v>
      </c>
      <c r="Z8" s="1052" t="s">
        <v>1986</v>
      </c>
      <c r="AA8" s="1052" t="s">
        <v>1987</v>
      </c>
      <c r="AB8" s="1052" t="s">
        <v>1981</v>
      </c>
      <c r="AC8" s="1052" t="s">
        <v>1982</v>
      </c>
      <c r="AD8" s="1052" t="s">
        <v>1983</v>
      </c>
      <c r="AE8" s="1052" t="s">
        <v>1984</v>
      </c>
      <c r="AF8" s="1052" t="s">
        <v>1985</v>
      </c>
      <c r="AG8" s="1052" t="s">
        <v>1986</v>
      </c>
      <c r="AH8" s="1052" t="s">
        <v>1987</v>
      </c>
      <c r="AI8" s="971"/>
      <c r="AJ8" s="2580" t="s">
        <v>1979</v>
      </c>
      <c r="AK8" s="2581"/>
      <c r="AL8" s="2581"/>
      <c r="AM8" s="2582"/>
      <c r="AN8" s="2580" t="s">
        <v>1980</v>
      </c>
      <c r="AO8" s="2581"/>
      <c r="AP8" s="2581"/>
      <c r="AQ8" s="2582"/>
    </row>
    <row r="9" spans="1:43" ht="13.5" thickBot="1">
      <c r="A9" s="2576" t="s">
        <v>285</v>
      </c>
      <c r="B9" s="2576"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358</v>
      </c>
      <c r="AJ9" s="965" t="s">
        <v>26</v>
      </c>
      <c r="AK9" s="966" t="s">
        <v>1821</v>
      </c>
      <c r="AL9" s="966" t="s">
        <v>1820</v>
      </c>
      <c r="AM9" s="967" t="s">
        <v>25</v>
      </c>
      <c r="AN9" s="965" t="s">
        <v>26</v>
      </c>
      <c r="AO9" s="966" t="s">
        <v>1821</v>
      </c>
      <c r="AP9" s="966" t="s">
        <v>1820</v>
      </c>
      <c r="AQ9" s="967" t="s">
        <v>25</v>
      </c>
    </row>
    <row r="10" spans="1:43" ht="13.5" thickBot="1">
      <c r="A10" s="2577"/>
      <c r="B10" s="2577"/>
      <c r="C10" s="573" t="s">
        <v>286</v>
      </c>
      <c r="D10" s="574" t="s">
        <v>304</v>
      </c>
      <c r="E10" s="574" t="s">
        <v>304</v>
      </c>
      <c r="F10" s="831" t="s">
        <v>304</v>
      </c>
      <c r="G10" s="574" t="s">
        <v>304</v>
      </c>
      <c r="H10" s="574" t="s">
        <v>304</v>
      </c>
      <c r="I10" s="574" t="s">
        <v>304</v>
      </c>
      <c r="J10" s="574" t="s">
        <v>304</v>
      </c>
      <c r="K10" s="574" t="s">
        <v>304</v>
      </c>
      <c r="L10" s="574" t="s">
        <v>304</v>
      </c>
      <c r="M10" s="831" t="s">
        <v>304</v>
      </c>
      <c r="N10" s="574" t="s">
        <v>304</v>
      </c>
      <c r="O10" s="574" t="s">
        <v>304</v>
      </c>
      <c r="P10" s="574" t="s">
        <v>304</v>
      </c>
      <c r="Q10" s="574" t="s">
        <v>304</v>
      </c>
      <c r="R10" s="574" t="s">
        <v>304</v>
      </c>
      <c r="S10" s="574" t="s">
        <v>304</v>
      </c>
      <c r="T10" s="831" t="s">
        <v>304</v>
      </c>
      <c r="U10" s="574" t="s">
        <v>304</v>
      </c>
      <c r="V10" s="574" t="s">
        <v>304</v>
      </c>
      <c r="W10" s="574" t="s">
        <v>304</v>
      </c>
      <c r="X10" s="574" t="s">
        <v>304</v>
      </c>
      <c r="Y10" s="574" t="s">
        <v>304</v>
      </c>
      <c r="Z10" s="574" t="s">
        <v>304</v>
      </c>
      <c r="AA10" s="831" t="s">
        <v>304</v>
      </c>
      <c r="AB10" s="574" t="s">
        <v>304</v>
      </c>
      <c r="AC10" s="574" t="s">
        <v>304</v>
      </c>
      <c r="AD10" s="575" t="s">
        <v>304</v>
      </c>
      <c r="AE10" s="574" t="s">
        <v>304</v>
      </c>
      <c r="AF10" s="575" t="s">
        <v>304</v>
      </c>
      <c r="AG10" s="574" t="s">
        <v>304</v>
      </c>
      <c r="AH10" s="574" t="s">
        <v>304</v>
      </c>
      <c r="AI10" s="576" t="s">
        <v>287</v>
      </c>
      <c r="AJ10" s="572"/>
      <c r="AN10" s="572"/>
    </row>
    <row r="11" spans="1:43" s="585" customFormat="1">
      <c r="A11" s="632" t="s">
        <v>513</v>
      </c>
      <c r="B11" s="633" t="s">
        <v>1803</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514</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c r="A13" s="610" t="s">
        <v>1926</v>
      </c>
      <c r="B13" s="846" t="s">
        <v>1932</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c r="A14" s="610" t="s">
        <v>2009</v>
      </c>
      <c r="B14" s="846" t="s">
        <v>2129</v>
      </c>
      <c r="C14" s="841" t="s">
        <v>2130</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c r="A15" s="1097" t="s">
        <v>2086</v>
      </c>
      <c r="B15" s="1099" t="s">
        <v>1210</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c r="A16" s="982" t="s">
        <v>2087</v>
      </c>
      <c r="B16" s="846" t="s">
        <v>1946</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c r="A17" s="982" t="s">
        <v>2088</v>
      </c>
      <c r="B17" s="846" t="s">
        <v>1947</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idden="1">
      <c r="A18" s="982" t="s">
        <v>2089</v>
      </c>
      <c r="B18" s="846" t="s">
        <v>2000</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c r="A19" s="982" t="s">
        <v>2099</v>
      </c>
      <c r="B19" s="613" t="s">
        <v>1238</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c r="A20" s="613" t="s">
        <v>2100</v>
      </c>
      <c r="B20" s="1098" t="s">
        <v>2096</v>
      </c>
      <c r="C20" s="841" t="s">
        <v>2097</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c r="A21" s="1097" t="s">
        <v>2113</v>
      </c>
      <c r="B21" s="1098" t="s">
        <v>1991</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2114</v>
      </c>
      <c r="B22" s="610" t="s">
        <v>2116</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c r="A23" s="982" t="s">
        <v>2115</v>
      </c>
      <c r="B23" s="610" t="s">
        <v>2118</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2117</v>
      </c>
      <c r="B24" s="610" t="s">
        <v>2119</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2132</v>
      </c>
      <c r="B25" s="846" t="s">
        <v>225</v>
      </c>
      <c r="C25" s="620" t="s">
        <v>2131</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2101</v>
      </c>
      <c r="B26" s="1098" t="s">
        <v>1216</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2103</v>
      </c>
      <c r="B27" s="846" t="s">
        <v>1946</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2104</v>
      </c>
      <c r="B28" s="610" t="s">
        <v>1202</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2133</v>
      </c>
      <c r="B29" s="846" t="s">
        <v>1991</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2149</v>
      </c>
      <c r="B30" s="610" t="s">
        <v>2134</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2150</v>
      </c>
      <c r="B31" s="610" t="s">
        <v>2135</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2151</v>
      </c>
      <c r="B32" s="610" t="s">
        <v>2136</v>
      </c>
      <c r="C32" s="620" t="s">
        <v>1935</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2107</v>
      </c>
      <c r="B33" s="1098" t="s">
        <v>1154</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2137</v>
      </c>
      <c r="B34" s="846" t="s">
        <v>1991</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2138</v>
      </c>
      <c r="B35" s="846" t="s">
        <v>1992</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2139</v>
      </c>
      <c r="B36" s="846" t="s">
        <v>1993</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2140</v>
      </c>
      <c r="B37" s="846" t="s">
        <v>1994</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2141</v>
      </c>
      <c r="B38" s="846" t="s">
        <v>1995</v>
      </c>
      <c r="C38" s="620" t="s">
        <v>1935</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2108</v>
      </c>
      <c r="B39" s="846" t="s">
        <v>1996</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2109</v>
      </c>
      <c r="B40" s="846" t="s">
        <v>1997</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2110</v>
      </c>
      <c r="B41" s="846" t="s">
        <v>1998</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2111</v>
      </c>
      <c r="B42" s="846" t="s">
        <v>1999</v>
      </c>
      <c r="C42" s="620" t="s">
        <v>1935</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2142</v>
      </c>
      <c r="B43" s="613" t="s">
        <v>1217</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2143</v>
      </c>
      <c r="B44" s="610" t="s">
        <v>1218</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2144</v>
      </c>
      <c r="B45" s="610" t="s">
        <v>1219</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2145</v>
      </c>
      <c r="B46" s="610" t="s">
        <v>1220</v>
      </c>
      <c r="C46" s="620" t="s">
        <v>1935</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2112</v>
      </c>
      <c r="B47" s="1098" t="s">
        <v>1209</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2120</v>
      </c>
      <c r="B48" s="846" t="s">
        <v>1991</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2121</v>
      </c>
      <c r="B49" s="846" t="s">
        <v>1992</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2122</v>
      </c>
      <c r="B50" s="846" t="s">
        <v>1993</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2123</v>
      </c>
      <c r="B51" s="846" t="s">
        <v>1994</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2124</v>
      </c>
      <c r="B52" s="846" t="s">
        <v>1995</v>
      </c>
      <c r="C52" s="620" t="s">
        <v>1935</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2125</v>
      </c>
      <c r="B53" s="846" t="s">
        <v>1996</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2126</v>
      </c>
      <c r="B54" s="846" t="s">
        <v>1997</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2127</v>
      </c>
      <c r="B55" s="846" t="s">
        <v>1998</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5" thickBot="1">
      <c r="A56" s="982" t="s">
        <v>2128</v>
      </c>
      <c r="B56" s="846" t="s">
        <v>1999</v>
      </c>
      <c r="C56" s="620" t="s">
        <v>1935</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5"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1800</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R85"/>
  <sheetViews>
    <sheetView topLeftCell="A56" workbookViewId="0"/>
  </sheetViews>
  <sheetFormatPr baseColWidth="10" defaultRowHeight="12.75"/>
  <cols>
    <col min="1" max="1" width="10.42578125" style="18" customWidth="1"/>
    <col min="2" max="2" width="63.5703125" style="18" customWidth="1"/>
    <col min="3" max="3" width="6.42578125" style="97" bestFit="1" customWidth="1"/>
    <col min="4" max="5" width="8.5703125" style="26" customWidth="1"/>
    <col min="6" max="6" width="11.42578125" style="26" bestFit="1" customWidth="1"/>
    <col min="7" max="7" width="7.5703125" style="18" bestFit="1" customWidth="1"/>
    <col min="8" max="8" width="11.5703125" style="18" bestFit="1"/>
    <col min="9" max="9" width="8" style="49" bestFit="1" customWidth="1"/>
    <col min="10" max="10" width="11.5703125" style="18" bestFit="1"/>
    <col min="11" max="11" width="8.42578125" style="18" bestFit="1" customWidth="1"/>
    <col min="12" max="12" width="11.5703125" style="18" bestFit="1"/>
    <col min="13" max="13" width="8.42578125" style="18" customWidth="1"/>
    <col min="14" max="14" width="7.42578125" style="18" bestFit="1" customWidth="1"/>
    <col min="15" max="15" width="11.5703125" style="18" bestFit="1"/>
    <col min="16" max="16" width="8.42578125" style="18" customWidth="1"/>
    <col min="17" max="17" width="13" style="18" bestFit="1" customWidth="1"/>
    <col min="18" max="256" width="11.5703125" style="18"/>
    <col min="257" max="257" width="4.5703125" style="18" customWidth="1"/>
    <col min="258" max="258" width="50" style="18" customWidth="1"/>
    <col min="259" max="259" width="6.42578125" style="18" bestFit="1" customWidth="1"/>
    <col min="260" max="261" width="8.5703125" style="18" customWidth="1"/>
    <col min="262" max="262" width="11.42578125" style="18" bestFit="1" customWidth="1"/>
    <col min="263" max="263" width="7.5703125" style="18" bestFit="1" customWidth="1"/>
    <col min="264" max="264" width="11.5703125" style="18" bestFit="1"/>
    <col min="265" max="265" width="8" style="18" bestFit="1" customWidth="1"/>
    <col min="266" max="266" width="11.5703125" style="18" bestFit="1"/>
    <col min="267" max="267" width="8.42578125" style="18" bestFit="1" customWidth="1"/>
    <col min="268" max="268" width="11.5703125" style="18" bestFit="1"/>
    <col min="269" max="269" width="8.42578125" style="18" customWidth="1"/>
    <col min="270" max="270" width="7.42578125" style="18" bestFit="1" customWidth="1"/>
    <col min="271" max="271" width="11.5703125" style="18" bestFit="1"/>
    <col min="272" max="272" width="8.42578125" style="18" customWidth="1"/>
    <col min="273" max="273" width="13" style="18" bestFit="1" customWidth="1"/>
    <col min="274" max="512" width="11.5703125" style="18"/>
    <col min="513" max="513" width="4.5703125" style="18" customWidth="1"/>
    <col min="514" max="514" width="50" style="18" customWidth="1"/>
    <col min="515" max="515" width="6.42578125" style="18" bestFit="1" customWidth="1"/>
    <col min="516" max="517" width="8.5703125" style="18" customWidth="1"/>
    <col min="518" max="518" width="11.42578125" style="18" bestFit="1" customWidth="1"/>
    <col min="519" max="519" width="7.5703125" style="18" bestFit="1" customWidth="1"/>
    <col min="520" max="520" width="11.5703125" style="18" bestFit="1"/>
    <col min="521" max="521" width="8" style="18" bestFit="1" customWidth="1"/>
    <col min="522" max="522" width="11.5703125" style="18" bestFit="1"/>
    <col min="523" max="523" width="8.42578125" style="18" bestFit="1" customWidth="1"/>
    <col min="524" max="524" width="11.5703125" style="18" bestFit="1"/>
    <col min="525" max="525" width="8.42578125" style="18" customWidth="1"/>
    <col min="526" max="526" width="7.42578125" style="18" bestFit="1" customWidth="1"/>
    <col min="527" max="527" width="11.5703125" style="18" bestFit="1"/>
    <col min="528" max="528" width="8.42578125" style="18" customWidth="1"/>
    <col min="529" max="529" width="13" style="18" bestFit="1" customWidth="1"/>
    <col min="530" max="768" width="11.5703125" style="18"/>
    <col min="769" max="769" width="4.5703125" style="18" customWidth="1"/>
    <col min="770" max="770" width="50" style="18" customWidth="1"/>
    <col min="771" max="771" width="6.42578125" style="18" bestFit="1" customWidth="1"/>
    <col min="772" max="773" width="8.5703125" style="18" customWidth="1"/>
    <col min="774" max="774" width="11.42578125" style="18" bestFit="1" customWidth="1"/>
    <col min="775" max="775" width="7.5703125" style="18" bestFit="1" customWidth="1"/>
    <col min="776" max="776" width="11.5703125" style="18" bestFit="1"/>
    <col min="777" max="777" width="8" style="18" bestFit="1" customWidth="1"/>
    <col min="778" max="778" width="11.5703125" style="18" bestFit="1"/>
    <col min="779" max="779" width="8.42578125" style="18" bestFit="1" customWidth="1"/>
    <col min="780" max="780" width="11.5703125" style="18" bestFit="1"/>
    <col min="781" max="781" width="8.42578125" style="18" customWidth="1"/>
    <col min="782" max="782" width="7.42578125" style="18" bestFit="1" customWidth="1"/>
    <col min="783" max="783" width="11.5703125" style="18" bestFit="1"/>
    <col min="784" max="784" width="8.42578125" style="18" customWidth="1"/>
    <col min="785" max="785" width="13" style="18" bestFit="1" customWidth="1"/>
    <col min="786" max="1024" width="11.5703125" style="18"/>
    <col min="1025" max="1025" width="4.5703125" style="18" customWidth="1"/>
    <col min="1026" max="1026" width="50" style="18" customWidth="1"/>
    <col min="1027" max="1027" width="6.42578125" style="18" bestFit="1" customWidth="1"/>
    <col min="1028" max="1029" width="8.5703125" style="18" customWidth="1"/>
    <col min="1030" max="1030" width="11.42578125" style="18" bestFit="1" customWidth="1"/>
    <col min="1031" max="1031" width="7.5703125" style="18" bestFit="1" customWidth="1"/>
    <col min="1032" max="1032" width="11.5703125" style="18" bestFit="1"/>
    <col min="1033" max="1033" width="8" style="18" bestFit="1" customWidth="1"/>
    <col min="1034" max="1034" width="11.5703125" style="18" bestFit="1"/>
    <col min="1035" max="1035" width="8.42578125" style="18" bestFit="1" customWidth="1"/>
    <col min="1036" max="1036" width="11.5703125" style="18" bestFit="1"/>
    <col min="1037" max="1037" width="8.42578125" style="18" customWidth="1"/>
    <col min="1038" max="1038" width="7.42578125" style="18" bestFit="1" customWidth="1"/>
    <col min="1039" max="1039" width="11.5703125" style="18" bestFit="1"/>
    <col min="1040" max="1040" width="8.42578125" style="18" customWidth="1"/>
    <col min="1041" max="1041" width="13" style="18" bestFit="1" customWidth="1"/>
    <col min="1042" max="1280" width="11.5703125" style="18"/>
    <col min="1281" max="1281" width="4.5703125" style="18" customWidth="1"/>
    <col min="1282" max="1282" width="50" style="18" customWidth="1"/>
    <col min="1283" max="1283" width="6.42578125" style="18" bestFit="1" customWidth="1"/>
    <col min="1284" max="1285" width="8.5703125" style="18" customWidth="1"/>
    <col min="1286" max="1286" width="11.42578125" style="18" bestFit="1" customWidth="1"/>
    <col min="1287" max="1287" width="7.5703125" style="18" bestFit="1" customWidth="1"/>
    <col min="1288" max="1288" width="11.5703125" style="18" bestFit="1"/>
    <col min="1289" max="1289" width="8" style="18" bestFit="1" customWidth="1"/>
    <col min="1290" max="1290" width="11.5703125" style="18" bestFit="1"/>
    <col min="1291" max="1291" width="8.42578125" style="18" bestFit="1" customWidth="1"/>
    <col min="1292" max="1292" width="11.5703125" style="18" bestFit="1"/>
    <col min="1293" max="1293" width="8.42578125" style="18" customWidth="1"/>
    <col min="1294" max="1294" width="7.42578125" style="18" bestFit="1" customWidth="1"/>
    <col min="1295" max="1295" width="11.5703125" style="18" bestFit="1"/>
    <col min="1296" max="1296" width="8.42578125" style="18" customWidth="1"/>
    <col min="1297" max="1297" width="13" style="18" bestFit="1" customWidth="1"/>
    <col min="1298" max="1536" width="11.5703125" style="18"/>
    <col min="1537" max="1537" width="4.5703125" style="18" customWidth="1"/>
    <col min="1538" max="1538" width="50" style="18" customWidth="1"/>
    <col min="1539" max="1539" width="6.42578125" style="18" bestFit="1" customWidth="1"/>
    <col min="1540" max="1541" width="8.5703125" style="18" customWidth="1"/>
    <col min="1542" max="1542" width="11.42578125" style="18" bestFit="1" customWidth="1"/>
    <col min="1543" max="1543" width="7.5703125" style="18" bestFit="1" customWidth="1"/>
    <col min="1544" max="1544" width="11.5703125" style="18" bestFit="1"/>
    <col min="1545" max="1545" width="8" style="18" bestFit="1" customWidth="1"/>
    <col min="1546" max="1546" width="11.5703125" style="18" bestFit="1"/>
    <col min="1547" max="1547" width="8.42578125" style="18" bestFit="1" customWidth="1"/>
    <col min="1548" max="1548" width="11.5703125" style="18" bestFit="1"/>
    <col min="1549" max="1549" width="8.42578125" style="18" customWidth="1"/>
    <col min="1550" max="1550" width="7.42578125" style="18" bestFit="1" customWidth="1"/>
    <col min="1551" max="1551" width="11.5703125" style="18" bestFit="1"/>
    <col min="1552" max="1552" width="8.42578125" style="18" customWidth="1"/>
    <col min="1553" max="1553" width="13" style="18" bestFit="1" customWidth="1"/>
    <col min="1554" max="1792" width="11.5703125" style="18"/>
    <col min="1793" max="1793" width="4.5703125" style="18" customWidth="1"/>
    <col min="1794" max="1794" width="50" style="18" customWidth="1"/>
    <col min="1795" max="1795" width="6.42578125" style="18" bestFit="1" customWidth="1"/>
    <col min="1796" max="1797" width="8.5703125" style="18" customWidth="1"/>
    <col min="1798" max="1798" width="11.42578125" style="18" bestFit="1" customWidth="1"/>
    <col min="1799" max="1799" width="7.5703125" style="18" bestFit="1" customWidth="1"/>
    <col min="1800" max="1800" width="11.5703125" style="18" bestFit="1"/>
    <col min="1801" max="1801" width="8" style="18" bestFit="1" customWidth="1"/>
    <col min="1802" max="1802" width="11.5703125" style="18" bestFit="1"/>
    <col min="1803" max="1803" width="8.42578125" style="18" bestFit="1" customWidth="1"/>
    <col min="1804" max="1804" width="11.5703125" style="18" bestFit="1"/>
    <col min="1805" max="1805" width="8.42578125" style="18" customWidth="1"/>
    <col min="1806" max="1806" width="7.42578125" style="18" bestFit="1" customWidth="1"/>
    <col min="1807" max="1807" width="11.5703125" style="18" bestFit="1"/>
    <col min="1808" max="1808" width="8.42578125" style="18" customWidth="1"/>
    <col min="1809" max="1809" width="13" style="18" bestFit="1" customWidth="1"/>
    <col min="1810" max="2048" width="11.5703125" style="18"/>
    <col min="2049" max="2049" width="4.5703125" style="18" customWidth="1"/>
    <col min="2050" max="2050" width="50" style="18" customWidth="1"/>
    <col min="2051" max="2051" width="6.42578125" style="18" bestFit="1" customWidth="1"/>
    <col min="2052" max="2053" width="8.5703125" style="18" customWidth="1"/>
    <col min="2054" max="2054" width="11.42578125" style="18" bestFit="1" customWidth="1"/>
    <col min="2055" max="2055" width="7.5703125" style="18" bestFit="1" customWidth="1"/>
    <col min="2056" max="2056" width="11.5703125" style="18" bestFit="1"/>
    <col min="2057" max="2057" width="8" style="18" bestFit="1" customWidth="1"/>
    <col min="2058" max="2058" width="11.5703125" style="18" bestFit="1"/>
    <col min="2059" max="2059" width="8.42578125" style="18" bestFit="1" customWidth="1"/>
    <col min="2060" max="2060" width="11.5703125" style="18" bestFit="1"/>
    <col min="2061" max="2061" width="8.42578125" style="18" customWidth="1"/>
    <col min="2062" max="2062" width="7.42578125" style="18" bestFit="1" customWidth="1"/>
    <col min="2063" max="2063" width="11.5703125" style="18" bestFit="1"/>
    <col min="2064" max="2064" width="8.42578125" style="18" customWidth="1"/>
    <col min="2065" max="2065" width="13" style="18" bestFit="1" customWidth="1"/>
    <col min="2066" max="2304" width="11.5703125" style="18"/>
    <col min="2305" max="2305" width="4.5703125" style="18" customWidth="1"/>
    <col min="2306" max="2306" width="50" style="18" customWidth="1"/>
    <col min="2307" max="2307" width="6.42578125" style="18" bestFit="1" customWidth="1"/>
    <col min="2308" max="2309" width="8.5703125" style="18" customWidth="1"/>
    <col min="2310" max="2310" width="11.42578125" style="18" bestFit="1" customWidth="1"/>
    <col min="2311" max="2311" width="7.5703125" style="18" bestFit="1" customWidth="1"/>
    <col min="2312" max="2312" width="11.5703125" style="18" bestFit="1"/>
    <col min="2313" max="2313" width="8" style="18" bestFit="1" customWidth="1"/>
    <col min="2314" max="2314" width="11.5703125" style="18" bestFit="1"/>
    <col min="2315" max="2315" width="8.42578125" style="18" bestFit="1" customWidth="1"/>
    <col min="2316" max="2316" width="11.5703125" style="18" bestFit="1"/>
    <col min="2317" max="2317" width="8.42578125" style="18" customWidth="1"/>
    <col min="2318" max="2318" width="7.42578125" style="18" bestFit="1" customWidth="1"/>
    <col min="2319" max="2319" width="11.5703125" style="18" bestFit="1"/>
    <col min="2320" max="2320" width="8.42578125" style="18" customWidth="1"/>
    <col min="2321" max="2321" width="13" style="18" bestFit="1" customWidth="1"/>
    <col min="2322" max="2560" width="11.5703125" style="18"/>
    <col min="2561" max="2561" width="4.5703125" style="18" customWidth="1"/>
    <col min="2562" max="2562" width="50" style="18" customWidth="1"/>
    <col min="2563" max="2563" width="6.42578125" style="18" bestFit="1" customWidth="1"/>
    <col min="2564" max="2565" width="8.5703125" style="18" customWidth="1"/>
    <col min="2566" max="2566" width="11.42578125" style="18" bestFit="1" customWidth="1"/>
    <col min="2567" max="2567" width="7.5703125" style="18" bestFit="1" customWidth="1"/>
    <col min="2568" max="2568" width="11.5703125" style="18" bestFit="1"/>
    <col min="2569" max="2569" width="8" style="18" bestFit="1" customWidth="1"/>
    <col min="2570" max="2570" width="11.5703125" style="18" bestFit="1"/>
    <col min="2571" max="2571" width="8.42578125" style="18" bestFit="1" customWidth="1"/>
    <col min="2572" max="2572" width="11.5703125" style="18" bestFit="1"/>
    <col min="2573" max="2573" width="8.42578125" style="18" customWidth="1"/>
    <col min="2574" max="2574" width="7.42578125" style="18" bestFit="1" customWidth="1"/>
    <col min="2575" max="2575" width="11.5703125" style="18" bestFit="1"/>
    <col min="2576" max="2576" width="8.42578125" style="18" customWidth="1"/>
    <col min="2577" max="2577" width="13" style="18" bestFit="1" customWidth="1"/>
    <col min="2578" max="2816" width="11.5703125" style="18"/>
    <col min="2817" max="2817" width="4.5703125" style="18" customWidth="1"/>
    <col min="2818" max="2818" width="50" style="18" customWidth="1"/>
    <col min="2819" max="2819" width="6.42578125" style="18" bestFit="1" customWidth="1"/>
    <col min="2820" max="2821" width="8.5703125" style="18" customWidth="1"/>
    <col min="2822" max="2822" width="11.42578125" style="18" bestFit="1" customWidth="1"/>
    <col min="2823" max="2823" width="7.5703125" style="18" bestFit="1" customWidth="1"/>
    <col min="2824" max="2824" width="11.5703125" style="18" bestFit="1"/>
    <col min="2825" max="2825" width="8" style="18" bestFit="1" customWidth="1"/>
    <col min="2826" max="2826" width="11.5703125" style="18" bestFit="1"/>
    <col min="2827" max="2827" width="8.42578125" style="18" bestFit="1" customWidth="1"/>
    <col min="2828" max="2828" width="11.5703125" style="18" bestFit="1"/>
    <col min="2829" max="2829" width="8.42578125" style="18" customWidth="1"/>
    <col min="2830" max="2830" width="7.42578125" style="18" bestFit="1" customWidth="1"/>
    <col min="2831" max="2831" width="11.5703125" style="18" bestFit="1"/>
    <col min="2832" max="2832" width="8.42578125" style="18" customWidth="1"/>
    <col min="2833" max="2833" width="13" style="18" bestFit="1" customWidth="1"/>
    <col min="2834" max="3072" width="11.5703125" style="18"/>
    <col min="3073" max="3073" width="4.5703125" style="18" customWidth="1"/>
    <col min="3074" max="3074" width="50" style="18" customWidth="1"/>
    <col min="3075" max="3075" width="6.42578125" style="18" bestFit="1" customWidth="1"/>
    <col min="3076" max="3077" width="8.5703125" style="18" customWidth="1"/>
    <col min="3078" max="3078" width="11.42578125" style="18" bestFit="1" customWidth="1"/>
    <col min="3079" max="3079" width="7.5703125" style="18" bestFit="1" customWidth="1"/>
    <col min="3080" max="3080" width="11.5703125" style="18" bestFit="1"/>
    <col min="3081" max="3081" width="8" style="18" bestFit="1" customWidth="1"/>
    <col min="3082" max="3082" width="11.5703125" style="18" bestFit="1"/>
    <col min="3083" max="3083" width="8.42578125" style="18" bestFit="1" customWidth="1"/>
    <col min="3084" max="3084" width="11.5703125" style="18" bestFit="1"/>
    <col min="3085" max="3085" width="8.42578125" style="18" customWidth="1"/>
    <col min="3086" max="3086" width="7.42578125" style="18" bestFit="1" customWidth="1"/>
    <col min="3087" max="3087" width="11.5703125" style="18" bestFit="1"/>
    <col min="3088" max="3088" width="8.42578125" style="18" customWidth="1"/>
    <col min="3089" max="3089" width="13" style="18" bestFit="1" customWidth="1"/>
    <col min="3090" max="3328" width="11.5703125" style="18"/>
    <col min="3329" max="3329" width="4.5703125" style="18" customWidth="1"/>
    <col min="3330" max="3330" width="50" style="18" customWidth="1"/>
    <col min="3331" max="3331" width="6.42578125" style="18" bestFit="1" customWidth="1"/>
    <col min="3332" max="3333" width="8.5703125" style="18" customWidth="1"/>
    <col min="3334" max="3334" width="11.42578125" style="18" bestFit="1" customWidth="1"/>
    <col min="3335" max="3335" width="7.5703125" style="18" bestFit="1" customWidth="1"/>
    <col min="3336" max="3336" width="11.5703125" style="18" bestFit="1"/>
    <col min="3337" max="3337" width="8" style="18" bestFit="1" customWidth="1"/>
    <col min="3338" max="3338" width="11.5703125" style="18" bestFit="1"/>
    <col min="3339" max="3339" width="8.42578125" style="18" bestFit="1" customWidth="1"/>
    <col min="3340" max="3340" width="11.5703125" style="18" bestFit="1"/>
    <col min="3341" max="3341" width="8.42578125" style="18" customWidth="1"/>
    <col min="3342" max="3342" width="7.42578125" style="18" bestFit="1" customWidth="1"/>
    <col min="3343" max="3343" width="11.5703125" style="18" bestFit="1"/>
    <col min="3344" max="3344" width="8.42578125" style="18" customWidth="1"/>
    <col min="3345" max="3345" width="13" style="18" bestFit="1" customWidth="1"/>
    <col min="3346" max="3584" width="11.5703125" style="18"/>
    <col min="3585" max="3585" width="4.5703125" style="18" customWidth="1"/>
    <col min="3586" max="3586" width="50" style="18" customWidth="1"/>
    <col min="3587" max="3587" width="6.42578125" style="18" bestFit="1" customWidth="1"/>
    <col min="3588" max="3589" width="8.5703125" style="18" customWidth="1"/>
    <col min="3590" max="3590" width="11.42578125" style="18" bestFit="1" customWidth="1"/>
    <col min="3591" max="3591" width="7.5703125" style="18" bestFit="1" customWidth="1"/>
    <col min="3592" max="3592" width="11.5703125" style="18" bestFit="1"/>
    <col min="3593" max="3593" width="8" style="18" bestFit="1" customWidth="1"/>
    <col min="3594" max="3594" width="11.5703125" style="18" bestFit="1"/>
    <col min="3595" max="3595" width="8.42578125" style="18" bestFit="1" customWidth="1"/>
    <col min="3596" max="3596" width="11.5703125" style="18" bestFit="1"/>
    <col min="3597" max="3597" width="8.42578125" style="18" customWidth="1"/>
    <col min="3598" max="3598" width="7.42578125" style="18" bestFit="1" customWidth="1"/>
    <col min="3599" max="3599" width="11.5703125" style="18" bestFit="1"/>
    <col min="3600" max="3600" width="8.42578125" style="18" customWidth="1"/>
    <col min="3601" max="3601" width="13" style="18" bestFit="1" customWidth="1"/>
    <col min="3602" max="3840" width="11.5703125" style="18"/>
    <col min="3841" max="3841" width="4.5703125" style="18" customWidth="1"/>
    <col min="3842" max="3842" width="50" style="18" customWidth="1"/>
    <col min="3843" max="3843" width="6.42578125" style="18" bestFit="1" customWidth="1"/>
    <col min="3844" max="3845" width="8.5703125" style="18" customWidth="1"/>
    <col min="3846" max="3846" width="11.42578125" style="18" bestFit="1" customWidth="1"/>
    <col min="3847" max="3847" width="7.5703125" style="18" bestFit="1" customWidth="1"/>
    <col min="3848" max="3848" width="11.5703125" style="18" bestFit="1"/>
    <col min="3849" max="3849" width="8" style="18" bestFit="1" customWidth="1"/>
    <col min="3850" max="3850" width="11.5703125" style="18" bestFit="1"/>
    <col min="3851" max="3851" width="8.42578125" style="18" bestFit="1" customWidth="1"/>
    <col min="3852" max="3852" width="11.5703125" style="18" bestFit="1"/>
    <col min="3853" max="3853" width="8.42578125" style="18" customWidth="1"/>
    <col min="3854" max="3854" width="7.42578125" style="18" bestFit="1" customWidth="1"/>
    <col min="3855" max="3855" width="11.5703125" style="18" bestFit="1"/>
    <col min="3856" max="3856" width="8.42578125" style="18" customWidth="1"/>
    <col min="3857" max="3857" width="13" style="18" bestFit="1" customWidth="1"/>
    <col min="3858" max="4096" width="11.5703125" style="18"/>
    <col min="4097" max="4097" width="4.5703125" style="18" customWidth="1"/>
    <col min="4098" max="4098" width="50" style="18" customWidth="1"/>
    <col min="4099" max="4099" width="6.42578125" style="18" bestFit="1" customWidth="1"/>
    <col min="4100" max="4101" width="8.5703125" style="18" customWidth="1"/>
    <col min="4102" max="4102" width="11.42578125" style="18" bestFit="1" customWidth="1"/>
    <col min="4103" max="4103" width="7.5703125" style="18" bestFit="1" customWidth="1"/>
    <col min="4104" max="4104" width="11.5703125" style="18" bestFit="1"/>
    <col min="4105" max="4105" width="8" style="18" bestFit="1" customWidth="1"/>
    <col min="4106" max="4106" width="11.5703125" style="18" bestFit="1"/>
    <col min="4107" max="4107" width="8.42578125" style="18" bestFit="1" customWidth="1"/>
    <col min="4108" max="4108" width="11.5703125" style="18" bestFit="1"/>
    <col min="4109" max="4109" width="8.42578125" style="18" customWidth="1"/>
    <col min="4110" max="4110" width="7.42578125" style="18" bestFit="1" customWidth="1"/>
    <col min="4111" max="4111" width="11.5703125" style="18" bestFit="1"/>
    <col min="4112" max="4112" width="8.42578125" style="18" customWidth="1"/>
    <col min="4113" max="4113" width="13" style="18" bestFit="1" customWidth="1"/>
    <col min="4114" max="4352" width="11.5703125" style="18"/>
    <col min="4353" max="4353" width="4.5703125" style="18" customWidth="1"/>
    <col min="4354" max="4354" width="50" style="18" customWidth="1"/>
    <col min="4355" max="4355" width="6.42578125" style="18" bestFit="1" customWidth="1"/>
    <col min="4356" max="4357" width="8.5703125" style="18" customWidth="1"/>
    <col min="4358" max="4358" width="11.42578125" style="18" bestFit="1" customWidth="1"/>
    <col min="4359" max="4359" width="7.5703125" style="18" bestFit="1" customWidth="1"/>
    <col min="4360" max="4360" width="11.5703125" style="18" bestFit="1"/>
    <col min="4361" max="4361" width="8" style="18" bestFit="1" customWidth="1"/>
    <col min="4362" max="4362" width="11.5703125" style="18" bestFit="1"/>
    <col min="4363" max="4363" width="8.42578125" style="18" bestFit="1" customWidth="1"/>
    <col min="4364" max="4364" width="11.5703125" style="18" bestFit="1"/>
    <col min="4365" max="4365" width="8.42578125" style="18" customWidth="1"/>
    <col min="4366" max="4366" width="7.42578125" style="18" bestFit="1" customWidth="1"/>
    <col min="4367" max="4367" width="11.5703125" style="18" bestFit="1"/>
    <col min="4368" max="4368" width="8.42578125" style="18" customWidth="1"/>
    <col min="4369" max="4369" width="13" style="18" bestFit="1" customWidth="1"/>
    <col min="4370" max="4608" width="11.5703125" style="18"/>
    <col min="4609" max="4609" width="4.5703125" style="18" customWidth="1"/>
    <col min="4610" max="4610" width="50" style="18" customWidth="1"/>
    <col min="4611" max="4611" width="6.42578125" style="18" bestFit="1" customWidth="1"/>
    <col min="4612" max="4613" width="8.5703125" style="18" customWidth="1"/>
    <col min="4614" max="4614" width="11.42578125" style="18" bestFit="1" customWidth="1"/>
    <col min="4615" max="4615" width="7.5703125" style="18" bestFit="1" customWidth="1"/>
    <col min="4616" max="4616" width="11.5703125" style="18" bestFit="1"/>
    <col min="4617" max="4617" width="8" style="18" bestFit="1" customWidth="1"/>
    <col min="4618" max="4618" width="11.5703125" style="18" bestFit="1"/>
    <col min="4619" max="4619" width="8.42578125" style="18" bestFit="1" customWidth="1"/>
    <col min="4620" max="4620" width="11.5703125" style="18" bestFit="1"/>
    <col min="4621" max="4621" width="8.42578125" style="18" customWidth="1"/>
    <col min="4622" max="4622" width="7.42578125" style="18" bestFit="1" customWidth="1"/>
    <col min="4623" max="4623" width="11.5703125" style="18" bestFit="1"/>
    <col min="4624" max="4624" width="8.42578125" style="18" customWidth="1"/>
    <col min="4625" max="4625" width="13" style="18" bestFit="1" customWidth="1"/>
    <col min="4626" max="4864" width="11.5703125" style="18"/>
    <col min="4865" max="4865" width="4.5703125" style="18" customWidth="1"/>
    <col min="4866" max="4866" width="50" style="18" customWidth="1"/>
    <col min="4867" max="4867" width="6.42578125" style="18" bestFit="1" customWidth="1"/>
    <col min="4868" max="4869" width="8.5703125" style="18" customWidth="1"/>
    <col min="4870" max="4870" width="11.42578125" style="18" bestFit="1" customWidth="1"/>
    <col min="4871" max="4871" width="7.5703125" style="18" bestFit="1" customWidth="1"/>
    <col min="4872" max="4872" width="11.5703125" style="18" bestFit="1"/>
    <col min="4873" max="4873" width="8" style="18" bestFit="1" customWidth="1"/>
    <col min="4874" max="4874" width="11.5703125" style="18" bestFit="1"/>
    <col min="4875" max="4875" width="8.42578125" style="18" bestFit="1" customWidth="1"/>
    <col min="4876" max="4876" width="11.5703125" style="18" bestFit="1"/>
    <col min="4877" max="4877" width="8.42578125" style="18" customWidth="1"/>
    <col min="4878" max="4878" width="7.42578125" style="18" bestFit="1" customWidth="1"/>
    <col min="4879" max="4879" width="11.5703125" style="18" bestFit="1"/>
    <col min="4880" max="4880" width="8.42578125" style="18" customWidth="1"/>
    <col min="4881" max="4881" width="13" style="18" bestFit="1" customWidth="1"/>
    <col min="4882" max="5120" width="11.5703125" style="18"/>
    <col min="5121" max="5121" width="4.5703125" style="18" customWidth="1"/>
    <col min="5122" max="5122" width="50" style="18" customWidth="1"/>
    <col min="5123" max="5123" width="6.42578125" style="18" bestFit="1" customWidth="1"/>
    <col min="5124" max="5125" width="8.5703125" style="18" customWidth="1"/>
    <col min="5126" max="5126" width="11.42578125" style="18" bestFit="1" customWidth="1"/>
    <col min="5127" max="5127" width="7.5703125" style="18" bestFit="1" customWidth="1"/>
    <col min="5128" max="5128" width="11.5703125" style="18" bestFit="1"/>
    <col min="5129" max="5129" width="8" style="18" bestFit="1" customWidth="1"/>
    <col min="5130" max="5130" width="11.5703125" style="18" bestFit="1"/>
    <col min="5131" max="5131" width="8.42578125" style="18" bestFit="1" customWidth="1"/>
    <col min="5132" max="5132" width="11.5703125" style="18" bestFit="1"/>
    <col min="5133" max="5133" width="8.42578125" style="18" customWidth="1"/>
    <col min="5134" max="5134" width="7.42578125" style="18" bestFit="1" customWidth="1"/>
    <col min="5135" max="5135" width="11.5703125" style="18" bestFit="1"/>
    <col min="5136" max="5136" width="8.42578125" style="18" customWidth="1"/>
    <col min="5137" max="5137" width="13" style="18" bestFit="1" customWidth="1"/>
    <col min="5138" max="5376" width="11.5703125" style="18"/>
    <col min="5377" max="5377" width="4.5703125" style="18" customWidth="1"/>
    <col min="5378" max="5378" width="50" style="18" customWidth="1"/>
    <col min="5379" max="5379" width="6.42578125" style="18" bestFit="1" customWidth="1"/>
    <col min="5380" max="5381" width="8.5703125" style="18" customWidth="1"/>
    <col min="5382" max="5382" width="11.42578125" style="18" bestFit="1" customWidth="1"/>
    <col min="5383" max="5383" width="7.5703125" style="18" bestFit="1" customWidth="1"/>
    <col min="5384" max="5384" width="11.5703125" style="18" bestFit="1"/>
    <col min="5385" max="5385" width="8" style="18" bestFit="1" customWidth="1"/>
    <col min="5386" max="5386" width="11.5703125" style="18" bestFit="1"/>
    <col min="5387" max="5387" width="8.42578125" style="18" bestFit="1" customWidth="1"/>
    <col min="5388" max="5388" width="11.5703125" style="18" bestFit="1"/>
    <col min="5389" max="5389" width="8.42578125" style="18" customWidth="1"/>
    <col min="5390" max="5390" width="7.42578125" style="18" bestFit="1" customWidth="1"/>
    <col min="5391" max="5391" width="11.5703125" style="18" bestFit="1"/>
    <col min="5392" max="5392" width="8.42578125" style="18" customWidth="1"/>
    <col min="5393" max="5393" width="13" style="18" bestFit="1" customWidth="1"/>
    <col min="5394" max="5632" width="11.5703125" style="18"/>
    <col min="5633" max="5633" width="4.5703125" style="18" customWidth="1"/>
    <col min="5634" max="5634" width="50" style="18" customWidth="1"/>
    <col min="5635" max="5635" width="6.42578125" style="18" bestFit="1" customWidth="1"/>
    <col min="5636" max="5637" width="8.5703125" style="18" customWidth="1"/>
    <col min="5638" max="5638" width="11.42578125" style="18" bestFit="1" customWidth="1"/>
    <col min="5639" max="5639" width="7.5703125" style="18" bestFit="1" customWidth="1"/>
    <col min="5640" max="5640" width="11.5703125" style="18" bestFit="1"/>
    <col min="5641" max="5641" width="8" style="18" bestFit="1" customWidth="1"/>
    <col min="5642" max="5642" width="11.5703125" style="18" bestFit="1"/>
    <col min="5643" max="5643" width="8.42578125" style="18" bestFit="1" customWidth="1"/>
    <col min="5644" max="5644" width="11.5703125" style="18" bestFit="1"/>
    <col min="5645" max="5645" width="8.42578125" style="18" customWidth="1"/>
    <col min="5646" max="5646" width="7.42578125" style="18" bestFit="1" customWidth="1"/>
    <col min="5647" max="5647" width="11.5703125" style="18" bestFit="1"/>
    <col min="5648" max="5648" width="8.42578125" style="18" customWidth="1"/>
    <col min="5649" max="5649" width="13" style="18" bestFit="1" customWidth="1"/>
    <col min="5650" max="5888" width="11.5703125" style="18"/>
    <col min="5889" max="5889" width="4.5703125" style="18" customWidth="1"/>
    <col min="5890" max="5890" width="50" style="18" customWidth="1"/>
    <col min="5891" max="5891" width="6.42578125" style="18" bestFit="1" customWidth="1"/>
    <col min="5892" max="5893" width="8.5703125" style="18" customWidth="1"/>
    <col min="5894" max="5894" width="11.42578125" style="18" bestFit="1" customWidth="1"/>
    <col min="5895" max="5895" width="7.5703125" style="18" bestFit="1" customWidth="1"/>
    <col min="5896" max="5896" width="11.5703125" style="18" bestFit="1"/>
    <col min="5897" max="5897" width="8" style="18" bestFit="1" customWidth="1"/>
    <col min="5898" max="5898" width="11.5703125" style="18" bestFit="1"/>
    <col min="5899" max="5899" width="8.42578125" style="18" bestFit="1" customWidth="1"/>
    <col min="5900" max="5900" width="11.5703125" style="18" bestFit="1"/>
    <col min="5901" max="5901" width="8.42578125" style="18" customWidth="1"/>
    <col min="5902" max="5902" width="7.42578125" style="18" bestFit="1" customWidth="1"/>
    <col min="5903" max="5903" width="11.5703125" style="18" bestFit="1"/>
    <col min="5904" max="5904" width="8.42578125" style="18" customWidth="1"/>
    <col min="5905" max="5905" width="13" style="18" bestFit="1" customWidth="1"/>
    <col min="5906" max="6144" width="11.5703125" style="18"/>
    <col min="6145" max="6145" width="4.5703125" style="18" customWidth="1"/>
    <col min="6146" max="6146" width="50" style="18" customWidth="1"/>
    <col min="6147" max="6147" width="6.42578125" style="18" bestFit="1" customWidth="1"/>
    <col min="6148" max="6149" width="8.5703125" style="18" customWidth="1"/>
    <col min="6150" max="6150" width="11.42578125" style="18" bestFit="1" customWidth="1"/>
    <col min="6151" max="6151" width="7.5703125" style="18" bestFit="1" customWidth="1"/>
    <col min="6152" max="6152" width="11.5703125" style="18" bestFit="1"/>
    <col min="6153" max="6153" width="8" style="18" bestFit="1" customWidth="1"/>
    <col min="6154" max="6154" width="11.5703125" style="18" bestFit="1"/>
    <col min="6155" max="6155" width="8.42578125" style="18" bestFit="1" customWidth="1"/>
    <col min="6156" max="6156" width="11.5703125" style="18" bestFit="1"/>
    <col min="6157" max="6157" width="8.42578125" style="18" customWidth="1"/>
    <col min="6158" max="6158" width="7.42578125" style="18" bestFit="1" customWidth="1"/>
    <col min="6159" max="6159" width="11.5703125" style="18" bestFit="1"/>
    <col min="6160" max="6160" width="8.42578125" style="18" customWidth="1"/>
    <col min="6161" max="6161" width="13" style="18" bestFit="1" customWidth="1"/>
    <col min="6162" max="6400" width="11.5703125" style="18"/>
    <col min="6401" max="6401" width="4.5703125" style="18" customWidth="1"/>
    <col min="6402" max="6402" width="50" style="18" customWidth="1"/>
    <col min="6403" max="6403" width="6.42578125" style="18" bestFit="1" customWidth="1"/>
    <col min="6404" max="6405" width="8.5703125" style="18" customWidth="1"/>
    <col min="6406" max="6406" width="11.42578125" style="18" bestFit="1" customWidth="1"/>
    <col min="6407" max="6407" width="7.5703125" style="18" bestFit="1" customWidth="1"/>
    <col min="6408" max="6408" width="11.5703125" style="18" bestFit="1"/>
    <col min="6409" max="6409" width="8" style="18" bestFit="1" customWidth="1"/>
    <col min="6410" max="6410" width="11.5703125" style="18" bestFit="1"/>
    <col min="6411" max="6411" width="8.42578125" style="18" bestFit="1" customWidth="1"/>
    <col min="6412" max="6412" width="11.5703125" style="18" bestFit="1"/>
    <col min="6413" max="6413" width="8.42578125" style="18" customWidth="1"/>
    <col min="6414" max="6414" width="7.42578125" style="18" bestFit="1" customWidth="1"/>
    <col min="6415" max="6415" width="11.5703125" style="18" bestFit="1"/>
    <col min="6416" max="6416" width="8.42578125" style="18" customWidth="1"/>
    <col min="6417" max="6417" width="13" style="18" bestFit="1" customWidth="1"/>
    <col min="6418" max="6656" width="11.5703125" style="18"/>
    <col min="6657" max="6657" width="4.5703125" style="18" customWidth="1"/>
    <col min="6658" max="6658" width="50" style="18" customWidth="1"/>
    <col min="6659" max="6659" width="6.42578125" style="18" bestFit="1" customWidth="1"/>
    <col min="6660" max="6661" width="8.5703125" style="18" customWidth="1"/>
    <col min="6662" max="6662" width="11.42578125" style="18" bestFit="1" customWidth="1"/>
    <col min="6663" max="6663" width="7.5703125" style="18" bestFit="1" customWidth="1"/>
    <col min="6664" max="6664" width="11.5703125" style="18" bestFit="1"/>
    <col min="6665" max="6665" width="8" style="18" bestFit="1" customWidth="1"/>
    <col min="6666" max="6666" width="11.5703125" style="18" bestFit="1"/>
    <col min="6667" max="6667" width="8.42578125" style="18" bestFit="1" customWidth="1"/>
    <col min="6668" max="6668" width="11.5703125" style="18" bestFit="1"/>
    <col min="6669" max="6669" width="8.42578125" style="18" customWidth="1"/>
    <col min="6670" max="6670" width="7.42578125" style="18" bestFit="1" customWidth="1"/>
    <col min="6671" max="6671" width="11.5703125" style="18" bestFit="1"/>
    <col min="6672" max="6672" width="8.42578125" style="18" customWidth="1"/>
    <col min="6673" max="6673" width="13" style="18" bestFit="1" customWidth="1"/>
    <col min="6674" max="6912" width="11.5703125" style="18"/>
    <col min="6913" max="6913" width="4.5703125" style="18" customWidth="1"/>
    <col min="6914" max="6914" width="50" style="18" customWidth="1"/>
    <col min="6915" max="6915" width="6.42578125" style="18" bestFit="1" customWidth="1"/>
    <col min="6916" max="6917" width="8.5703125" style="18" customWidth="1"/>
    <col min="6918" max="6918" width="11.42578125" style="18" bestFit="1" customWidth="1"/>
    <col min="6919" max="6919" width="7.5703125" style="18" bestFit="1" customWidth="1"/>
    <col min="6920" max="6920" width="11.5703125" style="18" bestFit="1"/>
    <col min="6921" max="6921" width="8" style="18" bestFit="1" customWidth="1"/>
    <col min="6922" max="6922" width="11.5703125" style="18" bestFit="1"/>
    <col min="6923" max="6923" width="8.42578125" style="18" bestFit="1" customWidth="1"/>
    <col min="6924" max="6924" width="11.5703125" style="18" bestFit="1"/>
    <col min="6925" max="6925" width="8.42578125" style="18" customWidth="1"/>
    <col min="6926" max="6926" width="7.42578125" style="18" bestFit="1" customWidth="1"/>
    <col min="6927" max="6927" width="11.5703125" style="18" bestFit="1"/>
    <col min="6928" max="6928" width="8.42578125" style="18" customWidth="1"/>
    <col min="6929" max="6929" width="13" style="18" bestFit="1" customWidth="1"/>
    <col min="6930" max="7168" width="11.5703125" style="18"/>
    <col min="7169" max="7169" width="4.5703125" style="18" customWidth="1"/>
    <col min="7170" max="7170" width="50" style="18" customWidth="1"/>
    <col min="7171" max="7171" width="6.42578125" style="18" bestFit="1" customWidth="1"/>
    <col min="7172" max="7173" width="8.5703125" style="18" customWidth="1"/>
    <col min="7174" max="7174" width="11.42578125" style="18" bestFit="1" customWidth="1"/>
    <col min="7175" max="7175" width="7.5703125" style="18" bestFit="1" customWidth="1"/>
    <col min="7176" max="7176" width="11.5703125" style="18" bestFit="1"/>
    <col min="7177" max="7177" width="8" style="18" bestFit="1" customWidth="1"/>
    <col min="7178" max="7178" width="11.5703125" style="18" bestFit="1"/>
    <col min="7179" max="7179" width="8.42578125" style="18" bestFit="1" customWidth="1"/>
    <col min="7180" max="7180" width="11.5703125" style="18" bestFit="1"/>
    <col min="7181" max="7181" width="8.42578125" style="18" customWidth="1"/>
    <col min="7182" max="7182" width="7.42578125" style="18" bestFit="1" customWidth="1"/>
    <col min="7183" max="7183" width="11.5703125" style="18" bestFit="1"/>
    <col min="7184" max="7184" width="8.42578125" style="18" customWidth="1"/>
    <col min="7185" max="7185" width="13" style="18" bestFit="1" customWidth="1"/>
    <col min="7186" max="7424" width="11.5703125" style="18"/>
    <col min="7425" max="7425" width="4.5703125" style="18" customWidth="1"/>
    <col min="7426" max="7426" width="50" style="18" customWidth="1"/>
    <col min="7427" max="7427" width="6.42578125" style="18" bestFit="1" customWidth="1"/>
    <col min="7428" max="7429" width="8.5703125" style="18" customWidth="1"/>
    <col min="7430" max="7430" width="11.42578125" style="18" bestFit="1" customWidth="1"/>
    <col min="7431" max="7431" width="7.5703125" style="18" bestFit="1" customWidth="1"/>
    <col min="7432" max="7432" width="11.5703125" style="18" bestFit="1"/>
    <col min="7433" max="7433" width="8" style="18" bestFit="1" customWidth="1"/>
    <col min="7434" max="7434" width="11.5703125" style="18" bestFit="1"/>
    <col min="7435" max="7435" width="8.42578125" style="18" bestFit="1" customWidth="1"/>
    <col min="7436" max="7436" width="11.5703125" style="18" bestFit="1"/>
    <col min="7437" max="7437" width="8.42578125" style="18" customWidth="1"/>
    <col min="7438" max="7438" width="7.42578125" style="18" bestFit="1" customWidth="1"/>
    <col min="7439" max="7439" width="11.5703125" style="18" bestFit="1"/>
    <col min="7440" max="7440" width="8.42578125" style="18" customWidth="1"/>
    <col min="7441" max="7441" width="13" style="18" bestFit="1" customWidth="1"/>
    <col min="7442" max="7680" width="11.5703125" style="18"/>
    <col min="7681" max="7681" width="4.5703125" style="18" customWidth="1"/>
    <col min="7682" max="7682" width="50" style="18" customWidth="1"/>
    <col min="7683" max="7683" width="6.42578125" style="18" bestFit="1" customWidth="1"/>
    <col min="7684" max="7685" width="8.5703125" style="18" customWidth="1"/>
    <col min="7686" max="7686" width="11.42578125" style="18" bestFit="1" customWidth="1"/>
    <col min="7687" max="7687" width="7.5703125" style="18" bestFit="1" customWidth="1"/>
    <col min="7688" max="7688" width="11.5703125" style="18" bestFit="1"/>
    <col min="7689" max="7689" width="8" style="18" bestFit="1" customWidth="1"/>
    <col min="7690" max="7690" width="11.5703125" style="18" bestFit="1"/>
    <col min="7691" max="7691" width="8.42578125" style="18" bestFit="1" customWidth="1"/>
    <col min="7692" max="7692" width="11.5703125" style="18" bestFit="1"/>
    <col min="7693" max="7693" width="8.42578125" style="18" customWidth="1"/>
    <col min="7694" max="7694" width="7.42578125" style="18" bestFit="1" customWidth="1"/>
    <col min="7695" max="7695" width="11.5703125" style="18" bestFit="1"/>
    <col min="7696" max="7696" width="8.42578125" style="18" customWidth="1"/>
    <col min="7697" max="7697" width="13" style="18" bestFit="1" customWidth="1"/>
    <col min="7698" max="7936" width="11.5703125" style="18"/>
    <col min="7937" max="7937" width="4.5703125" style="18" customWidth="1"/>
    <col min="7938" max="7938" width="50" style="18" customWidth="1"/>
    <col min="7939" max="7939" width="6.42578125" style="18" bestFit="1" customWidth="1"/>
    <col min="7940" max="7941" width="8.5703125" style="18" customWidth="1"/>
    <col min="7942" max="7942" width="11.42578125" style="18" bestFit="1" customWidth="1"/>
    <col min="7943" max="7943" width="7.5703125" style="18" bestFit="1" customWidth="1"/>
    <col min="7944" max="7944" width="11.5703125" style="18" bestFit="1"/>
    <col min="7945" max="7945" width="8" style="18" bestFit="1" customWidth="1"/>
    <col min="7946" max="7946" width="11.5703125" style="18" bestFit="1"/>
    <col min="7947" max="7947" width="8.42578125" style="18" bestFit="1" customWidth="1"/>
    <col min="7948" max="7948" width="11.5703125" style="18" bestFit="1"/>
    <col min="7949" max="7949" width="8.42578125" style="18" customWidth="1"/>
    <col min="7950" max="7950" width="7.42578125" style="18" bestFit="1" customWidth="1"/>
    <col min="7951" max="7951" width="11.5703125" style="18" bestFit="1"/>
    <col min="7952" max="7952" width="8.42578125" style="18" customWidth="1"/>
    <col min="7953" max="7953" width="13" style="18" bestFit="1" customWidth="1"/>
    <col min="7954" max="8192" width="11.5703125" style="18"/>
    <col min="8193" max="8193" width="4.5703125" style="18" customWidth="1"/>
    <col min="8194" max="8194" width="50" style="18" customWidth="1"/>
    <col min="8195" max="8195" width="6.42578125" style="18" bestFit="1" customWidth="1"/>
    <col min="8196" max="8197" width="8.5703125" style="18" customWidth="1"/>
    <col min="8198" max="8198" width="11.42578125" style="18" bestFit="1" customWidth="1"/>
    <col min="8199" max="8199" width="7.5703125" style="18" bestFit="1" customWidth="1"/>
    <col min="8200" max="8200" width="11.5703125" style="18" bestFit="1"/>
    <col min="8201" max="8201" width="8" style="18" bestFit="1" customWidth="1"/>
    <col min="8202" max="8202" width="11.5703125" style="18" bestFit="1"/>
    <col min="8203" max="8203" width="8.42578125" style="18" bestFit="1" customWidth="1"/>
    <col min="8204" max="8204" width="11.5703125" style="18" bestFit="1"/>
    <col min="8205" max="8205" width="8.42578125" style="18" customWidth="1"/>
    <col min="8206" max="8206" width="7.42578125" style="18" bestFit="1" customWidth="1"/>
    <col min="8207" max="8207" width="11.5703125" style="18" bestFit="1"/>
    <col min="8208" max="8208" width="8.42578125" style="18" customWidth="1"/>
    <col min="8209" max="8209" width="13" style="18" bestFit="1" customWidth="1"/>
    <col min="8210" max="8448" width="11.5703125" style="18"/>
    <col min="8449" max="8449" width="4.5703125" style="18" customWidth="1"/>
    <col min="8450" max="8450" width="50" style="18" customWidth="1"/>
    <col min="8451" max="8451" width="6.42578125" style="18" bestFit="1" customWidth="1"/>
    <col min="8452" max="8453" width="8.5703125" style="18" customWidth="1"/>
    <col min="8454" max="8454" width="11.42578125" style="18" bestFit="1" customWidth="1"/>
    <col min="8455" max="8455" width="7.5703125" style="18" bestFit="1" customWidth="1"/>
    <col min="8456" max="8456" width="11.5703125" style="18" bestFit="1"/>
    <col min="8457" max="8457" width="8" style="18" bestFit="1" customWidth="1"/>
    <col min="8458" max="8458" width="11.5703125" style="18" bestFit="1"/>
    <col min="8459" max="8459" width="8.42578125" style="18" bestFit="1" customWidth="1"/>
    <col min="8460" max="8460" width="11.5703125" style="18" bestFit="1"/>
    <col min="8461" max="8461" width="8.42578125" style="18" customWidth="1"/>
    <col min="8462" max="8462" width="7.42578125" style="18" bestFit="1" customWidth="1"/>
    <col min="8463" max="8463" width="11.5703125" style="18" bestFit="1"/>
    <col min="8464" max="8464" width="8.42578125" style="18" customWidth="1"/>
    <col min="8465" max="8465" width="13" style="18" bestFit="1" customWidth="1"/>
    <col min="8466" max="8704" width="11.5703125" style="18"/>
    <col min="8705" max="8705" width="4.5703125" style="18" customWidth="1"/>
    <col min="8706" max="8706" width="50" style="18" customWidth="1"/>
    <col min="8707" max="8707" width="6.42578125" style="18" bestFit="1" customWidth="1"/>
    <col min="8708" max="8709" width="8.5703125" style="18" customWidth="1"/>
    <col min="8710" max="8710" width="11.42578125" style="18" bestFit="1" customWidth="1"/>
    <col min="8711" max="8711" width="7.5703125" style="18" bestFit="1" customWidth="1"/>
    <col min="8712" max="8712" width="11.5703125" style="18" bestFit="1"/>
    <col min="8713" max="8713" width="8" style="18" bestFit="1" customWidth="1"/>
    <col min="8714" max="8714" width="11.5703125" style="18" bestFit="1"/>
    <col min="8715" max="8715" width="8.42578125" style="18" bestFit="1" customWidth="1"/>
    <col min="8716" max="8716" width="11.5703125" style="18" bestFit="1"/>
    <col min="8717" max="8717" width="8.42578125" style="18" customWidth="1"/>
    <col min="8718" max="8718" width="7.42578125" style="18" bestFit="1" customWidth="1"/>
    <col min="8719" max="8719" width="11.5703125" style="18" bestFit="1"/>
    <col min="8720" max="8720" width="8.42578125" style="18" customWidth="1"/>
    <col min="8721" max="8721" width="13" style="18" bestFit="1" customWidth="1"/>
    <col min="8722" max="8960" width="11.5703125" style="18"/>
    <col min="8961" max="8961" width="4.5703125" style="18" customWidth="1"/>
    <col min="8962" max="8962" width="50" style="18" customWidth="1"/>
    <col min="8963" max="8963" width="6.42578125" style="18" bestFit="1" customWidth="1"/>
    <col min="8964" max="8965" width="8.5703125" style="18" customWidth="1"/>
    <col min="8966" max="8966" width="11.42578125" style="18" bestFit="1" customWidth="1"/>
    <col min="8967" max="8967" width="7.5703125" style="18" bestFit="1" customWidth="1"/>
    <col min="8968" max="8968" width="11.5703125" style="18" bestFit="1"/>
    <col min="8969" max="8969" width="8" style="18" bestFit="1" customWidth="1"/>
    <col min="8970" max="8970" width="11.5703125" style="18" bestFit="1"/>
    <col min="8971" max="8971" width="8.42578125" style="18" bestFit="1" customWidth="1"/>
    <col min="8972" max="8972" width="11.5703125" style="18" bestFit="1"/>
    <col min="8973" max="8973" width="8.42578125" style="18" customWidth="1"/>
    <col min="8974" max="8974" width="7.42578125" style="18" bestFit="1" customWidth="1"/>
    <col min="8975" max="8975" width="11.5703125" style="18" bestFit="1"/>
    <col min="8976" max="8976" width="8.42578125" style="18" customWidth="1"/>
    <col min="8977" max="8977" width="13" style="18" bestFit="1" customWidth="1"/>
    <col min="8978" max="9216" width="11.5703125" style="18"/>
    <col min="9217" max="9217" width="4.5703125" style="18" customWidth="1"/>
    <col min="9218" max="9218" width="50" style="18" customWidth="1"/>
    <col min="9219" max="9219" width="6.42578125" style="18" bestFit="1" customWidth="1"/>
    <col min="9220" max="9221" width="8.5703125" style="18" customWidth="1"/>
    <col min="9222" max="9222" width="11.42578125" style="18" bestFit="1" customWidth="1"/>
    <col min="9223" max="9223" width="7.5703125" style="18" bestFit="1" customWidth="1"/>
    <col min="9224" max="9224" width="11.5703125" style="18" bestFit="1"/>
    <col min="9225" max="9225" width="8" style="18" bestFit="1" customWidth="1"/>
    <col min="9226" max="9226" width="11.5703125" style="18" bestFit="1"/>
    <col min="9227" max="9227" width="8.42578125" style="18" bestFit="1" customWidth="1"/>
    <col min="9228" max="9228" width="11.5703125" style="18" bestFit="1"/>
    <col min="9229" max="9229" width="8.42578125" style="18" customWidth="1"/>
    <col min="9230" max="9230" width="7.42578125" style="18" bestFit="1" customWidth="1"/>
    <col min="9231" max="9231" width="11.5703125" style="18" bestFit="1"/>
    <col min="9232" max="9232" width="8.42578125" style="18" customWidth="1"/>
    <col min="9233" max="9233" width="13" style="18" bestFit="1" customWidth="1"/>
    <col min="9234" max="9472" width="11.5703125" style="18"/>
    <col min="9473" max="9473" width="4.5703125" style="18" customWidth="1"/>
    <col min="9474" max="9474" width="50" style="18" customWidth="1"/>
    <col min="9475" max="9475" width="6.42578125" style="18" bestFit="1" customWidth="1"/>
    <col min="9476" max="9477" width="8.5703125" style="18" customWidth="1"/>
    <col min="9478" max="9478" width="11.42578125" style="18" bestFit="1" customWidth="1"/>
    <col min="9479" max="9479" width="7.5703125" style="18" bestFit="1" customWidth="1"/>
    <col min="9480" max="9480" width="11.5703125" style="18" bestFit="1"/>
    <col min="9481" max="9481" width="8" style="18" bestFit="1" customWidth="1"/>
    <col min="9482" max="9482" width="11.5703125" style="18" bestFit="1"/>
    <col min="9483" max="9483" width="8.42578125" style="18" bestFit="1" customWidth="1"/>
    <col min="9484" max="9484" width="11.5703125" style="18" bestFit="1"/>
    <col min="9485" max="9485" width="8.42578125" style="18" customWidth="1"/>
    <col min="9486" max="9486" width="7.42578125" style="18" bestFit="1" customWidth="1"/>
    <col min="9487" max="9487" width="11.5703125" style="18" bestFit="1"/>
    <col min="9488" max="9488" width="8.42578125" style="18" customWidth="1"/>
    <col min="9489" max="9489" width="13" style="18" bestFit="1" customWidth="1"/>
    <col min="9490" max="9728" width="11.5703125" style="18"/>
    <col min="9729" max="9729" width="4.5703125" style="18" customWidth="1"/>
    <col min="9730" max="9730" width="50" style="18" customWidth="1"/>
    <col min="9731" max="9731" width="6.42578125" style="18" bestFit="1" customWidth="1"/>
    <col min="9732" max="9733" width="8.5703125" style="18" customWidth="1"/>
    <col min="9734" max="9734" width="11.42578125" style="18" bestFit="1" customWidth="1"/>
    <col min="9735" max="9735" width="7.5703125" style="18" bestFit="1" customWidth="1"/>
    <col min="9736" max="9736" width="11.5703125" style="18" bestFit="1"/>
    <col min="9737" max="9737" width="8" style="18" bestFit="1" customWidth="1"/>
    <col min="9738" max="9738" width="11.5703125" style="18" bestFit="1"/>
    <col min="9739" max="9739" width="8.42578125" style="18" bestFit="1" customWidth="1"/>
    <col min="9740" max="9740" width="11.5703125" style="18" bestFit="1"/>
    <col min="9741" max="9741" width="8.42578125" style="18" customWidth="1"/>
    <col min="9742" max="9742" width="7.42578125" style="18" bestFit="1" customWidth="1"/>
    <col min="9743" max="9743" width="11.5703125" style="18" bestFit="1"/>
    <col min="9744" max="9744" width="8.42578125" style="18" customWidth="1"/>
    <col min="9745" max="9745" width="13" style="18" bestFit="1" customWidth="1"/>
    <col min="9746" max="9984" width="11.5703125" style="18"/>
    <col min="9985" max="9985" width="4.5703125" style="18" customWidth="1"/>
    <col min="9986" max="9986" width="50" style="18" customWidth="1"/>
    <col min="9987" max="9987" width="6.42578125" style="18" bestFit="1" customWidth="1"/>
    <col min="9988" max="9989" width="8.5703125" style="18" customWidth="1"/>
    <col min="9990" max="9990" width="11.42578125" style="18" bestFit="1" customWidth="1"/>
    <col min="9991" max="9991" width="7.5703125" style="18" bestFit="1" customWidth="1"/>
    <col min="9992" max="9992" width="11.5703125" style="18" bestFit="1"/>
    <col min="9993" max="9993" width="8" style="18" bestFit="1" customWidth="1"/>
    <col min="9994" max="9994" width="11.5703125" style="18" bestFit="1"/>
    <col min="9995" max="9995" width="8.42578125" style="18" bestFit="1" customWidth="1"/>
    <col min="9996" max="9996" width="11.5703125" style="18" bestFit="1"/>
    <col min="9997" max="9997" width="8.42578125" style="18" customWidth="1"/>
    <col min="9998" max="9998" width="7.42578125" style="18" bestFit="1" customWidth="1"/>
    <col min="9999" max="9999" width="11.5703125" style="18" bestFit="1"/>
    <col min="10000" max="10000" width="8.42578125" style="18" customWidth="1"/>
    <col min="10001" max="10001" width="13" style="18" bestFit="1" customWidth="1"/>
    <col min="10002" max="10240" width="11.5703125" style="18"/>
    <col min="10241" max="10241" width="4.5703125" style="18" customWidth="1"/>
    <col min="10242" max="10242" width="50" style="18" customWidth="1"/>
    <col min="10243" max="10243" width="6.42578125" style="18" bestFit="1" customWidth="1"/>
    <col min="10244" max="10245" width="8.5703125" style="18" customWidth="1"/>
    <col min="10246" max="10246" width="11.42578125" style="18" bestFit="1" customWidth="1"/>
    <col min="10247" max="10247" width="7.5703125" style="18" bestFit="1" customWidth="1"/>
    <col min="10248" max="10248" width="11.5703125" style="18" bestFit="1"/>
    <col min="10249" max="10249" width="8" style="18" bestFit="1" customWidth="1"/>
    <col min="10250" max="10250" width="11.5703125" style="18" bestFit="1"/>
    <col min="10251" max="10251" width="8.42578125" style="18" bestFit="1" customWidth="1"/>
    <col min="10252" max="10252" width="11.5703125" style="18" bestFit="1"/>
    <col min="10253" max="10253" width="8.42578125" style="18" customWidth="1"/>
    <col min="10254" max="10254" width="7.42578125" style="18" bestFit="1" customWidth="1"/>
    <col min="10255" max="10255" width="11.5703125" style="18" bestFit="1"/>
    <col min="10256" max="10256" width="8.42578125" style="18" customWidth="1"/>
    <col min="10257" max="10257" width="13" style="18" bestFit="1" customWidth="1"/>
    <col min="10258" max="10496" width="11.5703125" style="18"/>
    <col min="10497" max="10497" width="4.5703125" style="18" customWidth="1"/>
    <col min="10498" max="10498" width="50" style="18" customWidth="1"/>
    <col min="10499" max="10499" width="6.42578125" style="18" bestFit="1" customWidth="1"/>
    <col min="10500" max="10501" width="8.5703125" style="18" customWidth="1"/>
    <col min="10502" max="10502" width="11.42578125" style="18" bestFit="1" customWidth="1"/>
    <col min="10503" max="10503" width="7.5703125" style="18" bestFit="1" customWidth="1"/>
    <col min="10504" max="10504" width="11.5703125" style="18" bestFit="1"/>
    <col min="10505" max="10505" width="8" style="18" bestFit="1" customWidth="1"/>
    <col min="10506" max="10506" width="11.5703125" style="18" bestFit="1"/>
    <col min="10507" max="10507" width="8.42578125" style="18" bestFit="1" customWidth="1"/>
    <col min="10508" max="10508" width="11.5703125" style="18" bestFit="1"/>
    <col min="10509" max="10509" width="8.42578125" style="18" customWidth="1"/>
    <col min="10510" max="10510" width="7.42578125" style="18" bestFit="1" customWidth="1"/>
    <col min="10511" max="10511" width="11.5703125" style="18" bestFit="1"/>
    <col min="10512" max="10512" width="8.42578125" style="18" customWidth="1"/>
    <col min="10513" max="10513" width="13" style="18" bestFit="1" customWidth="1"/>
    <col min="10514" max="10752" width="11.5703125" style="18"/>
    <col min="10753" max="10753" width="4.5703125" style="18" customWidth="1"/>
    <col min="10754" max="10754" width="50" style="18" customWidth="1"/>
    <col min="10755" max="10755" width="6.42578125" style="18" bestFit="1" customWidth="1"/>
    <col min="10756" max="10757" width="8.5703125" style="18" customWidth="1"/>
    <col min="10758" max="10758" width="11.42578125" style="18" bestFit="1" customWidth="1"/>
    <col min="10759" max="10759" width="7.5703125" style="18" bestFit="1" customWidth="1"/>
    <col min="10760" max="10760" width="11.5703125" style="18" bestFit="1"/>
    <col min="10761" max="10761" width="8" style="18" bestFit="1" customWidth="1"/>
    <col min="10762" max="10762" width="11.5703125" style="18" bestFit="1"/>
    <col min="10763" max="10763" width="8.42578125" style="18" bestFit="1" customWidth="1"/>
    <col min="10764" max="10764" width="11.5703125" style="18" bestFit="1"/>
    <col min="10765" max="10765" width="8.42578125" style="18" customWidth="1"/>
    <col min="10766" max="10766" width="7.42578125" style="18" bestFit="1" customWidth="1"/>
    <col min="10767" max="10767" width="11.5703125" style="18" bestFit="1"/>
    <col min="10768" max="10768" width="8.42578125" style="18" customWidth="1"/>
    <col min="10769" max="10769" width="13" style="18" bestFit="1" customWidth="1"/>
    <col min="10770" max="11008" width="11.5703125" style="18"/>
    <col min="11009" max="11009" width="4.5703125" style="18" customWidth="1"/>
    <col min="11010" max="11010" width="50" style="18" customWidth="1"/>
    <col min="11011" max="11011" width="6.42578125" style="18" bestFit="1" customWidth="1"/>
    <col min="11012" max="11013" width="8.5703125" style="18" customWidth="1"/>
    <col min="11014" max="11014" width="11.42578125" style="18" bestFit="1" customWidth="1"/>
    <col min="11015" max="11015" width="7.5703125" style="18" bestFit="1" customWidth="1"/>
    <col min="11016" max="11016" width="11.5703125" style="18" bestFit="1"/>
    <col min="11017" max="11017" width="8" style="18" bestFit="1" customWidth="1"/>
    <col min="11018" max="11018" width="11.5703125" style="18" bestFit="1"/>
    <col min="11019" max="11019" width="8.42578125" style="18" bestFit="1" customWidth="1"/>
    <col min="11020" max="11020" width="11.5703125" style="18" bestFit="1"/>
    <col min="11021" max="11021" width="8.42578125" style="18" customWidth="1"/>
    <col min="11022" max="11022" width="7.42578125" style="18" bestFit="1" customWidth="1"/>
    <col min="11023" max="11023" width="11.5703125" style="18" bestFit="1"/>
    <col min="11024" max="11024" width="8.42578125" style="18" customWidth="1"/>
    <col min="11025" max="11025" width="13" style="18" bestFit="1" customWidth="1"/>
    <col min="11026" max="11264" width="11.5703125" style="18"/>
    <col min="11265" max="11265" width="4.5703125" style="18" customWidth="1"/>
    <col min="11266" max="11266" width="50" style="18" customWidth="1"/>
    <col min="11267" max="11267" width="6.42578125" style="18" bestFit="1" customWidth="1"/>
    <col min="11268" max="11269" width="8.5703125" style="18" customWidth="1"/>
    <col min="11270" max="11270" width="11.42578125" style="18" bestFit="1" customWidth="1"/>
    <col min="11271" max="11271" width="7.5703125" style="18" bestFit="1" customWidth="1"/>
    <col min="11272" max="11272" width="11.5703125" style="18" bestFit="1"/>
    <col min="11273" max="11273" width="8" style="18" bestFit="1" customWidth="1"/>
    <col min="11274" max="11274" width="11.5703125" style="18" bestFit="1"/>
    <col min="11275" max="11275" width="8.42578125" style="18" bestFit="1" customWidth="1"/>
    <col min="11276" max="11276" width="11.5703125" style="18" bestFit="1"/>
    <col min="11277" max="11277" width="8.42578125" style="18" customWidth="1"/>
    <col min="11278" max="11278" width="7.42578125" style="18" bestFit="1" customWidth="1"/>
    <col min="11279" max="11279" width="11.5703125" style="18" bestFit="1"/>
    <col min="11280" max="11280" width="8.42578125" style="18" customWidth="1"/>
    <col min="11281" max="11281" width="13" style="18" bestFit="1" customWidth="1"/>
    <col min="11282" max="11520" width="11.5703125" style="18"/>
    <col min="11521" max="11521" width="4.5703125" style="18" customWidth="1"/>
    <col min="11522" max="11522" width="50" style="18" customWidth="1"/>
    <col min="11523" max="11523" width="6.42578125" style="18" bestFit="1" customWidth="1"/>
    <col min="11524" max="11525" width="8.5703125" style="18" customWidth="1"/>
    <col min="11526" max="11526" width="11.42578125" style="18" bestFit="1" customWidth="1"/>
    <col min="11527" max="11527" width="7.5703125" style="18" bestFit="1" customWidth="1"/>
    <col min="11528" max="11528" width="11.5703125" style="18" bestFit="1"/>
    <col min="11529" max="11529" width="8" style="18" bestFit="1" customWidth="1"/>
    <col min="11530" max="11530" width="11.5703125" style="18" bestFit="1"/>
    <col min="11531" max="11531" width="8.42578125" style="18" bestFit="1" customWidth="1"/>
    <col min="11532" max="11532" width="11.5703125" style="18" bestFit="1"/>
    <col min="11533" max="11533" width="8.42578125" style="18" customWidth="1"/>
    <col min="11534" max="11534" width="7.42578125" style="18" bestFit="1" customWidth="1"/>
    <col min="11535" max="11535" width="11.5703125" style="18" bestFit="1"/>
    <col min="11536" max="11536" width="8.42578125" style="18" customWidth="1"/>
    <col min="11537" max="11537" width="13" style="18" bestFit="1" customWidth="1"/>
    <col min="11538" max="11776" width="11.5703125" style="18"/>
    <col min="11777" max="11777" width="4.5703125" style="18" customWidth="1"/>
    <col min="11778" max="11778" width="50" style="18" customWidth="1"/>
    <col min="11779" max="11779" width="6.42578125" style="18" bestFit="1" customWidth="1"/>
    <col min="11780" max="11781" width="8.5703125" style="18" customWidth="1"/>
    <col min="11782" max="11782" width="11.42578125" style="18" bestFit="1" customWidth="1"/>
    <col min="11783" max="11783" width="7.5703125" style="18" bestFit="1" customWidth="1"/>
    <col min="11784" max="11784" width="11.5703125" style="18" bestFit="1"/>
    <col min="11785" max="11785" width="8" style="18" bestFit="1" customWidth="1"/>
    <col min="11786" max="11786" width="11.5703125" style="18" bestFit="1"/>
    <col min="11787" max="11787" width="8.42578125" style="18" bestFit="1" customWidth="1"/>
    <col min="11788" max="11788" width="11.5703125" style="18" bestFit="1"/>
    <col min="11789" max="11789" width="8.42578125" style="18" customWidth="1"/>
    <col min="11790" max="11790" width="7.42578125" style="18" bestFit="1" customWidth="1"/>
    <col min="11791" max="11791" width="11.5703125" style="18" bestFit="1"/>
    <col min="11792" max="11792" width="8.42578125" style="18" customWidth="1"/>
    <col min="11793" max="11793" width="13" style="18" bestFit="1" customWidth="1"/>
    <col min="11794" max="12032" width="11.5703125" style="18"/>
    <col min="12033" max="12033" width="4.5703125" style="18" customWidth="1"/>
    <col min="12034" max="12034" width="50" style="18" customWidth="1"/>
    <col min="12035" max="12035" width="6.42578125" style="18" bestFit="1" customWidth="1"/>
    <col min="12036" max="12037" width="8.5703125" style="18" customWidth="1"/>
    <col min="12038" max="12038" width="11.42578125" style="18" bestFit="1" customWidth="1"/>
    <col min="12039" max="12039" width="7.5703125" style="18" bestFit="1" customWidth="1"/>
    <col min="12040" max="12040" width="11.5703125" style="18" bestFit="1"/>
    <col min="12041" max="12041" width="8" style="18" bestFit="1" customWidth="1"/>
    <col min="12042" max="12042" width="11.5703125" style="18" bestFit="1"/>
    <col min="12043" max="12043" width="8.42578125" style="18" bestFit="1" customWidth="1"/>
    <col min="12044" max="12044" width="11.5703125" style="18" bestFit="1"/>
    <col min="12045" max="12045" width="8.42578125" style="18" customWidth="1"/>
    <col min="12046" max="12046" width="7.42578125" style="18" bestFit="1" customWidth="1"/>
    <col min="12047" max="12047" width="11.5703125" style="18" bestFit="1"/>
    <col min="12048" max="12048" width="8.42578125" style="18" customWidth="1"/>
    <col min="12049" max="12049" width="13" style="18" bestFit="1" customWidth="1"/>
    <col min="12050" max="12288" width="11.5703125" style="18"/>
    <col min="12289" max="12289" width="4.5703125" style="18" customWidth="1"/>
    <col min="12290" max="12290" width="50" style="18" customWidth="1"/>
    <col min="12291" max="12291" width="6.42578125" style="18" bestFit="1" customWidth="1"/>
    <col min="12292" max="12293" width="8.5703125" style="18" customWidth="1"/>
    <col min="12294" max="12294" width="11.42578125" style="18" bestFit="1" customWidth="1"/>
    <col min="12295" max="12295" width="7.5703125" style="18" bestFit="1" customWidth="1"/>
    <col min="12296" max="12296" width="11.5703125" style="18" bestFit="1"/>
    <col min="12297" max="12297" width="8" style="18" bestFit="1" customWidth="1"/>
    <col min="12298" max="12298" width="11.5703125" style="18" bestFit="1"/>
    <col min="12299" max="12299" width="8.42578125" style="18" bestFit="1" customWidth="1"/>
    <col min="12300" max="12300" width="11.5703125" style="18" bestFit="1"/>
    <col min="12301" max="12301" width="8.42578125" style="18" customWidth="1"/>
    <col min="12302" max="12302" width="7.42578125" style="18" bestFit="1" customWidth="1"/>
    <col min="12303" max="12303" width="11.5703125" style="18" bestFit="1"/>
    <col min="12304" max="12304" width="8.42578125" style="18" customWidth="1"/>
    <col min="12305" max="12305" width="13" style="18" bestFit="1" customWidth="1"/>
    <col min="12306" max="12544" width="11.5703125" style="18"/>
    <col min="12545" max="12545" width="4.5703125" style="18" customWidth="1"/>
    <col min="12546" max="12546" width="50" style="18" customWidth="1"/>
    <col min="12547" max="12547" width="6.42578125" style="18" bestFit="1" customWidth="1"/>
    <col min="12548" max="12549" width="8.5703125" style="18" customWidth="1"/>
    <col min="12550" max="12550" width="11.42578125" style="18" bestFit="1" customWidth="1"/>
    <col min="12551" max="12551" width="7.5703125" style="18" bestFit="1" customWidth="1"/>
    <col min="12552" max="12552" width="11.5703125" style="18" bestFit="1"/>
    <col min="12553" max="12553" width="8" style="18" bestFit="1" customWidth="1"/>
    <col min="12554" max="12554" width="11.5703125" style="18" bestFit="1"/>
    <col min="12555" max="12555" width="8.42578125" style="18" bestFit="1" customWidth="1"/>
    <col min="12556" max="12556" width="11.5703125" style="18" bestFit="1"/>
    <col min="12557" max="12557" width="8.42578125" style="18" customWidth="1"/>
    <col min="12558" max="12558" width="7.42578125" style="18" bestFit="1" customWidth="1"/>
    <col min="12559" max="12559" width="11.5703125" style="18" bestFit="1"/>
    <col min="12560" max="12560" width="8.42578125" style="18" customWidth="1"/>
    <col min="12561" max="12561" width="13" style="18" bestFit="1" customWidth="1"/>
    <col min="12562" max="12800" width="11.5703125" style="18"/>
    <col min="12801" max="12801" width="4.5703125" style="18" customWidth="1"/>
    <col min="12802" max="12802" width="50" style="18" customWidth="1"/>
    <col min="12803" max="12803" width="6.42578125" style="18" bestFit="1" customWidth="1"/>
    <col min="12804" max="12805" width="8.5703125" style="18" customWidth="1"/>
    <col min="12806" max="12806" width="11.42578125" style="18" bestFit="1" customWidth="1"/>
    <col min="12807" max="12807" width="7.5703125" style="18" bestFit="1" customWidth="1"/>
    <col min="12808" max="12808" width="11.5703125" style="18" bestFit="1"/>
    <col min="12809" max="12809" width="8" style="18" bestFit="1" customWidth="1"/>
    <col min="12810" max="12810" width="11.5703125" style="18" bestFit="1"/>
    <col min="12811" max="12811" width="8.42578125" style="18" bestFit="1" customWidth="1"/>
    <col min="12812" max="12812" width="11.5703125" style="18" bestFit="1"/>
    <col min="12813" max="12813" width="8.42578125" style="18" customWidth="1"/>
    <col min="12814" max="12814" width="7.42578125" style="18" bestFit="1" customWidth="1"/>
    <col min="12815" max="12815" width="11.5703125" style="18" bestFit="1"/>
    <col min="12816" max="12816" width="8.42578125" style="18" customWidth="1"/>
    <col min="12817" max="12817" width="13" style="18" bestFit="1" customWidth="1"/>
    <col min="12818" max="13056" width="11.5703125" style="18"/>
    <col min="13057" max="13057" width="4.5703125" style="18" customWidth="1"/>
    <col min="13058" max="13058" width="50" style="18" customWidth="1"/>
    <col min="13059" max="13059" width="6.42578125" style="18" bestFit="1" customWidth="1"/>
    <col min="13060" max="13061" width="8.5703125" style="18" customWidth="1"/>
    <col min="13062" max="13062" width="11.42578125" style="18" bestFit="1" customWidth="1"/>
    <col min="13063" max="13063" width="7.5703125" style="18" bestFit="1" customWidth="1"/>
    <col min="13064" max="13064" width="11.5703125" style="18" bestFit="1"/>
    <col min="13065" max="13065" width="8" style="18" bestFit="1" customWidth="1"/>
    <col min="13066" max="13066" width="11.5703125" style="18" bestFit="1"/>
    <col min="13067" max="13067" width="8.42578125" style="18" bestFit="1" customWidth="1"/>
    <col min="13068" max="13068" width="11.5703125" style="18" bestFit="1"/>
    <col min="13069" max="13069" width="8.42578125" style="18" customWidth="1"/>
    <col min="13070" max="13070" width="7.42578125" style="18" bestFit="1" customWidth="1"/>
    <col min="13071" max="13071" width="11.5703125" style="18" bestFit="1"/>
    <col min="13072" max="13072" width="8.42578125" style="18" customWidth="1"/>
    <col min="13073" max="13073" width="13" style="18" bestFit="1" customWidth="1"/>
    <col min="13074" max="13312" width="11.5703125" style="18"/>
    <col min="13313" max="13313" width="4.5703125" style="18" customWidth="1"/>
    <col min="13314" max="13314" width="50" style="18" customWidth="1"/>
    <col min="13315" max="13315" width="6.42578125" style="18" bestFit="1" customWidth="1"/>
    <col min="13316" max="13317" width="8.5703125" style="18" customWidth="1"/>
    <col min="13318" max="13318" width="11.42578125" style="18" bestFit="1" customWidth="1"/>
    <col min="13319" max="13319" width="7.5703125" style="18" bestFit="1" customWidth="1"/>
    <col min="13320" max="13320" width="11.5703125" style="18" bestFit="1"/>
    <col min="13321" max="13321" width="8" style="18" bestFit="1" customWidth="1"/>
    <col min="13322" max="13322" width="11.5703125" style="18" bestFit="1"/>
    <col min="13323" max="13323" width="8.42578125" style="18" bestFit="1" customWidth="1"/>
    <col min="13324" max="13324" width="11.5703125" style="18" bestFit="1"/>
    <col min="13325" max="13325" width="8.42578125" style="18" customWidth="1"/>
    <col min="13326" max="13326" width="7.42578125" style="18" bestFit="1" customWidth="1"/>
    <col min="13327" max="13327" width="11.5703125" style="18" bestFit="1"/>
    <col min="13328" max="13328" width="8.42578125" style="18" customWidth="1"/>
    <col min="13329" max="13329" width="13" style="18" bestFit="1" customWidth="1"/>
    <col min="13330" max="13568" width="11.5703125" style="18"/>
    <col min="13569" max="13569" width="4.5703125" style="18" customWidth="1"/>
    <col min="13570" max="13570" width="50" style="18" customWidth="1"/>
    <col min="13571" max="13571" width="6.42578125" style="18" bestFit="1" customWidth="1"/>
    <col min="13572" max="13573" width="8.5703125" style="18" customWidth="1"/>
    <col min="13574" max="13574" width="11.42578125" style="18" bestFit="1" customWidth="1"/>
    <col min="13575" max="13575" width="7.5703125" style="18" bestFit="1" customWidth="1"/>
    <col min="13576" max="13576" width="11.5703125" style="18" bestFit="1"/>
    <col min="13577" max="13577" width="8" style="18" bestFit="1" customWidth="1"/>
    <col min="13578" max="13578" width="11.5703125" style="18" bestFit="1"/>
    <col min="13579" max="13579" width="8.42578125" style="18" bestFit="1" customWidth="1"/>
    <col min="13580" max="13580" width="11.5703125" style="18" bestFit="1"/>
    <col min="13581" max="13581" width="8.42578125" style="18" customWidth="1"/>
    <col min="13582" max="13582" width="7.42578125" style="18" bestFit="1" customWidth="1"/>
    <col min="13583" max="13583" width="11.5703125" style="18" bestFit="1"/>
    <col min="13584" max="13584" width="8.42578125" style="18" customWidth="1"/>
    <col min="13585" max="13585" width="13" style="18" bestFit="1" customWidth="1"/>
    <col min="13586" max="13824" width="11.5703125" style="18"/>
    <col min="13825" max="13825" width="4.5703125" style="18" customWidth="1"/>
    <col min="13826" max="13826" width="50" style="18" customWidth="1"/>
    <col min="13827" max="13827" width="6.42578125" style="18" bestFit="1" customWidth="1"/>
    <col min="13828" max="13829" width="8.5703125" style="18" customWidth="1"/>
    <col min="13830" max="13830" width="11.42578125" style="18" bestFit="1" customWidth="1"/>
    <col min="13831" max="13831" width="7.5703125" style="18" bestFit="1" customWidth="1"/>
    <col min="13832" max="13832" width="11.5703125" style="18" bestFit="1"/>
    <col min="13833" max="13833" width="8" style="18" bestFit="1" customWidth="1"/>
    <col min="13834" max="13834" width="11.5703125" style="18" bestFit="1"/>
    <col min="13835" max="13835" width="8.42578125" style="18" bestFit="1" customWidth="1"/>
    <col min="13836" max="13836" width="11.5703125" style="18" bestFit="1"/>
    <col min="13837" max="13837" width="8.42578125" style="18" customWidth="1"/>
    <col min="13838" max="13838" width="7.42578125" style="18" bestFit="1" customWidth="1"/>
    <col min="13839" max="13839" width="11.5703125" style="18" bestFit="1"/>
    <col min="13840" max="13840" width="8.42578125" style="18" customWidth="1"/>
    <col min="13841" max="13841" width="13" style="18" bestFit="1" customWidth="1"/>
    <col min="13842" max="14080" width="11.5703125" style="18"/>
    <col min="14081" max="14081" width="4.5703125" style="18" customWidth="1"/>
    <col min="14082" max="14082" width="50" style="18" customWidth="1"/>
    <col min="14083" max="14083" width="6.42578125" style="18" bestFit="1" customWidth="1"/>
    <col min="14084" max="14085" width="8.5703125" style="18" customWidth="1"/>
    <col min="14086" max="14086" width="11.42578125" style="18" bestFit="1" customWidth="1"/>
    <col min="14087" max="14087" width="7.5703125" style="18" bestFit="1" customWidth="1"/>
    <col min="14088" max="14088" width="11.5703125" style="18" bestFit="1"/>
    <col min="14089" max="14089" width="8" style="18" bestFit="1" customWidth="1"/>
    <col min="14090" max="14090" width="11.5703125" style="18" bestFit="1"/>
    <col min="14091" max="14091" width="8.42578125" style="18" bestFit="1" customWidth="1"/>
    <col min="14092" max="14092" width="11.5703125" style="18" bestFit="1"/>
    <col min="14093" max="14093" width="8.42578125" style="18" customWidth="1"/>
    <col min="14094" max="14094" width="7.42578125" style="18" bestFit="1" customWidth="1"/>
    <col min="14095" max="14095" width="11.5703125" style="18" bestFit="1"/>
    <col min="14096" max="14096" width="8.42578125" style="18" customWidth="1"/>
    <col min="14097" max="14097" width="13" style="18" bestFit="1" customWidth="1"/>
    <col min="14098" max="14336" width="11.5703125" style="18"/>
    <col min="14337" max="14337" width="4.5703125" style="18" customWidth="1"/>
    <col min="14338" max="14338" width="50" style="18" customWidth="1"/>
    <col min="14339" max="14339" width="6.42578125" style="18" bestFit="1" customWidth="1"/>
    <col min="14340" max="14341" width="8.5703125" style="18" customWidth="1"/>
    <col min="14342" max="14342" width="11.42578125" style="18" bestFit="1" customWidth="1"/>
    <col min="14343" max="14343" width="7.5703125" style="18" bestFit="1" customWidth="1"/>
    <col min="14344" max="14344" width="11.5703125" style="18" bestFit="1"/>
    <col min="14345" max="14345" width="8" style="18" bestFit="1" customWidth="1"/>
    <col min="14346" max="14346" width="11.5703125" style="18" bestFit="1"/>
    <col min="14347" max="14347" width="8.42578125" style="18" bestFit="1" customWidth="1"/>
    <col min="14348" max="14348" width="11.5703125" style="18" bestFit="1"/>
    <col min="14349" max="14349" width="8.42578125" style="18" customWidth="1"/>
    <col min="14350" max="14350" width="7.42578125" style="18" bestFit="1" customWidth="1"/>
    <col min="14351" max="14351" width="11.5703125" style="18" bestFit="1"/>
    <col min="14352" max="14352" width="8.42578125" style="18" customWidth="1"/>
    <col min="14353" max="14353" width="13" style="18" bestFit="1" customWidth="1"/>
    <col min="14354" max="14592" width="11.5703125" style="18"/>
    <col min="14593" max="14593" width="4.5703125" style="18" customWidth="1"/>
    <col min="14594" max="14594" width="50" style="18" customWidth="1"/>
    <col min="14595" max="14595" width="6.42578125" style="18" bestFit="1" customWidth="1"/>
    <col min="14596" max="14597" width="8.5703125" style="18" customWidth="1"/>
    <col min="14598" max="14598" width="11.42578125" style="18" bestFit="1" customWidth="1"/>
    <col min="14599" max="14599" width="7.5703125" style="18" bestFit="1" customWidth="1"/>
    <col min="14600" max="14600" width="11.5703125" style="18" bestFit="1"/>
    <col min="14601" max="14601" width="8" style="18" bestFit="1" customWidth="1"/>
    <col min="14602" max="14602" width="11.5703125" style="18" bestFit="1"/>
    <col min="14603" max="14603" width="8.42578125" style="18" bestFit="1" customWidth="1"/>
    <col min="14604" max="14604" width="11.5703125" style="18" bestFit="1"/>
    <col min="14605" max="14605" width="8.42578125" style="18" customWidth="1"/>
    <col min="14606" max="14606" width="7.42578125" style="18" bestFit="1" customWidth="1"/>
    <col min="14607" max="14607" width="11.5703125" style="18" bestFit="1"/>
    <col min="14608" max="14608" width="8.42578125" style="18" customWidth="1"/>
    <col min="14609" max="14609" width="13" style="18" bestFit="1" customWidth="1"/>
    <col min="14610" max="14848" width="11.5703125" style="18"/>
    <col min="14849" max="14849" width="4.5703125" style="18" customWidth="1"/>
    <col min="14850" max="14850" width="50" style="18" customWidth="1"/>
    <col min="14851" max="14851" width="6.42578125" style="18" bestFit="1" customWidth="1"/>
    <col min="14852" max="14853" width="8.5703125" style="18" customWidth="1"/>
    <col min="14854" max="14854" width="11.42578125" style="18" bestFit="1" customWidth="1"/>
    <col min="14855" max="14855" width="7.5703125" style="18" bestFit="1" customWidth="1"/>
    <col min="14856" max="14856" width="11.5703125" style="18" bestFit="1"/>
    <col min="14857" max="14857" width="8" style="18" bestFit="1" customWidth="1"/>
    <col min="14858" max="14858" width="11.5703125" style="18" bestFit="1"/>
    <col min="14859" max="14859" width="8.42578125" style="18" bestFit="1" customWidth="1"/>
    <col min="14860" max="14860" width="11.5703125" style="18" bestFit="1"/>
    <col min="14861" max="14861" width="8.42578125" style="18" customWidth="1"/>
    <col min="14862" max="14862" width="7.42578125" style="18" bestFit="1" customWidth="1"/>
    <col min="14863" max="14863" width="11.5703125" style="18" bestFit="1"/>
    <col min="14864" max="14864" width="8.42578125" style="18" customWidth="1"/>
    <col min="14865" max="14865" width="13" style="18" bestFit="1" customWidth="1"/>
    <col min="14866" max="15104" width="11.5703125" style="18"/>
    <col min="15105" max="15105" width="4.5703125" style="18" customWidth="1"/>
    <col min="15106" max="15106" width="50" style="18" customWidth="1"/>
    <col min="15107" max="15107" width="6.42578125" style="18" bestFit="1" customWidth="1"/>
    <col min="15108" max="15109" width="8.5703125" style="18" customWidth="1"/>
    <col min="15110" max="15110" width="11.42578125" style="18" bestFit="1" customWidth="1"/>
    <col min="15111" max="15111" width="7.5703125" style="18" bestFit="1" customWidth="1"/>
    <col min="15112" max="15112" width="11.5703125" style="18" bestFit="1"/>
    <col min="15113" max="15113" width="8" style="18" bestFit="1" customWidth="1"/>
    <col min="15114" max="15114" width="11.5703125" style="18" bestFit="1"/>
    <col min="15115" max="15115" width="8.42578125" style="18" bestFit="1" customWidth="1"/>
    <col min="15116" max="15116" width="11.5703125" style="18" bestFit="1"/>
    <col min="15117" max="15117" width="8.42578125" style="18" customWidth="1"/>
    <col min="15118" max="15118" width="7.42578125" style="18" bestFit="1" customWidth="1"/>
    <col min="15119" max="15119" width="11.5703125" style="18" bestFit="1"/>
    <col min="15120" max="15120" width="8.42578125" style="18" customWidth="1"/>
    <col min="15121" max="15121" width="13" style="18" bestFit="1" customWidth="1"/>
    <col min="15122" max="15360" width="11.5703125" style="18"/>
    <col min="15361" max="15361" width="4.5703125" style="18" customWidth="1"/>
    <col min="15362" max="15362" width="50" style="18" customWidth="1"/>
    <col min="15363" max="15363" width="6.42578125" style="18" bestFit="1" customWidth="1"/>
    <col min="15364" max="15365" width="8.5703125" style="18" customWidth="1"/>
    <col min="15366" max="15366" width="11.42578125" style="18" bestFit="1" customWidth="1"/>
    <col min="15367" max="15367" width="7.5703125" style="18" bestFit="1" customWidth="1"/>
    <col min="15368" max="15368" width="11.5703125" style="18" bestFit="1"/>
    <col min="15369" max="15369" width="8" style="18" bestFit="1" customWidth="1"/>
    <col min="15370" max="15370" width="11.5703125" style="18" bestFit="1"/>
    <col min="15371" max="15371" width="8.42578125" style="18" bestFit="1" customWidth="1"/>
    <col min="15372" max="15372" width="11.5703125" style="18" bestFit="1"/>
    <col min="15373" max="15373" width="8.42578125" style="18" customWidth="1"/>
    <col min="15374" max="15374" width="7.42578125" style="18" bestFit="1" customWidth="1"/>
    <col min="15375" max="15375" width="11.5703125" style="18" bestFit="1"/>
    <col min="15376" max="15376" width="8.42578125" style="18" customWidth="1"/>
    <col min="15377" max="15377" width="13" style="18" bestFit="1" customWidth="1"/>
    <col min="15378" max="15616" width="11.5703125" style="18"/>
    <col min="15617" max="15617" width="4.5703125" style="18" customWidth="1"/>
    <col min="15618" max="15618" width="50" style="18" customWidth="1"/>
    <col min="15619" max="15619" width="6.42578125" style="18" bestFit="1" customWidth="1"/>
    <col min="15620" max="15621" width="8.5703125" style="18" customWidth="1"/>
    <col min="15622" max="15622" width="11.42578125" style="18" bestFit="1" customWidth="1"/>
    <col min="15623" max="15623" width="7.5703125" style="18" bestFit="1" customWidth="1"/>
    <col min="15624" max="15624" width="11.5703125" style="18" bestFit="1"/>
    <col min="15625" max="15625" width="8" style="18" bestFit="1" customWidth="1"/>
    <col min="15626" max="15626" width="11.5703125" style="18" bestFit="1"/>
    <col min="15627" max="15627" width="8.42578125" style="18" bestFit="1" customWidth="1"/>
    <col min="15628" max="15628" width="11.5703125" style="18" bestFit="1"/>
    <col min="15629" max="15629" width="8.42578125" style="18" customWidth="1"/>
    <col min="15630" max="15630" width="7.42578125" style="18" bestFit="1" customWidth="1"/>
    <col min="15631" max="15631" width="11.5703125" style="18" bestFit="1"/>
    <col min="15632" max="15632" width="8.42578125" style="18" customWidth="1"/>
    <col min="15633" max="15633" width="13" style="18" bestFit="1" customWidth="1"/>
    <col min="15634" max="15872" width="11.5703125" style="18"/>
    <col min="15873" max="15873" width="4.5703125" style="18" customWidth="1"/>
    <col min="15874" max="15874" width="50" style="18" customWidth="1"/>
    <col min="15875" max="15875" width="6.42578125" style="18" bestFit="1" customWidth="1"/>
    <col min="15876" max="15877" width="8.5703125" style="18" customWidth="1"/>
    <col min="15878" max="15878" width="11.42578125" style="18" bestFit="1" customWidth="1"/>
    <col min="15879" max="15879" width="7.5703125" style="18" bestFit="1" customWidth="1"/>
    <col min="15880" max="15880" width="11.5703125" style="18" bestFit="1"/>
    <col min="15881" max="15881" width="8" style="18" bestFit="1" customWidth="1"/>
    <col min="15882" max="15882" width="11.5703125" style="18" bestFit="1"/>
    <col min="15883" max="15883" width="8.42578125" style="18" bestFit="1" customWidth="1"/>
    <col min="15884" max="15884" width="11.5703125" style="18" bestFit="1"/>
    <col min="15885" max="15885" width="8.42578125" style="18" customWidth="1"/>
    <col min="15886" max="15886" width="7.42578125" style="18" bestFit="1" customWidth="1"/>
    <col min="15887" max="15887" width="11.5703125" style="18" bestFit="1"/>
    <col min="15888" max="15888" width="8.42578125" style="18" customWidth="1"/>
    <col min="15889" max="15889" width="13" style="18" bestFit="1" customWidth="1"/>
    <col min="15890" max="16128" width="11.5703125" style="18"/>
    <col min="16129" max="16129" width="4.5703125" style="18" customWidth="1"/>
    <col min="16130" max="16130" width="50" style="18" customWidth="1"/>
    <col min="16131" max="16131" width="6.42578125" style="18" bestFit="1" customWidth="1"/>
    <col min="16132" max="16133" width="8.5703125" style="18" customWidth="1"/>
    <col min="16134" max="16134" width="11.42578125" style="18" bestFit="1" customWidth="1"/>
    <col min="16135" max="16135" width="7.5703125" style="18" bestFit="1" customWidth="1"/>
    <col min="16136" max="16136" width="11.5703125" style="18" bestFit="1"/>
    <col min="16137" max="16137" width="8" style="18" bestFit="1" customWidth="1"/>
    <col min="16138" max="16138" width="11.5703125" style="18" bestFit="1"/>
    <col min="16139" max="16139" width="8.42578125" style="18" bestFit="1" customWidth="1"/>
    <col min="16140" max="16140" width="11.5703125" style="18" bestFit="1"/>
    <col min="16141" max="16141" width="8.42578125" style="18" customWidth="1"/>
    <col min="16142" max="16142" width="7.42578125" style="18" bestFit="1" customWidth="1"/>
    <col min="16143" max="16143" width="11.5703125" style="18" bestFit="1"/>
    <col min="16144" max="16144" width="8.42578125" style="18" customWidth="1"/>
    <col min="16145" max="16145" width="13" style="18" bestFit="1" customWidth="1"/>
    <col min="16146" max="16384" width="11.5703125" style="18"/>
  </cols>
  <sheetData>
    <row r="1" spans="1:18" s="5" customFormat="1">
      <c r="B1" s="173"/>
      <c r="C1" s="174"/>
      <c r="E1" s="173" t="s">
        <v>12</v>
      </c>
      <c r="I1" s="56"/>
    </row>
    <row r="2" spans="1:18" s="5" customFormat="1">
      <c r="B2" s="173"/>
      <c r="C2" s="174"/>
      <c r="D2" s="2536" t="s">
        <v>1944</v>
      </c>
      <c r="E2" s="2536"/>
      <c r="F2" s="2536"/>
      <c r="G2" s="2536"/>
      <c r="H2" s="2536"/>
      <c r="I2" s="56"/>
    </row>
    <row r="3" spans="1:18" s="5" customFormat="1" ht="16.5" customHeight="1">
      <c r="A3" s="2536" t="str">
        <f>[27]VAL.PRINC!B3</f>
        <v>INFORME CORRESPONDIENTE AL MES DE JUNIO DEL 2017</v>
      </c>
      <c r="B3" s="2536"/>
      <c r="C3" s="2536"/>
      <c r="D3" s="2536"/>
      <c r="E3" s="2536"/>
      <c r="F3" s="2536"/>
      <c r="G3" s="2536"/>
      <c r="H3" s="2536"/>
      <c r="I3" s="2536"/>
      <c r="J3" s="2536"/>
      <c r="K3" s="2536"/>
      <c r="L3" s="2536"/>
      <c r="M3" s="2536"/>
      <c r="N3" s="2536"/>
      <c r="O3" s="2536"/>
      <c r="P3" s="2536"/>
    </row>
    <row r="4" spans="1:18" s="169" customFormat="1" ht="32.25" customHeight="1">
      <c r="A4" s="170"/>
      <c r="B4" s="171" t="s">
        <v>6</v>
      </c>
      <c r="C4" s="172" t="s">
        <v>4</v>
      </c>
      <c r="D4" s="2593" t="str">
        <f>[27]VAL.PRINC!D4</f>
        <v>“MEJORAMIENTO DEL SERVICIO EDUCATIVO DE NIVEL INICIAL EN LA IEI 1100 PICHIUCA PROVINCIA DE ABANCAY - REGIÓN APURÍMAC".</v>
      </c>
      <c r="E4" s="2593"/>
      <c r="F4" s="2593"/>
      <c r="G4" s="2593"/>
      <c r="H4" s="2593"/>
      <c r="I4" s="2593"/>
      <c r="J4" s="2593"/>
      <c r="K4" s="2593"/>
      <c r="L4" s="2593"/>
      <c r="M4" s="168" t="s">
        <v>13</v>
      </c>
      <c r="N4" s="168"/>
      <c r="O4" s="2541">
        <v>42920</v>
      </c>
      <c r="P4" s="2541"/>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c r="A7" s="1"/>
      <c r="B7" s="11" t="s">
        <v>17</v>
      </c>
      <c r="C7" s="12" t="s">
        <v>4</v>
      </c>
      <c r="D7" s="13" t="s">
        <v>11</v>
      </c>
      <c r="E7" s="1"/>
      <c r="F7" s="1"/>
      <c r="G7" s="1"/>
      <c r="H7" s="1"/>
      <c r="I7" s="4"/>
      <c r="J7" s="1"/>
      <c r="K7" s="1"/>
      <c r="L7" s="1"/>
      <c r="M7" s="2" t="s">
        <v>18</v>
      </c>
      <c r="O7" s="14"/>
      <c r="P7" s="309" t="str">
        <f>[27]VAL.PRINC!P7</f>
        <v>APURIMAC</v>
      </c>
    </row>
    <row r="8" spans="1:18" s="5" customFormat="1">
      <c r="A8" s="1"/>
      <c r="B8" s="11" t="s">
        <v>19</v>
      </c>
      <c r="C8" s="12" t="s">
        <v>4</v>
      </c>
      <c r="D8" s="15">
        <v>2017</v>
      </c>
      <c r="E8" s="1"/>
      <c r="F8" s="1"/>
      <c r="G8" s="1"/>
      <c r="H8" s="1"/>
      <c r="I8" s="4"/>
      <c r="J8" s="1"/>
      <c r="K8" s="1"/>
      <c r="L8" s="2"/>
      <c r="M8" s="1"/>
      <c r="N8" s="1"/>
      <c r="O8" s="1"/>
      <c r="P8" s="1"/>
    </row>
    <row r="9" spans="1:18" ht="13.5" thickBot="1"/>
    <row r="10" spans="1:18" s="5" customFormat="1" ht="11.25" customHeight="1" thickBot="1">
      <c r="A10" s="2546" t="s">
        <v>20</v>
      </c>
      <c r="B10" s="2534" t="s">
        <v>21</v>
      </c>
      <c r="C10" s="2547" t="s">
        <v>22</v>
      </c>
      <c r="D10" s="2546" t="s">
        <v>23</v>
      </c>
      <c r="E10" s="2547"/>
      <c r="F10" s="2548"/>
      <c r="G10" s="2552" t="s">
        <v>24</v>
      </c>
      <c r="H10" s="2553"/>
      <c r="I10" s="2553"/>
      <c r="J10" s="2553"/>
      <c r="K10" s="2553"/>
      <c r="L10" s="2553"/>
      <c r="M10" s="2554"/>
      <c r="N10" s="2547" t="s">
        <v>25</v>
      </c>
      <c r="O10" s="2547"/>
      <c r="P10" s="2548"/>
    </row>
    <row r="11" spans="1:18" s="5" customFormat="1" ht="11.25" customHeight="1" thickBot="1">
      <c r="A11" s="2594"/>
      <c r="B11" s="2542"/>
      <c r="C11" s="2595"/>
      <c r="D11" s="2549"/>
      <c r="E11" s="2550"/>
      <c r="F11" s="2551"/>
      <c r="G11" s="2552" t="s">
        <v>26</v>
      </c>
      <c r="H11" s="2554"/>
      <c r="I11" s="2552" t="s">
        <v>27</v>
      </c>
      <c r="J11" s="2554"/>
      <c r="K11" s="2552" t="s">
        <v>28</v>
      </c>
      <c r="L11" s="2553"/>
      <c r="M11" s="2554"/>
      <c r="N11" s="2595"/>
      <c r="O11" s="2595"/>
      <c r="P11" s="2596"/>
    </row>
    <row r="12" spans="1:18" s="5" customFormat="1" ht="11.25" customHeight="1">
      <c r="A12" s="2594"/>
      <c r="B12" s="2542"/>
      <c r="C12" s="2595"/>
      <c r="D12" s="2534" t="s">
        <v>29</v>
      </c>
      <c r="E12" s="2592" t="s">
        <v>30</v>
      </c>
      <c r="F12" s="2534" t="s">
        <v>31</v>
      </c>
      <c r="G12" s="2588" t="s">
        <v>3</v>
      </c>
      <c r="H12" s="2590" t="s">
        <v>32</v>
      </c>
      <c r="I12" s="2588" t="s">
        <v>3</v>
      </c>
      <c r="J12" s="2590" t="s">
        <v>32</v>
      </c>
      <c r="K12" s="2588" t="s">
        <v>3</v>
      </c>
      <c r="L12" s="2590" t="s">
        <v>32</v>
      </c>
      <c r="M12" s="2588" t="s">
        <v>0</v>
      </c>
      <c r="N12" s="2597" t="s">
        <v>3</v>
      </c>
      <c r="O12" s="2590" t="s">
        <v>32</v>
      </c>
      <c r="P12" s="2597" t="s">
        <v>0</v>
      </c>
    </row>
    <row r="13" spans="1:18" s="5" customFormat="1" ht="11.25" customHeight="1" thickBot="1">
      <c r="A13" s="2594"/>
      <c r="B13" s="2542"/>
      <c r="C13" s="2595"/>
      <c r="D13" s="2542"/>
      <c r="E13" s="2592"/>
      <c r="F13" s="2542"/>
      <c r="G13" s="2589"/>
      <c r="H13" s="2591"/>
      <c r="I13" s="2589"/>
      <c r="J13" s="2591"/>
      <c r="K13" s="2589"/>
      <c r="L13" s="2591"/>
      <c r="M13" s="2589"/>
      <c r="N13" s="2598"/>
      <c r="O13" s="2591"/>
      <c r="P13" s="2598"/>
      <c r="Q13" s="5" t="s">
        <v>2</v>
      </c>
    </row>
    <row r="14" spans="1:18" ht="13.5">
      <c r="A14" s="532" t="s">
        <v>513</v>
      </c>
      <c r="B14" s="537" t="s">
        <v>1803</v>
      </c>
      <c r="C14" s="538"/>
      <c r="D14" s="492"/>
      <c r="E14" s="492"/>
      <c r="F14" s="539"/>
      <c r="G14" s="529"/>
      <c r="H14" s="539"/>
      <c r="I14" s="533"/>
      <c r="J14" s="539"/>
      <c r="K14" s="529"/>
      <c r="L14" s="539"/>
      <c r="M14" s="540"/>
      <c r="N14" s="529"/>
      <c r="O14" s="493"/>
      <c r="P14" s="313"/>
    </row>
    <row r="15" spans="1:18" ht="13.5">
      <c r="A15" s="534" t="s">
        <v>514</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1804</v>
      </c>
      <c r="B16" s="525" t="s">
        <v>2061</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1926</v>
      </c>
      <c r="B17" s="525" t="s">
        <v>1932</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1928</v>
      </c>
      <c r="B18" s="525" t="s">
        <v>1933</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1929</v>
      </c>
      <c r="B19" s="525" t="s">
        <v>1934</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1930</v>
      </c>
      <c r="B20" s="525" t="s">
        <v>1936</v>
      </c>
      <c r="C20" s="526" t="s">
        <v>1935</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1931</v>
      </c>
      <c r="B21" s="525" t="s">
        <v>1927</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1937</v>
      </c>
      <c r="B22" s="525" t="s">
        <v>1941</v>
      </c>
      <c r="C22" s="526" t="s">
        <v>1940</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1938</v>
      </c>
      <c r="B23" s="525" t="s">
        <v>1942</v>
      </c>
      <c r="C23" s="526" t="s">
        <v>1940</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1939</v>
      </c>
      <c r="B24" s="525" t="s">
        <v>1943</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1990</v>
      </c>
      <c r="B25" s="846" t="s">
        <v>2003</v>
      </c>
      <c r="C25" s="526" t="s">
        <v>73</v>
      </c>
      <c r="D25" s="135"/>
      <c r="E25" s="135"/>
      <c r="F25" s="315"/>
      <c r="G25" s="527">
        <v>0</v>
      </c>
      <c r="H25" s="315"/>
      <c r="I25" s="528"/>
      <c r="J25" s="315"/>
      <c r="K25" s="527"/>
      <c r="L25" s="315"/>
      <c r="M25" s="535"/>
      <c r="N25" s="527"/>
      <c r="O25" s="315"/>
      <c r="P25" s="314"/>
      <c r="Q25" s="97">
        <v>20270</v>
      </c>
    </row>
    <row r="26" spans="1:18">
      <c r="A26" s="610" t="s">
        <v>2001</v>
      </c>
      <c r="B26" s="846" t="s">
        <v>2002</v>
      </c>
      <c r="C26" s="526" t="s">
        <v>73</v>
      </c>
      <c r="D26" s="135"/>
      <c r="E26" s="135"/>
      <c r="F26" s="315"/>
      <c r="G26" s="527">
        <v>0</v>
      </c>
      <c r="H26" s="315"/>
      <c r="I26" s="528"/>
      <c r="J26" s="315"/>
      <c r="K26" s="527"/>
      <c r="L26" s="315"/>
      <c r="M26" s="535"/>
      <c r="N26" s="527"/>
      <c r="O26" s="315"/>
      <c r="P26" s="314"/>
      <c r="Q26" s="97">
        <v>2200</v>
      </c>
    </row>
    <row r="27" spans="1:18" hidden="1">
      <c r="A27" s="610" t="s">
        <v>2005</v>
      </c>
      <c r="B27" s="846" t="s">
        <v>2006</v>
      </c>
      <c r="C27" s="526" t="s">
        <v>73</v>
      </c>
      <c r="D27" s="135"/>
      <c r="E27" s="135"/>
      <c r="F27" s="315"/>
      <c r="G27" s="527"/>
      <c r="H27" s="315"/>
      <c r="I27" s="528"/>
      <c r="J27" s="315"/>
      <c r="K27" s="527"/>
      <c r="L27" s="315"/>
      <c r="M27" s="535"/>
      <c r="N27" s="527"/>
      <c r="O27" s="315"/>
      <c r="P27" s="314"/>
      <c r="Q27" s="97">
        <v>390</v>
      </c>
    </row>
    <row r="28" spans="1:18" hidden="1">
      <c r="A28" s="610" t="s">
        <v>2007</v>
      </c>
      <c r="B28" s="846" t="s">
        <v>2008</v>
      </c>
      <c r="C28" s="526" t="s">
        <v>73</v>
      </c>
      <c r="D28" s="135"/>
      <c r="E28" s="135"/>
      <c r="F28" s="315"/>
      <c r="G28" s="527"/>
      <c r="H28" s="315"/>
      <c r="I28" s="528"/>
      <c r="J28" s="315"/>
      <c r="K28" s="527"/>
      <c r="L28" s="315"/>
      <c r="M28" s="535"/>
      <c r="N28" s="527"/>
      <c r="O28" s="315"/>
      <c r="P28" s="314"/>
      <c r="Q28" s="97">
        <v>5000</v>
      </c>
    </row>
    <row r="29" spans="1:18" hidden="1">
      <c r="A29" s="610" t="s">
        <v>2009</v>
      </c>
      <c r="B29" s="846" t="s">
        <v>2014</v>
      </c>
      <c r="C29" s="526" t="s">
        <v>73</v>
      </c>
      <c r="D29" s="135"/>
      <c r="E29" s="135"/>
      <c r="F29" s="315"/>
      <c r="G29" s="527"/>
      <c r="H29" s="315"/>
      <c r="I29" s="528"/>
      <c r="J29" s="315"/>
      <c r="K29" s="527"/>
      <c r="L29" s="315"/>
      <c r="M29" s="535"/>
      <c r="N29" s="527"/>
      <c r="O29" s="315"/>
      <c r="P29" s="314"/>
      <c r="Q29" s="97">
        <v>660</v>
      </c>
    </row>
    <row r="30" spans="1:18" hidden="1">
      <c r="A30" s="610" t="s">
        <v>2011</v>
      </c>
      <c r="B30" s="846" t="s">
        <v>2010</v>
      </c>
      <c r="C30" s="526" t="s">
        <v>276</v>
      </c>
      <c r="D30" s="135"/>
      <c r="E30" s="135"/>
      <c r="F30" s="315"/>
      <c r="G30" s="527"/>
      <c r="H30" s="315"/>
      <c r="I30" s="528"/>
      <c r="J30" s="315"/>
      <c r="K30" s="527"/>
      <c r="L30" s="315"/>
      <c r="M30" s="535"/>
      <c r="N30" s="527"/>
      <c r="O30" s="315"/>
      <c r="P30" s="314"/>
      <c r="Q30" s="97">
        <v>506</v>
      </c>
    </row>
    <row r="31" spans="1:18" hidden="1">
      <c r="A31" s="610" t="s">
        <v>2013</v>
      </c>
      <c r="B31" s="846" t="s">
        <v>2012</v>
      </c>
      <c r="C31" s="526" t="s">
        <v>276</v>
      </c>
      <c r="D31" s="135"/>
      <c r="E31" s="135"/>
      <c r="F31" s="315"/>
      <c r="G31" s="527"/>
      <c r="H31" s="315"/>
      <c r="I31" s="528"/>
      <c r="J31" s="315"/>
      <c r="K31" s="527"/>
      <c r="L31" s="315"/>
      <c r="M31" s="535"/>
      <c r="N31" s="527"/>
      <c r="O31" s="315"/>
      <c r="P31" s="314"/>
      <c r="Q31" s="97">
        <v>34.78</v>
      </c>
    </row>
    <row r="32" spans="1:18" hidden="1">
      <c r="A32" s="610" t="s">
        <v>2015</v>
      </c>
      <c r="B32" s="846" t="s">
        <v>2016</v>
      </c>
      <c r="C32" s="526" t="s">
        <v>73</v>
      </c>
      <c r="D32" s="135"/>
      <c r="E32" s="135"/>
      <c r="F32" s="315"/>
      <c r="G32" s="527"/>
      <c r="H32" s="315"/>
      <c r="I32" s="528"/>
      <c r="J32" s="315"/>
      <c r="K32" s="527"/>
      <c r="L32" s="315"/>
      <c r="M32" s="535"/>
      <c r="N32" s="527"/>
      <c r="O32" s="315"/>
      <c r="P32" s="314"/>
      <c r="Q32" s="97">
        <v>50</v>
      </c>
    </row>
    <row r="33" spans="1:17" hidden="1">
      <c r="A33" s="610" t="s">
        <v>2017</v>
      </c>
      <c r="B33" s="846" t="s">
        <v>2018</v>
      </c>
      <c r="C33" s="526" t="s">
        <v>73</v>
      </c>
      <c r="D33" s="135"/>
      <c r="E33" s="135"/>
      <c r="F33" s="315"/>
      <c r="G33" s="527"/>
      <c r="H33" s="315"/>
      <c r="I33" s="528"/>
      <c r="J33" s="315"/>
      <c r="K33" s="527"/>
      <c r="L33" s="315"/>
      <c r="M33" s="535"/>
      <c r="N33" s="527"/>
      <c r="O33" s="315"/>
      <c r="P33" s="314"/>
      <c r="Q33" s="97">
        <v>50</v>
      </c>
    </row>
    <row r="34" spans="1:17" hidden="1">
      <c r="A34" s="610" t="s">
        <v>2019</v>
      </c>
      <c r="B34" s="846" t="s">
        <v>2022</v>
      </c>
      <c r="C34" s="526" t="s">
        <v>73</v>
      </c>
      <c r="D34" s="135"/>
      <c r="E34" s="135"/>
      <c r="F34" s="315"/>
      <c r="G34" s="527"/>
      <c r="H34" s="315"/>
      <c r="I34" s="528"/>
      <c r="J34" s="315"/>
      <c r="K34" s="527"/>
      <c r="L34" s="315"/>
      <c r="M34" s="535"/>
      <c r="N34" s="527"/>
      <c r="O34" s="315"/>
      <c r="P34" s="314"/>
      <c r="Q34" s="97">
        <v>78</v>
      </c>
    </row>
    <row r="35" spans="1:17" hidden="1">
      <c r="A35" s="610" t="s">
        <v>2020</v>
      </c>
      <c r="B35" s="846" t="s">
        <v>2031</v>
      </c>
      <c r="C35" s="526" t="s">
        <v>73</v>
      </c>
      <c r="D35" s="135"/>
      <c r="E35" s="135"/>
      <c r="F35" s="315"/>
      <c r="G35" s="527"/>
      <c r="H35" s="315"/>
      <c r="I35" s="528"/>
      <c r="J35" s="315"/>
      <c r="K35" s="527"/>
      <c r="L35" s="315"/>
      <c r="M35" s="535"/>
      <c r="N35" s="527"/>
      <c r="O35" s="315"/>
      <c r="P35" s="314"/>
      <c r="Q35" s="984">
        <v>71</v>
      </c>
    </row>
    <row r="36" spans="1:17" hidden="1">
      <c r="A36" s="610" t="s">
        <v>2023</v>
      </c>
      <c r="B36" s="846" t="s">
        <v>2021</v>
      </c>
      <c r="C36" s="526" t="s">
        <v>73</v>
      </c>
      <c r="D36" s="135"/>
      <c r="E36" s="135"/>
      <c r="F36" s="315"/>
      <c r="G36" s="527"/>
      <c r="H36" s="315"/>
      <c r="I36" s="528"/>
      <c r="J36" s="315"/>
      <c r="K36" s="527"/>
      <c r="L36" s="315"/>
      <c r="M36" s="535"/>
      <c r="N36" s="527"/>
      <c r="O36" s="315"/>
      <c r="P36" s="314"/>
      <c r="Q36" s="984">
        <v>385</v>
      </c>
    </row>
    <row r="37" spans="1:17" hidden="1">
      <c r="A37" s="610" t="s">
        <v>2024</v>
      </c>
      <c r="B37" s="846" t="s">
        <v>2028</v>
      </c>
      <c r="C37" s="526" t="s">
        <v>2060</v>
      </c>
      <c r="D37" s="135"/>
      <c r="E37" s="135"/>
      <c r="F37" s="315"/>
      <c r="G37" s="527"/>
      <c r="H37" s="315"/>
      <c r="I37" s="528"/>
      <c r="J37" s="315"/>
      <c r="K37" s="527"/>
      <c r="L37" s="315"/>
      <c r="M37" s="535"/>
      <c r="N37" s="527"/>
      <c r="O37" s="315"/>
      <c r="P37" s="314"/>
      <c r="Q37" s="984">
        <v>100</v>
      </c>
    </row>
    <row r="38" spans="1:17" hidden="1">
      <c r="A38" s="610" t="s">
        <v>2026</v>
      </c>
      <c r="B38" s="846" t="s">
        <v>2025</v>
      </c>
      <c r="C38" s="526" t="s">
        <v>276</v>
      </c>
      <c r="D38" s="135"/>
      <c r="E38" s="135"/>
      <c r="F38" s="315"/>
      <c r="G38" s="527"/>
      <c r="H38" s="315"/>
      <c r="I38" s="528"/>
      <c r="J38" s="315"/>
      <c r="K38" s="527"/>
      <c r="L38" s="315"/>
      <c r="M38" s="535"/>
      <c r="N38" s="527"/>
      <c r="O38" s="315"/>
      <c r="P38" s="314"/>
      <c r="Q38" s="984">
        <v>107</v>
      </c>
    </row>
    <row r="39" spans="1:17" hidden="1">
      <c r="A39" s="610" t="s">
        <v>2029</v>
      </c>
      <c r="B39" s="846" t="s">
        <v>2027</v>
      </c>
      <c r="C39" s="526" t="s">
        <v>276</v>
      </c>
      <c r="D39" s="135"/>
      <c r="E39" s="135"/>
      <c r="F39" s="315"/>
      <c r="G39" s="527"/>
      <c r="H39" s="315"/>
      <c r="I39" s="528"/>
      <c r="J39" s="315"/>
      <c r="K39" s="527"/>
      <c r="L39" s="315"/>
      <c r="M39" s="535"/>
      <c r="N39" s="527"/>
      <c r="O39" s="315"/>
      <c r="P39" s="314"/>
      <c r="Q39" s="984">
        <v>105</v>
      </c>
    </row>
    <row r="40" spans="1:17" hidden="1">
      <c r="A40" s="610" t="s">
        <v>2030</v>
      </c>
      <c r="B40" s="846" t="s">
        <v>2004</v>
      </c>
      <c r="C40" s="526" t="s">
        <v>2060</v>
      </c>
      <c r="D40" s="135"/>
      <c r="E40" s="135"/>
      <c r="F40" s="315"/>
      <c r="G40" s="527"/>
      <c r="H40" s="315"/>
      <c r="I40" s="528"/>
      <c r="J40" s="315"/>
      <c r="K40" s="527"/>
      <c r="L40" s="315"/>
      <c r="M40" s="535"/>
      <c r="N40" s="527"/>
      <c r="O40" s="315"/>
      <c r="P40" s="314"/>
      <c r="Q40" s="984">
        <v>3800</v>
      </c>
    </row>
    <row r="41" spans="1:17">
      <c r="A41" s="981" t="s">
        <v>2032</v>
      </c>
      <c r="B41" s="846" t="s">
        <v>1201</v>
      </c>
      <c r="C41" s="526"/>
      <c r="D41" s="135"/>
      <c r="E41" s="135"/>
      <c r="F41" s="315"/>
      <c r="G41" s="527"/>
      <c r="H41" s="315"/>
      <c r="I41" s="528"/>
      <c r="J41" s="315"/>
      <c r="K41" s="527"/>
      <c r="L41" s="315"/>
      <c r="M41" s="535"/>
      <c r="N41" s="527"/>
      <c r="O41" s="315"/>
      <c r="P41" s="314"/>
      <c r="Q41" s="984"/>
    </row>
    <row r="42" spans="1:17">
      <c r="A42" s="982" t="s">
        <v>2034</v>
      </c>
      <c r="B42" s="846" t="s">
        <v>1946</v>
      </c>
      <c r="C42" s="526"/>
      <c r="D42" s="135"/>
      <c r="E42" s="135"/>
      <c r="F42" s="315"/>
      <c r="G42" s="527"/>
      <c r="H42" s="315"/>
      <c r="I42" s="528"/>
      <c r="J42" s="315"/>
      <c r="K42" s="527"/>
      <c r="L42" s="315"/>
      <c r="M42" s="535"/>
      <c r="N42" s="527"/>
      <c r="O42" s="315"/>
      <c r="P42" s="314"/>
      <c r="Q42" s="984"/>
    </row>
    <row r="43" spans="1:17">
      <c r="A43" s="982" t="s">
        <v>2035</v>
      </c>
      <c r="B43" s="846" t="s">
        <v>1947</v>
      </c>
      <c r="C43" s="526" t="s">
        <v>40</v>
      </c>
      <c r="D43" s="135"/>
      <c r="E43" s="135"/>
      <c r="F43" s="315"/>
      <c r="G43" s="527">
        <v>3.17</v>
      </c>
      <c r="H43" s="315"/>
      <c r="I43" s="528"/>
      <c r="J43" s="315"/>
      <c r="K43" s="527"/>
      <c r="L43" s="315"/>
      <c r="M43" s="535"/>
      <c r="N43" s="527"/>
      <c r="O43" s="315"/>
      <c r="P43" s="314"/>
      <c r="Q43" s="988">
        <v>3.17</v>
      </c>
    </row>
    <row r="44" spans="1:17">
      <c r="A44" s="982" t="s">
        <v>2036</v>
      </c>
      <c r="B44" s="846" t="s">
        <v>1991</v>
      </c>
      <c r="C44" s="526"/>
      <c r="D44" s="135"/>
      <c r="E44" s="135"/>
      <c r="F44" s="315"/>
      <c r="G44" s="527"/>
      <c r="H44" s="315"/>
      <c r="I44" s="528"/>
      <c r="J44" s="315"/>
      <c r="K44" s="527"/>
      <c r="L44" s="315"/>
      <c r="M44" s="535"/>
      <c r="N44" s="527"/>
      <c r="O44" s="315"/>
      <c r="P44" s="314"/>
      <c r="Q44" s="984"/>
    </row>
    <row r="45" spans="1:17">
      <c r="A45" s="982" t="s">
        <v>2037</v>
      </c>
      <c r="B45" s="846" t="s">
        <v>1992</v>
      </c>
      <c r="C45" s="526"/>
      <c r="D45" s="135"/>
      <c r="E45" s="135"/>
      <c r="F45" s="315"/>
      <c r="G45" s="527"/>
      <c r="H45" s="315"/>
      <c r="I45" s="528"/>
      <c r="J45" s="315"/>
      <c r="K45" s="527"/>
      <c r="L45" s="315"/>
      <c r="M45" s="535"/>
      <c r="N45" s="527"/>
      <c r="O45" s="315"/>
      <c r="P45" s="314"/>
      <c r="Q45" s="984"/>
    </row>
    <row r="46" spans="1:17">
      <c r="A46" s="982" t="s">
        <v>2039</v>
      </c>
      <c r="B46" s="846" t="s">
        <v>1993</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2040</v>
      </c>
      <c r="B47" s="846" t="s">
        <v>1994</v>
      </c>
      <c r="C47" s="526" t="s">
        <v>37</v>
      </c>
      <c r="D47" s="135"/>
      <c r="E47" s="135"/>
      <c r="F47" s="315"/>
      <c r="G47" s="527">
        <v>0</v>
      </c>
      <c r="H47" s="315"/>
      <c r="I47" s="528"/>
      <c r="J47" s="315"/>
      <c r="K47" s="527"/>
      <c r="L47" s="315"/>
      <c r="M47" s="535"/>
      <c r="N47" s="527"/>
      <c r="O47" s="315"/>
      <c r="P47" s="314"/>
      <c r="Q47" s="983">
        <f>87.87*0.6</f>
        <v>52.722000000000001</v>
      </c>
    </row>
    <row r="48" spans="1:17">
      <c r="A48" s="982" t="s">
        <v>2041</v>
      </c>
      <c r="B48" s="846" t="s">
        <v>1995</v>
      </c>
      <c r="C48" s="526" t="s">
        <v>1935</v>
      </c>
      <c r="D48" s="135"/>
      <c r="E48" s="135"/>
      <c r="F48" s="315"/>
      <c r="G48" s="527">
        <v>0</v>
      </c>
      <c r="H48" s="315"/>
      <c r="I48" s="528"/>
      <c r="J48" s="315"/>
      <c r="K48" s="527"/>
      <c r="L48" s="315"/>
      <c r="M48" s="535"/>
      <c r="N48" s="527"/>
      <c r="O48" s="315"/>
      <c r="P48" s="314"/>
      <c r="Q48" s="983">
        <f>183.3/2</f>
        <v>91.65</v>
      </c>
    </row>
    <row r="49" spans="1:17">
      <c r="A49" s="982" t="s">
        <v>2038</v>
      </c>
      <c r="B49" s="846" t="s">
        <v>1996</v>
      </c>
      <c r="C49" s="526"/>
      <c r="D49" s="135"/>
      <c r="E49" s="135"/>
      <c r="F49" s="315"/>
      <c r="G49" s="527"/>
      <c r="H49" s="315"/>
      <c r="I49" s="528"/>
      <c r="J49" s="315"/>
      <c r="K49" s="527"/>
      <c r="L49" s="315"/>
      <c r="M49" s="535"/>
      <c r="N49" s="527"/>
      <c r="O49" s="315"/>
      <c r="P49" s="314"/>
      <c r="Q49" s="983"/>
    </row>
    <row r="50" spans="1:17">
      <c r="A50" s="982" t="s">
        <v>2042</v>
      </c>
      <c r="B50" s="846" t="s">
        <v>1997</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2043</v>
      </c>
      <c r="B51" s="846" t="s">
        <v>1998</v>
      </c>
      <c r="C51" s="526" t="s">
        <v>37</v>
      </c>
      <c r="D51" s="135"/>
      <c r="E51" s="135"/>
      <c r="F51" s="315"/>
      <c r="G51" s="527">
        <v>0</v>
      </c>
      <c r="H51" s="315"/>
      <c r="I51" s="528"/>
      <c r="J51" s="315"/>
      <c r="K51" s="527"/>
      <c r="L51" s="315"/>
      <c r="M51" s="535"/>
      <c r="N51" s="527"/>
      <c r="O51" s="315"/>
      <c r="P51" s="314"/>
      <c r="Q51" s="983">
        <f>87.87*0.5</f>
        <v>43.935000000000002</v>
      </c>
    </row>
    <row r="52" spans="1:17">
      <c r="A52" s="982" t="s">
        <v>2044</v>
      </c>
      <c r="B52" s="846" t="s">
        <v>1999</v>
      </c>
      <c r="C52" s="526" t="s">
        <v>1935</v>
      </c>
      <c r="D52" s="135"/>
      <c r="E52" s="135"/>
      <c r="F52" s="315"/>
      <c r="G52" s="527">
        <v>0</v>
      </c>
      <c r="H52" s="315"/>
      <c r="I52" s="528"/>
      <c r="J52" s="315"/>
      <c r="K52" s="527"/>
      <c r="L52" s="315"/>
      <c r="M52" s="535"/>
      <c r="N52" s="527"/>
      <c r="O52" s="315"/>
      <c r="P52" s="314"/>
      <c r="Q52" s="983">
        <v>91.65</v>
      </c>
    </row>
    <row r="53" spans="1:17">
      <c r="A53" s="981" t="s">
        <v>2033</v>
      </c>
      <c r="B53" s="846" t="s">
        <v>1208</v>
      </c>
      <c r="C53" s="526"/>
      <c r="D53" s="135"/>
      <c r="E53" s="135"/>
      <c r="F53" s="315"/>
      <c r="G53" s="527"/>
      <c r="H53" s="315"/>
      <c r="I53" s="528"/>
      <c r="J53" s="315"/>
      <c r="K53" s="527"/>
      <c r="L53" s="315"/>
      <c r="M53" s="535"/>
      <c r="N53" s="527"/>
      <c r="O53" s="315"/>
      <c r="P53" s="314"/>
      <c r="Q53" s="983"/>
    </row>
    <row r="54" spans="1:17">
      <c r="A54" s="982" t="s">
        <v>2045</v>
      </c>
      <c r="B54" s="846" t="s">
        <v>1946</v>
      </c>
      <c r="C54" s="526"/>
      <c r="D54" s="135"/>
      <c r="E54" s="135"/>
      <c r="F54" s="315"/>
      <c r="G54" s="527"/>
      <c r="H54" s="315"/>
      <c r="I54" s="528"/>
      <c r="J54" s="315"/>
      <c r="K54" s="527"/>
      <c r="L54" s="315"/>
      <c r="M54" s="535"/>
      <c r="N54" s="527"/>
      <c r="O54" s="315"/>
      <c r="P54" s="314"/>
      <c r="Q54" s="983"/>
    </row>
    <row r="55" spans="1:17">
      <c r="A55" s="982" t="s">
        <v>2047</v>
      </c>
      <c r="B55" s="846" t="s">
        <v>1947</v>
      </c>
      <c r="C55" s="526" t="s">
        <v>40</v>
      </c>
      <c r="D55" s="135"/>
      <c r="E55" s="135"/>
      <c r="F55" s="315"/>
      <c r="G55" s="527">
        <v>23.759999999999998</v>
      </c>
      <c r="H55" s="315"/>
      <c r="I55" s="528"/>
      <c r="J55" s="315"/>
      <c r="K55" s="527"/>
      <c r="L55" s="315"/>
      <c r="M55" s="535"/>
      <c r="N55" s="527"/>
      <c r="O55" s="315"/>
      <c r="P55" s="314"/>
      <c r="Q55" s="988">
        <v>23.76</v>
      </c>
    </row>
    <row r="56" spans="1:17">
      <c r="A56" s="982" t="s">
        <v>2046</v>
      </c>
      <c r="B56" s="846" t="s">
        <v>1991</v>
      </c>
      <c r="C56" s="526"/>
      <c r="D56" s="135"/>
      <c r="E56" s="135"/>
      <c r="F56" s="315"/>
      <c r="G56" s="527"/>
      <c r="H56" s="315"/>
      <c r="I56" s="528"/>
      <c r="J56" s="315"/>
      <c r="K56" s="527"/>
      <c r="L56" s="315"/>
      <c r="M56" s="535"/>
      <c r="N56" s="527"/>
      <c r="O56" s="315"/>
      <c r="P56" s="314"/>
      <c r="Q56" s="983"/>
    </row>
    <row r="57" spans="1:17">
      <c r="A57" s="982" t="s">
        <v>2048</v>
      </c>
      <c r="B57" s="846" t="s">
        <v>1992</v>
      </c>
      <c r="C57" s="526"/>
      <c r="D57" s="135"/>
      <c r="E57" s="135"/>
      <c r="F57" s="315"/>
      <c r="G57" s="527"/>
      <c r="H57" s="315"/>
      <c r="I57" s="528"/>
      <c r="J57" s="315"/>
      <c r="K57" s="527"/>
      <c r="L57" s="315"/>
      <c r="M57" s="535"/>
      <c r="N57" s="527"/>
      <c r="O57" s="315"/>
      <c r="P57" s="314"/>
      <c r="Q57" s="983"/>
    </row>
    <row r="58" spans="1:17">
      <c r="A58" s="982" t="s">
        <v>2050</v>
      </c>
      <c r="B58" s="846" t="s">
        <v>1993</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2051</v>
      </c>
      <c r="B59" s="846" t="s">
        <v>1994</v>
      </c>
      <c r="C59" s="526" t="s">
        <v>37</v>
      </c>
      <c r="D59" s="135"/>
      <c r="E59" s="135"/>
      <c r="F59" s="315"/>
      <c r="G59" s="527">
        <v>0</v>
      </c>
      <c r="H59" s="315"/>
      <c r="I59" s="528"/>
      <c r="J59" s="315"/>
      <c r="K59" s="527"/>
      <c r="L59" s="315"/>
      <c r="M59" s="535"/>
      <c r="N59" s="527"/>
      <c r="O59" s="315"/>
      <c r="P59" s="314"/>
      <c r="Q59" s="983">
        <f>89.5*0.6</f>
        <v>53.699999999999996</v>
      </c>
    </row>
    <row r="60" spans="1:17">
      <c r="A60" s="982" t="s">
        <v>2052</v>
      </c>
      <c r="B60" s="846" t="s">
        <v>1995</v>
      </c>
      <c r="C60" s="526" t="s">
        <v>1935</v>
      </c>
      <c r="D60" s="135"/>
      <c r="E60" s="135"/>
      <c r="F60" s="315"/>
      <c r="G60" s="527">
        <v>0</v>
      </c>
      <c r="H60" s="315"/>
      <c r="I60" s="528"/>
      <c r="J60" s="315"/>
      <c r="K60" s="527"/>
      <c r="L60" s="315"/>
      <c r="M60" s="535"/>
      <c r="N60" s="527"/>
      <c r="O60" s="315"/>
      <c r="P60" s="314"/>
      <c r="Q60" s="983">
        <f>177.9/2</f>
        <v>88.95</v>
      </c>
    </row>
    <row r="61" spans="1:17">
      <c r="A61" s="982" t="s">
        <v>2049</v>
      </c>
      <c r="B61" s="846" t="s">
        <v>1996</v>
      </c>
      <c r="C61" s="526"/>
      <c r="D61" s="135"/>
      <c r="E61" s="135"/>
      <c r="F61" s="315"/>
      <c r="G61" s="527"/>
      <c r="H61" s="315"/>
      <c r="I61" s="528"/>
      <c r="J61" s="315"/>
      <c r="K61" s="527"/>
      <c r="L61" s="315"/>
      <c r="M61" s="535"/>
      <c r="N61" s="527"/>
      <c r="O61" s="315"/>
      <c r="P61" s="314"/>
      <c r="Q61" s="983"/>
    </row>
    <row r="62" spans="1:17">
      <c r="A62" s="982" t="s">
        <v>2053</v>
      </c>
      <c r="B62" s="846" t="s">
        <v>1997</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2054</v>
      </c>
      <c r="B63" s="846" t="s">
        <v>1998</v>
      </c>
      <c r="C63" s="526" t="s">
        <v>37</v>
      </c>
      <c r="D63" s="135"/>
      <c r="E63" s="135"/>
      <c r="F63" s="315"/>
      <c r="G63" s="527">
        <v>0</v>
      </c>
      <c r="H63" s="315"/>
      <c r="I63" s="528"/>
      <c r="J63" s="315"/>
      <c r="K63" s="527"/>
      <c r="L63" s="315"/>
      <c r="M63" s="535"/>
      <c r="N63" s="527"/>
      <c r="O63" s="315"/>
      <c r="P63" s="314"/>
      <c r="Q63" s="983">
        <f>89.5*0.5</f>
        <v>44.75</v>
      </c>
    </row>
    <row r="64" spans="1:17">
      <c r="A64" s="982" t="s">
        <v>2055</v>
      </c>
      <c r="B64" s="846" t="s">
        <v>1999</v>
      </c>
      <c r="C64" s="526" t="s">
        <v>1935</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c r="A65" s="981" t="s">
        <v>2056</v>
      </c>
      <c r="B65" s="616" t="s">
        <v>1210</v>
      </c>
      <c r="C65" s="841"/>
      <c r="D65" s="135"/>
      <c r="E65" s="135"/>
      <c r="F65" s="315"/>
      <c r="G65" s="527"/>
      <c r="H65" s="315"/>
      <c r="I65" s="528"/>
      <c r="J65" s="315"/>
      <c r="K65" s="527"/>
      <c r="L65" s="315"/>
      <c r="M65" s="535"/>
      <c r="N65" s="527"/>
      <c r="O65" s="315"/>
      <c r="P65" s="314"/>
      <c r="Q65" s="983"/>
    </row>
    <row r="66" spans="1:17">
      <c r="A66" s="982" t="s">
        <v>2057</v>
      </c>
      <c r="B66" s="846" t="s">
        <v>1946</v>
      </c>
      <c r="C66" s="841"/>
      <c r="D66" s="135"/>
      <c r="E66" s="135"/>
      <c r="F66" s="315"/>
      <c r="G66" s="527"/>
      <c r="H66" s="315"/>
      <c r="I66" s="528"/>
      <c r="J66" s="315"/>
      <c r="K66" s="527"/>
      <c r="L66" s="315"/>
      <c r="M66" s="535"/>
      <c r="N66" s="527"/>
      <c r="O66" s="315"/>
      <c r="P66" s="314"/>
      <c r="Q66" s="983"/>
    </row>
    <row r="67" spans="1:17">
      <c r="A67" s="982" t="s">
        <v>2058</v>
      </c>
      <c r="B67" s="846" t="s">
        <v>1947</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c r="A68" s="982" t="s">
        <v>2059</v>
      </c>
      <c r="B68" s="846" t="s">
        <v>2000</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583"/>
      <c r="H69" s="651">
        <f>SUM(H16:H16)</f>
        <v>52854.875800000002</v>
      </c>
      <c r="I69" s="2584"/>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583"/>
      <c r="H70" s="651">
        <f t="shared" ref="H70:H75" si="11">H$69*C70</f>
        <v>5481.0506204600006</v>
      </c>
      <c r="I70" s="2584"/>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583"/>
      <c r="H71" s="651">
        <f t="shared" si="11"/>
        <v>2572.6143421542806</v>
      </c>
      <c r="I71" s="2584"/>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583"/>
      <c r="H72" s="651">
        <f t="shared" si="11"/>
        <v>170.69522286811704</v>
      </c>
      <c r="I72" s="2584"/>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583"/>
      <c r="H73" s="651">
        <f t="shared" si="11"/>
        <v>1539.8757138525002</v>
      </c>
      <c r="I73" s="2584"/>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583"/>
      <c r="H74" s="651">
        <f t="shared" si="11"/>
        <v>813.3200054747598</v>
      </c>
      <c r="I74" s="2584"/>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583"/>
      <c r="H75" s="651">
        <f t="shared" si="11"/>
        <v>313.75939716289065</v>
      </c>
      <c r="I75" s="2584"/>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583"/>
      <c r="H76" s="655">
        <f>SUM(H69:H75)</f>
        <v>63746.191101972552</v>
      </c>
      <c r="I76" s="2584"/>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3.5" thickBot="1">
      <c r="A78" s="17"/>
      <c r="B78" s="30"/>
      <c r="C78" s="95"/>
      <c r="D78" s="31"/>
      <c r="E78" s="29"/>
      <c r="F78" s="50"/>
      <c r="G78" s="33"/>
      <c r="H78" s="32"/>
      <c r="I78" s="33"/>
      <c r="J78" s="34"/>
      <c r="K78" s="35"/>
      <c r="L78" s="34"/>
      <c r="M78" s="30"/>
      <c r="N78" s="29"/>
      <c r="O78" s="34"/>
      <c r="P78" s="34"/>
    </row>
    <row r="79" spans="1:17" ht="14.25" thickBot="1">
      <c r="A79" s="24"/>
      <c r="B79" s="36"/>
      <c r="C79" s="2585" t="s">
        <v>62</v>
      </c>
      <c r="D79" s="2586"/>
      <c r="E79" s="2586"/>
      <c r="F79" s="2586"/>
      <c r="G79" s="2587"/>
      <c r="H79" s="37">
        <f>+H69/F69</f>
        <v>0.60703975185870196</v>
      </c>
      <c r="I79" s="58"/>
      <c r="J79" s="37">
        <f>+J69/F69</f>
        <v>0.635067079078112</v>
      </c>
      <c r="K79" s="38"/>
      <c r="L79" s="40"/>
      <c r="M79" s="37">
        <f>+L69/F69</f>
        <v>1</v>
      </c>
      <c r="N79" s="39"/>
      <c r="O79" s="40"/>
      <c r="P79" s="37">
        <f>+O69/F69</f>
        <v>0</v>
      </c>
    </row>
    <row r="80" spans="1:17" ht="13.5">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 ref="K11:M11"/>
    <mergeCell ref="G12:G13"/>
    <mergeCell ref="H12:H13"/>
    <mergeCell ref="I12:I13"/>
    <mergeCell ref="J12:J13"/>
    <mergeCell ref="G69:G76"/>
    <mergeCell ref="I69:I76"/>
    <mergeCell ref="C79:G79"/>
    <mergeCell ref="K12:K13"/>
    <mergeCell ref="L12:L13"/>
    <mergeCell ref="D12:D13"/>
    <mergeCell ref="E12:E13"/>
    <mergeCell ref="F12:F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Y201"/>
  <sheetViews>
    <sheetView tabSelected="1" view="pageBreakPreview" topLeftCell="A118" zoomScale="85" zoomScaleNormal="70" zoomScaleSheetLayoutView="85" workbookViewId="0">
      <selection activeCell="L140" sqref="L140:P140"/>
    </sheetView>
  </sheetViews>
  <sheetFormatPr baseColWidth="10" defaultColWidth="11.5703125" defaultRowHeight="15"/>
  <cols>
    <col min="1" max="2" width="1.42578125" style="1458" customWidth="1"/>
    <col min="3" max="3" width="1.5703125" style="1458" customWidth="1"/>
    <col min="4" max="4" width="11.5703125" style="1458"/>
    <col min="5" max="5" width="2.42578125" style="1458" customWidth="1"/>
    <col min="6" max="6" width="12.42578125" style="1458" customWidth="1"/>
    <col min="7" max="9" width="2.42578125" style="1458" customWidth="1"/>
    <col min="10" max="10" width="1.5703125" style="1458" customWidth="1"/>
    <col min="11" max="11" width="11.5703125" style="1458"/>
    <col min="12" max="12" width="2" style="1458" customWidth="1"/>
    <col min="13" max="13" width="1.5703125" style="1458" customWidth="1"/>
    <col min="14" max="14" width="2.140625" style="1458" customWidth="1"/>
    <col min="15" max="15" width="11.5703125" style="1458"/>
    <col min="16" max="17" width="2.5703125" style="1458" customWidth="1"/>
    <col min="18" max="18" width="9.5703125" style="1458" customWidth="1"/>
    <col min="19" max="21" width="2.5703125" style="1458" customWidth="1"/>
    <col min="22" max="22" width="11.5703125" style="1458"/>
    <col min="23" max="23" width="5" style="1458" customWidth="1"/>
    <col min="24" max="24" width="0.5703125" style="1458" customWidth="1"/>
    <col min="25" max="25" width="5" style="1458" customWidth="1"/>
    <col min="26" max="26" width="8.5703125" style="1458" customWidth="1"/>
    <col min="27" max="27" width="2.5703125" style="1458" customWidth="1"/>
    <col min="28" max="28" width="5.5703125" style="1458" customWidth="1"/>
    <col min="29" max="29" width="8.42578125" style="1458" customWidth="1"/>
    <col min="30" max="30" width="4.42578125" style="1458" customWidth="1"/>
    <col min="31" max="31" width="18.42578125" style="1458" customWidth="1"/>
    <col min="32" max="33" width="3.42578125" style="1458" customWidth="1"/>
    <col min="34" max="34" width="9.5703125" style="1458" customWidth="1"/>
    <col min="35" max="36" width="3.42578125" style="1458" customWidth="1"/>
    <col min="37" max="37" width="14.5703125" style="1458" customWidth="1"/>
    <col min="38" max="39" width="2.5703125" style="1458" customWidth="1"/>
    <col min="40" max="40" width="8" style="1458" customWidth="1"/>
    <col min="41" max="41" width="6" style="1458" customWidth="1"/>
    <col min="42" max="42" width="9" style="1458" customWidth="1"/>
    <col min="43" max="43" width="17.42578125" style="1458" bestFit="1" customWidth="1"/>
    <col min="44" max="44" width="17.85546875" style="1458" customWidth="1"/>
    <col min="45" max="45" width="11.5703125" style="1458" bestFit="1" customWidth="1"/>
    <col min="46" max="46" width="25.28515625" style="1458" customWidth="1"/>
    <col min="47" max="50" width="11.5703125" style="1458" bestFit="1" customWidth="1"/>
    <col min="51" max="51" width="13.42578125" style="1458" bestFit="1" customWidth="1"/>
    <col min="52" max="16384" width="11.5703125" style="1458"/>
  </cols>
  <sheetData>
    <row r="1" spans="1:42">
      <c r="A1" s="1392"/>
      <c r="B1" s="3019" t="s">
        <v>1862</v>
      </c>
      <c r="C1" s="3019"/>
      <c r="D1" s="3019"/>
      <c r="E1" s="3019"/>
      <c r="F1" s="3019"/>
      <c r="G1" s="3019"/>
      <c r="H1" s="3019"/>
      <c r="I1" s="3019"/>
      <c r="J1" s="3019"/>
      <c r="K1" s="3019"/>
      <c r="L1" s="3019"/>
      <c r="M1" s="3019"/>
      <c r="N1" s="3019"/>
      <c r="O1" s="3019"/>
      <c r="P1" s="3019"/>
      <c r="Q1" s="3019"/>
      <c r="R1" s="3019"/>
      <c r="S1" s="3019"/>
      <c r="T1" s="3019"/>
      <c r="U1" s="3019"/>
      <c r="V1" s="3019"/>
      <c r="W1" s="3019"/>
      <c r="X1" s="3019"/>
      <c r="Y1" s="3019"/>
      <c r="Z1" s="3019"/>
      <c r="AA1" s="3019"/>
      <c r="AB1" s="3019"/>
      <c r="AC1" s="3019"/>
      <c r="AD1" s="3019"/>
      <c r="AE1" s="3019"/>
      <c r="AF1" s="3019"/>
      <c r="AG1" s="3019"/>
      <c r="AH1" s="3019"/>
      <c r="AI1" s="3019"/>
      <c r="AJ1" s="3019"/>
      <c r="AK1" s="3019"/>
      <c r="AL1" s="3019"/>
      <c r="AM1" s="3019"/>
      <c r="AN1" s="3019"/>
      <c r="AO1" s="3019"/>
      <c r="AP1" s="3019"/>
    </row>
    <row r="2" spans="1:42">
      <c r="A2" s="1501"/>
      <c r="B2" s="1502"/>
      <c r="C2" s="3020" t="s">
        <v>4382</v>
      </c>
      <c r="D2" s="3020"/>
      <c r="E2" s="3020"/>
      <c r="F2" s="3020"/>
      <c r="G2" s="3020"/>
      <c r="H2" s="3020"/>
      <c r="I2" s="3020"/>
      <c r="J2" s="3020"/>
      <c r="K2" s="3020"/>
      <c r="L2" s="3020"/>
      <c r="M2" s="3020"/>
      <c r="N2" s="3020"/>
      <c r="O2" s="3020"/>
      <c r="P2" s="3020"/>
      <c r="Q2" s="3020"/>
      <c r="R2" s="3020"/>
      <c r="S2" s="3020"/>
      <c r="T2" s="3020"/>
      <c r="U2" s="3020"/>
      <c r="V2" s="3020"/>
      <c r="W2" s="3020"/>
      <c r="X2" s="3020"/>
      <c r="Y2" s="3020"/>
      <c r="Z2" s="3020"/>
      <c r="AA2" s="3020"/>
      <c r="AB2" s="3020"/>
      <c r="AC2" s="3020"/>
      <c r="AD2" s="3020"/>
      <c r="AE2" s="3020"/>
      <c r="AF2" s="3020"/>
      <c r="AG2" s="3020"/>
      <c r="AH2" s="3020"/>
      <c r="AI2" s="3020"/>
      <c r="AJ2" s="3020"/>
      <c r="AK2" s="3020"/>
      <c r="AL2" s="3020"/>
      <c r="AM2" s="3020"/>
      <c r="AN2" s="3020"/>
      <c r="AO2" s="3020"/>
      <c r="AP2" s="1502"/>
    </row>
    <row r="3" spans="1:42">
      <c r="A3" s="1459"/>
      <c r="B3" s="3021" t="s">
        <v>4383</v>
      </c>
      <c r="C3" s="3021"/>
      <c r="D3" s="3021"/>
      <c r="E3" s="3021"/>
      <c r="F3" s="3021"/>
      <c r="G3" s="3021"/>
      <c r="H3" s="3021"/>
      <c r="I3" s="3021"/>
      <c r="J3" s="3021"/>
      <c r="K3" s="3021"/>
      <c r="L3" s="3021"/>
      <c r="M3" s="3021"/>
      <c r="N3" s="3021"/>
      <c r="O3" s="3021"/>
      <c r="P3" s="3021"/>
      <c r="Q3" s="3021"/>
      <c r="R3" s="3021"/>
      <c r="S3" s="3021"/>
      <c r="T3" s="3021"/>
      <c r="U3" s="3021"/>
      <c r="V3" s="3021"/>
      <c r="W3" s="3021"/>
      <c r="X3" s="3021"/>
      <c r="Y3" s="3021"/>
      <c r="Z3" s="3021"/>
      <c r="AA3" s="3021"/>
      <c r="AB3" s="3021"/>
      <c r="AC3" s="3021"/>
      <c r="AD3" s="3021"/>
      <c r="AE3" s="3021"/>
      <c r="AF3" s="3021"/>
      <c r="AG3" s="3021"/>
      <c r="AH3" s="3021"/>
      <c r="AI3" s="3021"/>
      <c r="AJ3" s="3021"/>
      <c r="AK3" s="3021"/>
      <c r="AL3" s="3021"/>
      <c r="AM3" s="3021"/>
      <c r="AN3" s="3021"/>
      <c r="AO3" s="3021"/>
      <c r="AP3" s="1459"/>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3022" t="s">
        <v>1863</v>
      </c>
      <c r="D5" s="3023"/>
      <c r="E5" s="3023"/>
      <c r="F5" s="3023"/>
      <c r="G5" s="3023"/>
      <c r="H5" s="3023"/>
      <c r="I5" s="3023"/>
      <c r="J5" s="3023"/>
      <c r="K5" s="3024"/>
      <c r="L5" s="767"/>
      <c r="M5" s="3025" t="s">
        <v>2233</v>
      </c>
      <c r="N5" s="3026"/>
      <c r="O5" s="3026"/>
      <c r="P5" s="3026"/>
      <c r="Q5" s="3026"/>
      <c r="R5" s="3026"/>
      <c r="S5" s="3026"/>
      <c r="T5" s="3026"/>
      <c r="U5" s="3026"/>
      <c r="V5" s="3026"/>
      <c r="W5" s="3026"/>
      <c r="X5" s="3026"/>
      <c r="Y5" s="3026"/>
      <c r="Z5" s="3026"/>
      <c r="AA5" s="3026"/>
      <c r="AB5" s="3026"/>
      <c r="AC5" s="3026"/>
      <c r="AD5" s="3026"/>
      <c r="AE5" s="3026"/>
      <c r="AF5" s="3026"/>
      <c r="AG5" s="3026"/>
      <c r="AH5" s="3026"/>
      <c r="AI5" s="3026"/>
      <c r="AJ5" s="3026"/>
      <c r="AK5" s="3026"/>
      <c r="AL5" s="3026"/>
      <c r="AM5" s="3026"/>
      <c r="AN5" s="3026"/>
      <c r="AO5" s="3027"/>
      <c r="AP5" s="776"/>
    </row>
    <row r="6" spans="1:42" ht="24" customHeight="1" thickBot="1">
      <c r="A6" s="776"/>
      <c r="B6" s="1145"/>
      <c r="C6" s="3022" t="s">
        <v>1864</v>
      </c>
      <c r="D6" s="3023"/>
      <c r="E6" s="3023"/>
      <c r="F6" s="3023"/>
      <c r="G6" s="3023"/>
      <c r="H6" s="3023"/>
      <c r="I6" s="3023"/>
      <c r="J6" s="3023"/>
      <c r="K6" s="3024"/>
      <c r="L6" s="767"/>
      <c r="M6" s="3025" t="str">
        <f>M5</f>
        <v>MEJORAMIENTO DEL SERVICIO EDUCATIVO EN LA IEP N° 54002 SANTA ROSA E IES SANTA ROSA DEL DISTRITO DE ABANCAY, PROVINCIA DE ABANCAY – REGIÓN APURÍMAC</v>
      </c>
      <c r="N6" s="3026"/>
      <c r="O6" s="3026"/>
      <c r="P6" s="3026"/>
      <c r="Q6" s="3026"/>
      <c r="R6" s="3026"/>
      <c r="S6" s="3026"/>
      <c r="T6" s="3026"/>
      <c r="U6" s="3026"/>
      <c r="V6" s="3026"/>
      <c r="W6" s="3026"/>
      <c r="X6" s="3026"/>
      <c r="Y6" s="3026"/>
      <c r="Z6" s="3026"/>
      <c r="AA6" s="3026"/>
      <c r="AB6" s="3026"/>
      <c r="AC6" s="3026"/>
      <c r="AD6" s="3026"/>
      <c r="AE6" s="3026"/>
      <c r="AF6" s="3026"/>
      <c r="AG6" s="3026"/>
      <c r="AH6" s="3026"/>
      <c r="AI6" s="3026"/>
      <c r="AJ6" s="3026"/>
      <c r="AK6" s="3026"/>
      <c r="AL6" s="3026"/>
      <c r="AM6" s="3026"/>
      <c r="AN6" s="3026"/>
      <c r="AO6" s="3027"/>
      <c r="AP6" s="776"/>
    </row>
    <row r="7" spans="1:42">
      <c r="A7" s="776"/>
      <c r="B7" s="1145"/>
      <c r="C7" s="3013" t="s">
        <v>1865</v>
      </c>
      <c r="D7" s="3014"/>
      <c r="E7" s="3014"/>
      <c r="F7" s="3014"/>
      <c r="G7" s="3014"/>
      <c r="H7" s="3014"/>
      <c r="I7" s="3014"/>
      <c r="J7" s="3014"/>
      <c r="K7" s="3015"/>
      <c r="L7" s="767"/>
      <c r="M7" s="3033" t="s">
        <v>67</v>
      </c>
      <c r="N7" s="3034"/>
      <c r="O7" s="3034"/>
      <c r="P7" s="3034"/>
      <c r="Q7" s="3034"/>
      <c r="R7" s="3034"/>
      <c r="S7" s="3034"/>
      <c r="T7" s="3034"/>
      <c r="U7" s="3034"/>
      <c r="V7" s="3034"/>
      <c r="W7" s="3034"/>
      <c r="X7" s="3034"/>
      <c r="Y7" s="3034"/>
      <c r="Z7" s="3034"/>
      <c r="AA7" s="3034"/>
      <c r="AB7" s="3034"/>
      <c r="AC7" s="3034"/>
      <c r="AD7" s="3034"/>
      <c r="AE7" s="3034"/>
      <c r="AF7" s="3034"/>
      <c r="AG7" s="3034"/>
      <c r="AH7" s="3034"/>
      <c r="AI7" s="3034"/>
      <c r="AJ7" s="3034"/>
      <c r="AK7" s="3034"/>
      <c r="AL7" s="3034"/>
      <c r="AM7" s="3034"/>
      <c r="AN7" s="3034"/>
      <c r="AO7" s="3035"/>
      <c r="AP7" s="776"/>
    </row>
    <row r="8" spans="1:42">
      <c r="A8" s="776"/>
      <c r="B8" s="1145"/>
      <c r="C8" s="3013" t="s">
        <v>1866</v>
      </c>
      <c r="D8" s="3014"/>
      <c r="E8" s="3014"/>
      <c r="F8" s="3014"/>
      <c r="G8" s="3014"/>
      <c r="H8" s="3014"/>
      <c r="I8" s="3014"/>
      <c r="J8" s="3014"/>
      <c r="K8" s="3015"/>
      <c r="L8" s="767"/>
      <c r="M8" s="3000" t="s">
        <v>2232</v>
      </c>
      <c r="N8" s="3001"/>
      <c r="O8" s="3001"/>
      <c r="P8" s="3001"/>
      <c r="Q8" s="3001"/>
      <c r="R8" s="3001"/>
      <c r="S8" s="3001"/>
      <c r="T8" s="3001"/>
      <c r="U8" s="3001"/>
      <c r="V8" s="3001"/>
      <c r="W8" s="3001"/>
      <c r="X8" s="3001"/>
      <c r="Y8" s="3001"/>
      <c r="Z8" s="3001"/>
      <c r="AA8" s="3001"/>
      <c r="AB8" s="3001"/>
      <c r="AC8" s="3001"/>
      <c r="AD8" s="3001"/>
      <c r="AE8" s="3001"/>
      <c r="AF8" s="3001"/>
      <c r="AG8" s="3001"/>
      <c r="AH8" s="3001"/>
      <c r="AI8" s="3001"/>
      <c r="AJ8" s="3001"/>
      <c r="AK8" s="3001"/>
      <c r="AL8" s="3001"/>
      <c r="AM8" s="3001"/>
      <c r="AN8" s="3001"/>
      <c r="AO8" s="3002"/>
      <c r="AP8" s="776"/>
    </row>
    <row r="9" spans="1:42">
      <c r="A9" s="776"/>
      <c r="B9" s="1145"/>
      <c r="C9" s="3013" t="s">
        <v>1867</v>
      </c>
      <c r="D9" s="3014"/>
      <c r="E9" s="3014"/>
      <c r="F9" s="3014"/>
      <c r="G9" s="3014"/>
      <c r="H9" s="3014"/>
      <c r="I9" s="3014"/>
      <c r="J9" s="3014"/>
      <c r="K9" s="3015"/>
      <c r="L9" s="767"/>
      <c r="M9" s="3000" t="s">
        <v>4399</v>
      </c>
      <c r="N9" s="3001"/>
      <c r="O9" s="3001"/>
      <c r="P9" s="3001"/>
      <c r="Q9" s="3001"/>
      <c r="R9" s="3001"/>
      <c r="S9" s="3001"/>
      <c r="T9" s="3001"/>
      <c r="U9" s="3001"/>
      <c r="V9" s="3001"/>
      <c r="W9" s="3001"/>
      <c r="X9" s="3001"/>
      <c r="Y9" s="3001"/>
      <c r="Z9" s="3001"/>
      <c r="AA9" s="3001"/>
      <c r="AB9" s="3001"/>
      <c r="AC9" s="3001"/>
      <c r="AD9" s="3001"/>
      <c r="AE9" s="3001"/>
      <c r="AF9" s="3001"/>
      <c r="AG9" s="3001"/>
      <c r="AH9" s="3001"/>
      <c r="AI9" s="3001"/>
      <c r="AJ9" s="3001"/>
      <c r="AK9" s="3001"/>
      <c r="AL9" s="3001"/>
      <c r="AM9" s="3001"/>
      <c r="AN9" s="3001"/>
      <c r="AO9" s="3002"/>
      <c r="AP9" s="776"/>
    </row>
    <row r="10" spans="1:42">
      <c r="A10" s="776"/>
      <c r="B10" s="1145"/>
      <c r="C10" s="3013" t="s">
        <v>1868</v>
      </c>
      <c r="D10" s="3014"/>
      <c r="E10" s="3014"/>
      <c r="F10" s="3014"/>
      <c r="G10" s="3014"/>
      <c r="H10" s="3014"/>
      <c r="I10" s="3014"/>
      <c r="J10" s="3014"/>
      <c r="K10" s="3015"/>
      <c r="L10" s="767"/>
      <c r="M10" s="3000" t="s">
        <v>4397</v>
      </c>
      <c r="N10" s="3001"/>
      <c r="O10" s="3001"/>
      <c r="P10" s="3001"/>
      <c r="Q10" s="3001"/>
      <c r="R10" s="3001"/>
      <c r="S10" s="3001"/>
      <c r="T10" s="3001"/>
      <c r="U10" s="3001"/>
      <c r="V10" s="3001"/>
      <c r="W10" s="3001"/>
      <c r="X10" s="3001"/>
      <c r="Y10" s="3001"/>
      <c r="Z10" s="3001"/>
      <c r="AA10" s="3001"/>
      <c r="AB10" s="3001"/>
      <c r="AC10" s="3001"/>
      <c r="AD10" s="3001"/>
      <c r="AE10" s="3001"/>
      <c r="AF10" s="3001"/>
      <c r="AG10" s="3001"/>
      <c r="AH10" s="3001"/>
      <c r="AI10" s="3001"/>
      <c r="AJ10" s="3001"/>
      <c r="AK10" s="3001"/>
      <c r="AL10" s="3001"/>
      <c r="AM10" s="3001"/>
      <c r="AN10" s="3001"/>
      <c r="AO10" s="3002"/>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3013" t="s">
        <v>1869</v>
      </c>
      <c r="D12" s="3014"/>
      <c r="E12" s="3014"/>
      <c r="F12" s="3014"/>
      <c r="G12" s="3014"/>
      <c r="H12" s="3014"/>
      <c r="I12" s="3014"/>
      <c r="J12" s="3014"/>
      <c r="K12" s="3015"/>
      <c r="L12" s="767"/>
      <c r="M12" s="3028">
        <v>44681</v>
      </c>
      <c r="N12" s="3029"/>
      <c r="O12" s="3029"/>
      <c r="P12" s="3029"/>
      <c r="Q12" s="3029"/>
      <c r="R12" s="3029"/>
      <c r="S12" s="3029"/>
      <c r="T12" s="3029"/>
      <c r="U12" s="3029"/>
      <c r="V12" s="3029"/>
      <c r="W12" s="3029"/>
      <c r="X12" s="3029"/>
      <c r="Y12" s="3029"/>
      <c r="Z12" s="3029"/>
      <c r="AA12" s="3029"/>
      <c r="AB12" s="3029"/>
      <c r="AC12" s="3029"/>
      <c r="AD12" s="3029"/>
      <c r="AE12" s="3029"/>
      <c r="AF12" s="3029"/>
      <c r="AG12" s="3029"/>
      <c r="AH12" s="3029"/>
      <c r="AI12" s="3029"/>
      <c r="AJ12" s="3029"/>
      <c r="AK12" s="3029"/>
      <c r="AL12" s="3029"/>
      <c r="AM12" s="3029"/>
      <c r="AN12" s="3029"/>
      <c r="AO12" s="3030"/>
      <c r="AP12" s="776"/>
    </row>
    <row r="13" spans="1:42">
      <c r="A13" s="3031"/>
      <c r="B13" s="3031"/>
      <c r="C13" s="3031"/>
      <c r="D13" s="3031"/>
      <c r="E13" s="3031"/>
      <c r="F13" s="3031"/>
      <c r="G13" s="3031"/>
      <c r="H13" s="3031"/>
      <c r="I13" s="3031"/>
      <c r="J13" s="3031"/>
      <c r="K13" s="3031"/>
      <c r="L13" s="3031"/>
      <c r="M13" s="3031"/>
      <c r="N13" s="3031"/>
      <c r="O13" s="3031"/>
      <c r="P13" s="3031"/>
      <c r="Q13" s="3031"/>
      <c r="R13" s="3031"/>
      <c r="S13" s="3031"/>
      <c r="T13" s="3031"/>
      <c r="U13" s="3031"/>
      <c r="V13" s="3031"/>
      <c r="W13" s="3031"/>
      <c r="X13" s="3031"/>
      <c r="Y13" s="3031"/>
      <c r="Z13" s="3031"/>
      <c r="AA13" s="3031"/>
      <c r="AB13" s="3031"/>
      <c r="AC13" s="3031"/>
      <c r="AD13" s="3031"/>
      <c r="AE13" s="3031"/>
      <c r="AF13" s="3031"/>
      <c r="AG13" s="3031"/>
      <c r="AH13" s="3031"/>
      <c r="AI13" s="3031"/>
      <c r="AJ13" s="3031"/>
      <c r="AK13" s="3031"/>
      <c r="AL13" s="3031"/>
      <c r="AM13" s="3031"/>
      <c r="AN13" s="3031"/>
      <c r="AO13" s="3031"/>
      <c r="AP13" s="776"/>
    </row>
    <row r="14" spans="1:42" ht="12.75" customHeight="1">
      <c r="A14" s="3032" t="s">
        <v>1870</v>
      </c>
      <c r="B14" s="3032"/>
      <c r="C14" s="3032"/>
      <c r="D14" s="3032"/>
      <c r="E14" s="3032"/>
      <c r="F14" s="3032"/>
      <c r="G14" s="3032"/>
      <c r="H14" s="3032"/>
      <c r="I14" s="3032"/>
      <c r="J14" s="3032"/>
      <c r="K14" s="3031"/>
      <c r="L14" s="3031"/>
      <c r="M14" s="3031"/>
      <c r="N14" s="3031"/>
      <c r="O14" s="3031"/>
      <c r="P14" s="3031"/>
      <c r="Q14" s="3031"/>
      <c r="R14" s="3031"/>
      <c r="S14" s="3031"/>
      <c r="T14" s="3031"/>
      <c r="U14" s="3031"/>
      <c r="V14" s="3031"/>
      <c r="W14" s="3031"/>
      <c r="X14" s="3031"/>
      <c r="Y14" s="3031"/>
      <c r="Z14" s="3031"/>
      <c r="AA14" s="3031"/>
      <c r="AB14" s="3031"/>
      <c r="AC14" s="3031"/>
      <c r="AD14" s="3031"/>
      <c r="AE14" s="3031"/>
      <c r="AF14" s="3031"/>
      <c r="AG14" s="3031"/>
      <c r="AH14" s="3031"/>
      <c r="AI14" s="3031"/>
      <c r="AJ14" s="3031"/>
      <c r="AK14" s="3031"/>
      <c r="AL14" s="3031"/>
      <c r="AM14" s="3031"/>
      <c r="AN14" s="3031"/>
      <c r="AO14" s="3031"/>
      <c r="AP14" s="1485"/>
    </row>
    <row r="15" spans="1:42" ht="12.75" customHeight="1">
      <c r="A15" s="3032"/>
      <c r="B15" s="3032"/>
      <c r="C15" s="3032"/>
      <c r="D15" s="3032"/>
      <c r="E15" s="3032"/>
      <c r="F15" s="3032"/>
      <c r="G15" s="3032"/>
      <c r="H15" s="3032"/>
      <c r="I15" s="3032"/>
      <c r="J15" s="3032"/>
      <c r="K15" s="3031"/>
      <c r="L15" s="3031"/>
      <c r="M15" s="3031"/>
      <c r="N15" s="3031"/>
      <c r="O15" s="3031"/>
      <c r="P15" s="3031"/>
      <c r="Q15" s="3031"/>
      <c r="R15" s="3031"/>
      <c r="S15" s="3031"/>
      <c r="T15" s="3031"/>
      <c r="U15" s="3031"/>
      <c r="V15" s="3031"/>
      <c r="W15" s="3031"/>
      <c r="X15" s="3031"/>
      <c r="Y15" s="3031"/>
      <c r="Z15" s="3031"/>
      <c r="AA15" s="3031"/>
      <c r="AB15" s="3031"/>
      <c r="AC15" s="3031"/>
      <c r="AD15" s="3031"/>
      <c r="AE15" s="3031"/>
      <c r="AF15" s="3031"/>
      <c r="AG15" s="3031"/>
      <c r="AH15" s="3031"/>
      <c r="AI15" s="3031"/>
      <c r="AJ15" s="3031"/>
      <c r="AK15" s="3031"/>
      <c r="AL15" s="3031"/>
      <c r="AM15" s="3031"/>
      <c r="AN15" s="3031"/>
      <c r="AO15" s="3031"/>
      <c r="AP15" s="1485"/>
    </row>
    <row r="16" spans="1:42">
      <c r="A16" s="3032" t="s">
        <v>2176</v>
      </c>
      <c r="B16" s="3032"/>
      <c r="C16" s="3032"/>
      <c r="D16" s="3032"/>
      <c r="E16" s="3032"/>
      <c r="F16" s="3032"/>
      <c r="G16" s="3032"/>
      <c r="H16" s="3032"/>
      <c r="I16" s="3032"/>
      <c r="J16" s="3032"/>
      <c r="K16" s="3031"/>
      <c r="L16" s="3031"/>
      <c r="M16" s="3031"/>
      <c r="N16" s="3031"/>
      <c r="O16" s="3031"/>
      <c r="P16" s="3031"/>
      <c r="Q16" s="3031"/>
      <c r="R16" s="3031"/>
      <c r="S16" s="3031"/>
      <c r="T16" s="3031"/>
      <c r="U16" s="3031"/>
      <c r="V16" s="3031"/>
      <c r="W16" s="3031"/>
      <c r="X16" s="3031"/>
      <c r="Y16" s="3031"/>
      <c r="Z16" s="3031"/>
      <c r="AA16" s="3031"/>
      <c r="AB16" s="3031"/>
      <c r="AC16" s="3031"/>
      <c r="AD16" s="3031"/>
      <c r="AE16" s="3031"/>
      <c r="AF16" s="3031"/>
      <c r="AG16" s="3031"/>
      <c r="AH16" s="3031"/>
      <c r="AI16" s="3031"/>
      <c r="AJ16" s="3031"/>
      <c r="AK16" s="3031"/>
      <c r="AL16" s="3031"/>
      <c r="AM16" s="3031"/>
      <c r="AN16" s="3031"/>
      <c r="AO16" s="3031"/>
      <c r="AP16" s="1485"/>
    </row>
    <row r="17" spans="1:42">
      <c r="A17" s="2193"/>
      <c r="B17" s="2193"/>
      <c r="C17" s="2193"/>
      <c r="D17" s="2204" t="s">
        <v>4313</v>
      </c>
      <c r="E17" s="2193"/>
      <c r="F17" s="2193"/>
      <c r="G17" s="2193"/>
      <c r="H17" s="2193"/>
      <c r="I17" s="2193"/>
      <c r="J17" s="2193"/>
      <c r="K17" s="2192"/>
      <c r="L17" s="2192"/>
      <c r="M17" s="2192"/>
      <c r="N17" s="2192"/>
      <c r="O17" s="2192"/>
      <c r="P17" s="2192"/>
      <c r="Q17" s="2192"/>
      <c r="R17" s="2192"/>
      <c r="S17" s="2192"/>
      <c r="T17" s="2192"/>
      <c r="U17" s="2192"/>
      <c r="V17" s="2192"/>
      <c r="W17" s="2192"/>
      <c r="X17" s="2192"/>
      <c r="Y17" s="2192"/>
      <c r="Z17" s="2192"/>
      <c r="AA17" s="2192"/>
      <c r="AB17" s="2192"/>
      <c r="AC17" s="2192"/>
      <c r="AD17" s="2192"/>
      <c r="AE17" s="2192"/>
      <c r="AF17" s="2192"/>
      <c r="AG17" s="2192"/>
      <c r="AH17" s="2192"/>
      <c r="AI17" s="2192"/>
      <c r="AJ17" s="2192"/>
      <c r="AK17" s="2192"/>
      <c r="AL17" s="2192"/>
      <c r="AM17" s="2192"/>
      <c r="AN17" s="2192"/>
      <c r="AO17" s="2192"/>
      <c r="AP17" s="2192"/>
    </row>
    <row r="18" spans="1:42">
      <c r="A18" s="1485"/>
      <c r="B18" s="1485"/>
      <c r="C18" s="1485"/>
      <c r="D18" s="1357"/>
      <c r="E18" s="1357"/>
      <c r="F18" s="1357"/>
      <c r="G18" s="1357"/>
      <c r="H18" s="1357"/>
      <c r="I18" s="1357"/>
      <c r="J18" s="1357"/>
      <c r="K18" s="1485"/>
      <c r="L18" s="1485"/>
      <c r="M18" s="1485"/>
      <c r="N18" s="1485"/>
      <c r="O18" s="1485"/>
      <c r="P18" s="1485"/>
      <c r="Q18" s="1485"/>
      <c r="R18" s="1485"/>
      <c r="S18" s="1485"/>
      <c r="T18" s="1485"/>
      <c r="U18" s="1485"/>
      <c r="V18" s="1485"/>
      <c r="W18" s="1485"/>
      <c r="X18" s="1485"/>
      <c r="Y18" s="1485"/>
      <c r="Z18" s="1485"/>
      <c r="AA18" s="1485"/>
      <c r="AB18" s="1485"/>
      <c r="AC18" s="1485"/>
      <c r="AD18" s="1485"/>
      <c r="AE18" s="1485"/>
      <c r="AF18" s="1485"/>
      <c r="AG18" s="1485"/>
      <c r="AH18" s="1485"/>
      <c r="AI18" s="1485"/>
      <c r="AJ18" s="1485"/>
      <c r="AK18" s="1485"/>
      <c r="AL18" s="1485"/>
      <c r="AM18" s="1145"/>
      <c r="AN18" s="1145"/>
      <c r="AO18" s="1145"/>
      <c r="AP18" s="1485"/>
    </row>
    <row r="19" spans="1:42">
      <c r="A19" s="1485"/>
      <c r="B19" s="1485"/>
      <c r="C19" s="768"/>
      <c r="D19" s="1484"/>
      <c r="E19" s="1357"/>
      <c r="F19" s="1357"/>
      <c r="G19" s="1357"/>
      <c r="H19" s="1357"/>
      <c r="I19" s="1357"/>
      <c r="J19" s="1357"/>
      <c r="K19" s="769" t="s">
        <v>1871</v>
      </c>
      <c r="L19" s="3007" t="s">
        <v>10</v>
      </c>
      <c r="M19" s="3008"/>
      <c r="N19" s="3008"/>
      <c r="O19" s="3008"/>
      <c r="P19" s="3008"/>
      <c r="Q19" s="3008"/>
      <c r="R19" s="3008"/>
      <c r="S19" s="3008"/>
      <c r="T19" s="3008"/>
      <c r="U19" s="3008"/>
      <c r="V19" s="3008"/>
      <c r="W19" s="3009"/>
      <c r="X19" s="770"/>
      <c r="Y19" s="770"/>
      <c r="Z19" s="767"/>
      <c r="AA19" s="767"/>
      <c r="AB19" s="771" t="s">
        <v>1872</v>
      </c>
      <c r="AC19" s="3010" t="s">
        <v>535</v>
      </c>
      <c r="AD19" s="3011"/>
      <c r="AE19" s="3011"/>
      <c r="AF19" s="3011"/>
      <c r="AG19" s="3011"/>
      <c r="AH19" s="3011"/>
      <c r="AI19" s="3011"/>
      <c r="AJ19" s="3011"/>
      <c r="AK19" s="3011"/>
      <c r="AL19" s="3011"/>
      <c r="AM19" s="3011"/>
      <c r="AN19" s="3011"/>
      <c r="AO19" s="3012"/>
      <c r="AP19" s="1485"/>
    </row>
    <row r="20" spans="1:42">
      <c r="A20" s="1485"/>
      <c r="B20" s="1485"/>
      <c r="C20" s="768"/>
      <c r="D20" s="1484"/>
      <c r="E20" s="1357"/>
      <c r="F20" s="1484"/>
      <c r="G20" s="1357"/>
      <c r="H20" s="1357"/>
      <c r="I20" s="1357"/>
      <c r="J20" s="1357"/>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85"/>
    </row>
    <row r="21" spans="1:42">
      <c r="A21" s="1485"/>
      <c r="B21" s="1485"/>
      <c r="C21" s="768"/>
      <c r="D21" s="1484"/>
      <c r="E21" s="1357"/>
      <c r="F21" s="1484"/>
      <c r="G21" s="1357"/>
      <c r="H21" s="1357"/>
      <c r="I21" s="1357"/>
      <c r="J21" s="1357"/>
      <c r="K21" s="772" t="s">
        <v>1873</v>
      </c>
      <c r="L21" s="3007" t="s">
        <v>535</v>
      </c>
      <c r="M21" s="3008"/>
      <c r="N21" s="3008"/>
      <c r="O21" s="3008"/>
      <c r="P21" s="3008"/>
      <c r="Q21" s="3008"/>
      <c r="R21" s="3008"/>
      <c r="S21" s="3008"/>
      <c r="T21" s="3008"/>
      <c r="U21" s="3008"/>
      <c r="V21" s="3008"/>
      <c r="W21" s="3009"/>
      <c r="X21" s="770"/>
      <c r="Y21" s="775"/>
      <c r="Z21" s="775"/>
      <c r="AA21" s="775"/>
      <c r="AB21" s="775"/>
      <c r="AC21" s="775"/>
      <c r="AD21" s="775"/>
      <c r="AE21" s="775"/>
      <c r="AF21" s="775"/>
      <c r="AG21" s="775"/>
      <c r="AH21" s="775"/>
      <c r="AI21" s="775"/>
      <c r="AJ21" s="775"/>
      <c r="AK21" s="775"/>
      <c r="AL21" s="775"/>
      <c r="AM21" s="775"/>
      <c r="AN21" s="775"/>
      <c r="AO21" s="775"/>
      <c r="AP21" s="1485"/>
    </row>
    <row r="22" spans="1:42">
      <c r="A22" s="1485"/>
      <c r="B22" s="1485"/>
      <c r="C22" s="768"/>
      <c r="D22" s="1484"/>
      <c r="E22" s="1357"/>
      <c r="F22" s="1484"/>
      <c r="G22" s="1357"/>
      <c r="H22" s="1357"/>
      <c r="I22" s="1357"/>
      <c r="J22" s="1357"/>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85"/>
    </row>
    <row r="23" spans="1:42">
      <c r="A23" s="1485"/>
      <c r="B23" s="1485"/>
      <c r="C23" s="768"/>
      <c r="D23" s="1484"/>
      <c r="E23" s="1357"/>
      <c r="F23" s="1484"/>
      <c r="G23" s="1357"/>
      <c r="H23" s="1357"/>
      <c r="I23" s="1357"/>
      <c r="J23" s="1357"/>
      <c r="K23" s="772" t="s">
        <v>1874</v>
      </c>
      <c r="L23" s="3013" t="s">
        <v>4391</v>
      </c>
      <c r="M23" s="3014"/>
      <c r="N23" s="3014"/>
      <c r="O23" s="3014"/>
      <c r="P23" s="3014"/>
      <c r="Q23" s="3014"/>
      <c r="R23" s="3014"/>
      <c r="S23" s="3014"/>
      <c r="T23" s="3014"/>
      <c r="U23" s="3014"/>
      <c r="V23" s="3014"/>
      <c r="W23" s="3014"/>
      <c r="X23" s="3014"/>
      <c r="Y23" s="3014"/>
      <c r="Z23" s="3014"/>
      <c r="AA23" s="3014"/>
      <c r="AB23" s="3014"/>
      <c r="AC23" s="3014"/>
      <c r="AD23" s="3014"/>
      <c r="AE23" s="3014"/>
      <c r="AF23" s="3014"/>
      <c r="AG23" s="3014"/>
      <c r="AH23" s="3014"/>
      <c r="AI23" s="3014"/>
      <c r="AJ23" s="3014"/>
      <c r="AK23" s="3014"/>
      <c r="AL23" s="3014"/>
      <c r="AM23" s="3014"/>
      <c r="AN23" s="3014"/>
      <c r="AO23" s="3015"/>
      <c r="AP23" s="1485"/>
    </row>
    <row r="24" spans="1:42" ht="9.75" customHeight="1">
      <c r="A24" s="1485"/>
      <c r="B24" s="1485"/>
      <c r="C24" s="768"/>
      <c r="D24" s="1484"/>
      <c r="E24" s="1357"/>
      <c r="F24" s="1357"/>
      <c r="G24" s="1357"/>
      <c r="H24" s="1357"/>
      <c r="I24" s="1357"/>
      <c r="J24" s="1357"/>
      <c r="K24" s="1485"/>
      <c r="L24" s="1485"/>
      <c r="M24" s="1485"/>
      <c r="N24" s="1485"/>
      <c r="O24" s="1485"/>
      <c r="P24" s="1485"/>
      <c r="Q24" s="1485"/>
      <c r="R24" s="1485"/>
      <c r="S24" s="1485"/>
      <c r="T24" s="1485"/>
      <c r="U24" s="1485"/>
      <c r="V24" s="1485"/>
      <c r="W24" s="1485"/>
      <c r="X24" s="1485"/>
      <c r="Y24" s="1485"/>
      <c r="Z24" s="1485"/>
      <c r="AA24" s="1485"/>
      <c r="AB24" s="1485"/>
      <c r="AC24" s="1485"/>
      <c r="AD24" s="1485"/>
      <c r="AE24" s="1485"/>
      <c r="AF24" s="1485"/>
      <c r="AG24" s="1485"/>
      <c r="AH24" s="1485"/>
      <c r="AI24" s="1485"/>
      <c r="AJ24" s="1485"/>
      <c r="AK24" s="1485"/>
      <c r="AL24" s="1485"/>
      <c r="AM24" s="1145"/>
      <c r="AN24" s="1145"/>
      <c r="AO24" s="1145"/>
      <c r="AP24" s="1485"/>
    </row>
    <row r="25" spans="1:42" ht="12" customHeight="1">
      <c r="A25" s="2192"/>
      <c r="B25" s="2192"/>
      <c r="C25" s="768"/>
      <c r="D25" s="2204" t="s">
        <v>4314</v>
      </c>
      <c r="E25" s="1357"/>
      <c r="F25" s="1357"/>
      <c r="G25" s="1357"/>
      <c r="H25" s="1357"/>
      <c r="I25" s="1357"/>
      <c r="J25" s="1357"/>
      <c r="K25" s="2192"/>
      <c r="L25" s="2192"/>
      <c r="M25" s="2192"/>
      <c r="N25" s="2192"/>
      <c r="O25" s="2192"/>
      <c r="P25" s="2192"/>
      <c r="Q25" s="2192"/>
      <c r="R25" s="2192"/>
      <c r="S25" s="2192"/>
      <c r="T25" s="2192"/>
      <c r="U25" s="2192"/>
      <c r="V25" s="2192"/>
      <c r="W25" s="2192"/>
      <c r="X25" s="2192"/>
      <c r="Y25" s="2192"/>
      <c r="Z25" s="2192"/>
      <c r="AA25" s="2192"/>
      <c r="AB25" s="2192"/>
      <c r="AC25" s="2192"/>
      <c r="AD25" s="2192"/>
      <c r="AE25" s="2192"/>
      <c r="AF25" s="2192"/>
      <c r="AG25" s="2192"/>
      <c r="AH25" s="2192"/>
      <c r="AI25" s="2192"/>
      <c r="AJ25" s="2192"/>
      <c r="AK25" s="2192"/>
      <c r="AL25" s="2192"/>
      <c r="AM25" s="1145"/>
      <c r="AN25" s="1145"/>
      <c r="AO25" s="1145"/>
      <c r="AP25" s="2192"/>
    </row>
    <row r="26" spans="1:42" ht="9.75" customHeight="1">
      <c r="A26" s="2192"/>
      <c r="B26" s="2192"/>
      <c r="C26" s="768"/>
      <c r="D26" s="2190"/>
      <c r="E26" s="1357"/>
      <c r="F26" s="1357"/>
      <c r="G26" s="1357"/>
      <c r="H26" s="1357"/>
      <c r="I26" s="1357"/>
      <c r="J26" s="1357"/>
      <c r="K26" s="2192"/>
      <c r="L26" s="2192"/>
      <c r="M26" s="2192"/>
      <c r="N26" s="2192"/>
      <c r="O26" s="2192"/>
      <c r="P26" s="2192"/>
      <c r="Q26" s="2192"/>
      <c r="R26" s="2192"/>
      <c r="S26" s="2192"/>
      <c r="T26" s="2192"/>
      <c r="U26" s="2192"/>
      <c r="V26" s="2192"/>
      <c r="W26" s="2192"/>
      <c r="X26" s="2192"/>
      <c r="Y26" s="2192"/>
      <c r="Z26" s="2192"/>
      <c r="AA26" s="2192"/>
      <c r="AB26" s="2192"/>
      <c r="AC26" s="2192"/>
      <c r="AD26" s="2192"/>
      <c r="AE26" s="2192"/>
      <c r="AF26" s="2192"/>
      <c r="AG26" s="2192"/>
      <c r="AH26" s="2192"/>
      <c r="AI26" s="2192"/>
      <c r="AJ26" s="2192"/>
      <c r="AK26" s="2192"/>
      <c r="AL26" s="2192"/>
      <c r="AM26" s="1145"/>
      <c r="AN26" s="1145"/>
      <c r="AO26" s="1145"/>
      <c r="AP26" s="2192"/>
    </row>
    <row r="27" spans="1:42" ht="13.9" customHeight="1">
      <c r="A27" s="1485"/>
      <c r="B27" s="1485"/>
      <c r="C27" s="768"/>
      <c r="D27" s="1484"/>
      <c r="E27" s="1357"/>
      <c r="F27" s="776" t="s">
        <v>8</v>
      </c>
      <c r="G27" s="776"/>
      <c r="H27" s="1357"/>
      <c r="I27" s="1357"/>
      <c r="J27" s="1357"/>
      <c r="K27" s="1485"/>
      <c r="L27" s="1393" t="s">
        <v>4</v>
      </c>
      <c r="M27" s="776" t="s">
        <v>532</v>
      </c>
      <c r="N27" s="1485"/>
      <c r="O27" s="1485"/>
      <c r="P27" s="1485"/>
      <c r="Q27" s="1485"/>
      <c r="R27" s="1485"/>
      <c r="S27" s="1345"/>
      <c r="T27" s="1345"/>
      <c r="U27" s="1345"/>
      <c r="V27" s="1345"/>
      <c r="W27" s="1345"/>
      <c r="X27" s="1345"/>
      <c r="Y27" s="1345"/>
      <c r="Z27" s="1345"/>
      <c r="AA27" s="1345"/>
      <c r="AB27" s="1345"/>
      <c r="AC27" s="1345"/>
      <c r="AD27" s="1345"/>
      <c r="AE27" s="1345"/>
      <c r="AF27" s="1345"/>
      <c r="AG27" s="1345"/>
      <c r="AH27" s="1345"/>
      <c r="AI27" s="1345"/>
      <c r="AJ27" s="1345"/>
      <c r="AK27" s="1345"/>
      <c r="AL27" s="1345"/>
      <c r="AM27" s="1304"/>
      <c r="AN27" s="1304"/>
      <c r="AO27" s="1304"/>
      <c r="AP27" s="1485"/>
    </row>
    <row r="28" spans="1:42" ht="13.9" customHeight="1">
      <c r="A28" s="1485"/>
      <c r="B28" s="1485"/>
      <c r="C28" s="768"/>
      <c r="D28" s="1484"/>
      <c r="E28" s="1357"/>
      <c r="F28" s="776" t="s">
        <v>7</v>
      </c>
      <c r="G28" s="776"/>
      <c r="H28" s="1357"/>
      <c r="I28" s="1357"/>
      <c r="J28" s="1357"/>
      <c r="K28" s="1485"/>
      <c r="L28" s="1393" t="s">
        <v>4</v>
      </c>
      <c r="M28" s="776" t="s">
        <v>1847</v>
      </c>
      <c r="N28" s="1485"/>
      <c r="O28" s="1485"/>
      <c r="P28" s="1485"/>
      <c r="Q28" s="1485"/>
      <c r="R28" s="1485"/>
      <c r="S28" s="1345"/>
      <c r="T28" s="1345"/>
      <c r="U28" s="1345"/>
      <c r="V28" s="1345"/>
      <c r="W28" s="1345"/>
      <c r="X28" s="1345"/>
      <c r="Y28" s="1345"/>
      <c r="Z28" s="1345"/>
      <c r="AA28" s="1345"/>
      <c r="AB28" s="1345"/>
      <c r="AC28" s="1345"/>
      <c r="AD28" s="1345"/>
      <c r="AE28" s="1345"/>
      <c r="AF28" s="1345"/>
      <c r="AG28" s="1345"/>
      <c r="AH28" s="1345"/>
      <c r="AI28" s="1345"/>
      <c r="AJ28" s="1345"/>
      <c r="AK28" s="1345"/>
      <c r="AL28" s="1345"/>
      <c r="AM28" s="1304"/>
      <c r="AN28" s="1304"/>
      <c r="AO28" s="1304"/>
      <c r="AP28" s="1485"/>
    </row>
    <row r="29" spans="1:42" ht="13.9" customHeight="1">
      <c r="A29" s="1485"/>
      <c r="B29" s="1485"/>
      <c r="C29" s="768"/>
      <c r="D29" s="1484"/>
      <c r="E29" s="1357"/>
      <c r="F29" s="2191" t="s">
        <v>1848</v>
      </c>
      <c r="G29" s="2191"/>
      <c r="H29" s="1485"/>
      <c r="I29" s="1357"/>
      <c r="J29" s="1357"/>
      <c r="K29" s="1485"/>
      <c r="L29" s="1393" t="s">
        <v>4</v>
      </c>
      <c r="M29" s="1213" t="s">
        <v>2240</v>
      </c>
      <c r="N29" s="1485"/>
      <c r="O29" s="1485"/>
      <c r="P29" s="1485"/>
      <c r="Q29" s="1485"/>
      <c r="R29" s="1485"/>
      <c r="S29" s="1485"/>
      <c r="T29" s="1485"/>
      <c r="U29" s="1485"/>
      <c r="V29" s="1485"/>
      <c r="W29" s="1485"/>
      <c r="X29" s="1485"/>
      <c r="Y29" s="1485"/>
      <c r="Z29" s="1485"/>
      <c r="AA29" s="1485"/>
      <c r="AB29" s="1485"/>
      <c r="AC29" s="1485"/>
      <c r="AD29" s="1485"/>
      <c r="AE29" s="1485"/>
      <c r="AF29" s="1485"/>
      <c r="AG29" s="1485"/>
      <c r="AH29" s="1485"/>
      <c r="AI29" s="1485"/>
      <c r="AJ29" s="1485"/>
      <c r="AK29" s="1485"/>
      <c r="AL29" s="1485"/>
      <c r="AM29" s="1145"/>
      <c r="AN29" s="1145"/>
      <c r="AO29" s="1145"/>
      <c r="AP29" s="1485"/>
    </row>
    <row r="30" spans="1:42" ht="13.9" customHeight="1">
      <c r="A30" s="1485"/>
      <c r="B30" s="1485"/>
      <c r="C30" s="768"/>
      <c r="D30" s="1484"/>
      <c r="E30" s="1357"/>
      <c r="F30" s="2201" t="s">
        <v>6</v>
      </c>
      <c r="G30" s="2191"/>
      <c r="H30" s="1485"/>
      <c r="I30" s="1357"/>
      <c r="J30" s="1357"/>
      <c r="K30" s="1485"/>
      <c r="L30" s="1393" t="s">
        <v>4</v>
      </c>
      <c r="M30" s="3016" t="str">
        <f>M5</f>
        <v>MEJORAMIENTO DEL SERVICIO EDUCATIVO EN LA IEP N° 54002 SANTA ROSA E IES SANTA ROSA DEL DISTRITO DE ABANCAY, PROVINCIA DE ABANCAY – REGIÓN APURÍMAC</v>
      </c>
      <c r="N30" s="3016"/>
      <c r="O30" s="3016"/>
      <c r="P30" s="3016"/>
      <c r="Q30" s="3016"/>
      <c r="R30" s="3016"/>
      <c r="S30" s="3016"/>
      <c r="T30" s="3016"/>
      <c r="U30" s="3016"/>
      <c r="V30" s="3016"/>
      <c r="W30" s="3016"/>
      <c r="X30" s="3016"/>
      <c r="Y30" s="3016"/>
      <c r="Z30" s="3016"/>
      <c r="AA30" s="3016"/>
      <c r="AB30" s="3016"/>
      <c r="AC30" s="3016"/>
      <c r="AD30" s="3016"/>
      <c r="AE30" s="3016"/>
      <c r="AF30" s="3016"/>
      <c r="AG30" s="3016"/>
      <c r="AH30" s="3016"/>
      <c r="AI30" s="3016"/>
      <c r="AJ30" s="3016"/>
      <c r="AK30" s="3016"/>
      <c r="AL30" s="3016"/>
      <c r="AM30" s="3016"/>
      <c r="AN30" s="3016"/>
      <c r="AO30" s="3016"/>
      <c r="AP30" s="1357"/>
    </row>
    <row r="31" spans="1:42" ht="13.9" customHeight="1">
      <c r="A31" s="1485"/>
      <c r="B31" s="1485"/>
      <c r="C31" s="768"/>
      <c r="D31" s="1484"/>
      <c r="E31" s="1357"/>
      <c r="F31" s="3017" t="s">
        <v>5</v>
      </c>
      <c r="G31" s="3017"/>
      <c r="H31" s="1485"/>
      <c r="I31" s="1357"/>
      <c r="J31" s="1357"/>
      <c r="K31" s="1485"/>
      <c r="L31" s="1393" t="s">
        <v>4</v>
      </c>
      <c r="M31" s="3018" t="s">
        <v>2239</v>
      </c>
      <c r="N31" s="3018"/>
      <c r="O31" s="3018"/>
      <c r="P31" s="3018"/>
      <c r="Q31" s="3018"/>
      <c r="R31" s="3018"/>
      <c r="S31" s="3018"/>
      <c r="T31" s="3018"/>
      <c r="U31" s="3018"/>
      <c r="V31" s="3018"/>
      <c r="W31" s="3018"/>
      <c r="X31" s="3018"/>
      <c r="Y31" s="3018"/>
      <c r="Z31" s="3018"/>
      <c r="AA31" s="3018"/>
      <c r="AB31" s="3018"/>
      <c r="AC31" s="3018"/>
      <c r="AD31" s="3018"/>
      <c r="AE31" s="3018"/>
      <c r="AF31" s="3018"/>
      <c r="AG31" s="3018"/>
      <c r="AH31" s="3018"/>
      <c r="AI31" s="3018"/>
      <c r="AJ31" s="3018"/>
      <c r="AK31" s="3018"/>
      <c r="AL31" s="3018"/>
      <c r="AM31" s="3018"/>
      <c r="AN31" s="3018"/>
      <c r="AO31" s="1145"/>
      <c r="AP31" s="1485"/>
    </row>
    <row r="32" spans="1:42" ht="13.9" customHeight="1">
      <c r="A32" s="1485"/>
      <c r="B32" s="1485"/>
      <c r="C32" s="768"/>
      <c r="D32" s="1357"/>
      <c r="E32" s="1357"/>
      <c r="F32" s="2202" t="s">
        <v>1849</v>
      </c>
      <c r="G32" s="2191"/>
      <c r="H32" s="1485"/>
      <c r="I32" s="1357"/>
      <c r="J32" s="1357"/>
      <c r="K32" s="1485"/>
      <c r="L32" s="1393" t="s">
        <v>4</v>
      </c>
      <c r="M32" s="3003"/>
      <c r="N32" s="3003"/>
      <c r="O32" s="3003"/>
      <c r="P32" s="3003"/>
      <c r="Q32" s="3003"/>
      <c r="R32" s="3003"/>
      <c r="S32" s="3003"/>
      <c r="T32" s="3003"/>
      <c r="U32" s="3003"/>
      <c r="V32" s="3003"/>
      <c r="W32" s="3003"/>
      <c r="X32" s="3003"/>
      <c r="Y32" s="3003"/>
      <c r="Z32" s="3003"/>
      <c r="AA32" s="3003"/>
      <c r="AB32" s="3003"/>
      <c r="AC32" s="3003"/>
      <c r="AD32" s="3003"/>
      <c r="AE32" s="3003"/>
      <c r="AF32" s="3003"/>
      <c r="AG32" s="3003"/>
      <c r="AH32" s="3003"/>
      <c r="AI32" s="3003"/>
      <c r="AJ32" s="3003"/>
      <c r="AK32" s="3003"/>
      <c r="AL32" s="3003"/>
      <c r="AM32" s="3003"/>
      <c r="AN32" s="3003"/>
      <c r="AO32" s="1145"/>
      <c r="AP32" s="1485"/>
    </row>
    <row r="33" spans="1:43" ht="13.9" customHeight="1">
      <c r="A33" s="1485"/>
      <c r="B33" s="1485"/>
      <c r="C33" s="768"/>
      <c r="D33" s="1357"/>
      <c r="E33" s="1357"/>
      <c r="F33" s="2191" t="s">
        <v>1875</v>
      </c>
      <c r="G33" s="776"/>
      <c r="H33" s="1357"/>
      <c r="I33" s="1357"/>
      <c r="J33" s="1357"/>
      <c r="K33" s="1485"/>
      <c r="L33" s="1393" t="s">
        <v>4</v>
      </c>
      <c r="M33" s="2203" t="s">
        <v>11</v>
      </c>
      <c r="N33" s="1345"/>
      <c r="O33" s="1345"/>
      <c r="P33" s="1345"/>
      <c r="Q33" s="1345"/>
      <c r="R33" s="1345"/>
      <c r="S33" s="1345"/>
      <c r="T33" s="1345"/>
      <c r="U33" s="1345"/>
      <c r="V33" s="1345"/>
      <c r="W33" s="1345"/>
      <c r="X33" s="1345"/>
      <c r="Y33" s="1345"/>
      <c r="Z33" s="1345"/>
      <c r="AA33" s="1345"/>
      <c r="AB33" s="1345"/>
      <c r="AC33" s="1345"/>
      <c r="AD33" s="1345"/>
      <c r="AE33" s="1345"/>
      <c r="AF33" s="1345"/>
      <c r="AG33" s="1345"/>
      <c r="AH33" s="1345"/>
      <c r="AI33" s="1345"/>
      <c r="AJ33" s="1345"/>
      <c r="AK33" s="1345"/>
      <c r="AL33" s="1345"/>
      <c r="AM33" s="1304"/>
      <c r="AN33" s="1304"/>
      <c r="AO33" s="1145"/>
      <c r="AP33" s="1485"/>
    </row>
    <row r="34" spans="1:43" ht="6.75" customHeight="1">
      <c r="A34" s="1485"/>
      <c r="B34" s="1485"/>
      <c r="C34" s="768"/>
      <c r="D34" s="1357"/>
      <c r="E34" s="1357"/>
      <c r="F34" s="1357"/>
      <c r="G34" s="1357"/>
      <c r="H34" s="1357"/>
      <c r="I34" s="1357"/>
      <c r="J34" s="1357"/>
      <c r="K34" s="1485"/>
      <c r="L34" s="1485"/>
      <c r="M34" s="1485"/>
      <c r="N34" s="1485"/>
      <c r="O34" s="1485"/>
      <c r="P34" s="1485"/>
      <c r="Q34" s="1485"/>
      <c r="R34" s="1485"/>
      <c r="S34" s="1485"/>
      <c r="T34" s="1485"/>
      <c r="U34" s="1485"/>
      <c r="V34" s="1345"/>
      <c r="W34" s="1345"/>
      <c r="X34" s="1345"/>
      <c r="Y34" s="1345"/>
      <c r="Z34" s="1345"/>
      <c r="AA34" s="1345"/>
      <c r="AB34" s="1345"/>
      <c r="AC34" s="1345"/>
      <c r="AD34" s="1345"/>
      <c r="AE34" s="1345"/>
      <c r="AF34" s="1485"/>
      <c r="AG34" s="1485"/>
      <c r="AH34" s="1485"/>
      <c r="AI34" s="1485"/>
      <c r="AJ34" s="1485"/>
      <c r="AK34" s="1485"/>
      <c r="AL34" s="1485"/>
      <c r="AM34" s="1145"/>
      <c r="AN34" s="1145"/>
      <c r="AO34" s="1145"/>
      <c r="AP34" s="1485"/>
    </row>
    <row r="35" spans="1:43" ht="23.45" customHeight="1">
      <c r="A35" s="2192"/>
      <c r="B35" s="2192"/>
      <c r="C35" s="768"/>
      <c r="D35" s="2204" t="s">
        <v>4315</v>
      </c>
      <c r="E35" s="1357"/>
      <c r="F35" s="1357"/>
      <c r="G35" s="1357"/>
      <c r="H35" s="1357"/>
      <c r="I35" s="1357"/>
      <c r="J35" s="1357"/>
      <c r="K35" s="2192"/>
      <c r="L35" s="2192"/>
      <c r="M35" s="2192"/>
      <c r="N35" s="2192"/>
      <c r="O35" s="2192"/>
      <c r="P35" s="2192"/>
      <c r="Q35" s="2192"/>
      <c r="R35" s="2192"/>
      <c r="S35" s="2192"/>
      <c r="T35" s="2192"/>
      <c r="U35" s="2192"/>
      <c r="V35" s="1345"/>
      <c r="W35" s="1345"/>
      <c r="X35" s="1345"/>
      <c r="Y35" s="1345"/>
      <c r="Z35" s="1345"/>
      <c r="AA35" s="1345"/>
      <c r="AB35" s="1345"/>
      <c r="AC35" s="1345"/>
      <c r="AD35" s="1345"/>
      <c r="AE35" s="1345"/>
      <c r="AF35" s="2192"/>
      <c r="AG35" s="2192"/>
      <c r="AH35" s="2192"/>
      <c r="AI35" s="2192"/>
      <c r="AJ35" s="2192"/>
      <c r="AK35" s="2192"/>
      <c r="AL35" s="2192"/>
      <c r="AM35" s="1145"/>
      <c r="AN35" s="1145"/>
      <c r="AO35" s="1145"/>
      <c r="AP35" s="2192"/>
    </row>
    <row r="36" spans="1:43">
      <c r="A36" s="1485"/>
      <c r="B36" s="1345"/>
      <c r="C36" s="1305"/>
      <c r="D36" s="1484"/>
      <c r="E36" s="1357"/>
      <c r="F36" s="3004" t="s">
        <v>23</v>
      </c>
      <c r="G36" s="3004"/>
      <c r="H36" s="3004"/>
      <c r="I36" s="3004"/>
      <c r="J36" s="3004"/>
      <c r="K36" s="3004"/>
      <c r="L36" s="3004"/>
      <c r="M36" s="3004"/>
      <c r="N36" s="3004"/>
      <c r="O36" s="3004"/>
      <c r="P36" s="3004"/>
      <c r="Q36" s="1485"/>
      <c r="R36" s="1485"/>
      <c r="S36" s="1393" t="s">
        <v>4</v>
      </c>
      <c r="T36" s="1485" t="s">
        <v>1</v>
      </c>
      <c r="U36" s="1485"/>
      <c r="V36" s="3005">
        <v>26538412.399999999</v>
      </c>
      <c r="W36" s="3005"/>
      <c r="X36" s="3005"/>
      <c r="Y36" s="3005"/>
      <c r="Z36" s="3005"/>
      <c r="AA36" s="3005"/>
      <c r="AB36" s="3005"/>
      <c r="AC36" s="3005"/>
      <c r="AD36" s="3005"/>
      <c r="AE36" s="3005"/>
      <c r="AF36" s="3005"/>
      <c r="AG36" s="3005"/>
      <c r="AH36" s="3005"/>
      <c r="AI36" s="3005"/>
      <c r="AJ36" s="3005"/>
      <c r="AK36" s="3005"/>
      <c r="AL36" s="2347"/>
      <c r="AM36" s="1145"/>
      <c r="AN36" s="1145"/>
      <c r="AO36" s="1145"/>
      <c r="AP36" s="1485"/>
    </row>
    <row r="37" spans="1:43">
      <c r="A37" s="1485"/>
      <c r="B37" s="1345"/>
      <c r="C37" s="1305"/>
      <c r="D37" s="1484"/>
      <c r="E37" s="1357"/>
      <c r="F37" s="1484" t="s">
        <v>1876</v>
      </c>
      <c r="G37" s="1484"/>
      <c r="H37" s="1484"/>
      <c r="I37" s="1484"/>
      <c r="J37" s="1484"/>
      <c r="K37" s="1345"/>
      <c r="L37" s="1345"/>
      <c r="M37" s="1345"/>
      <c r="N37" s="1345"/>
      <c r="O37" s="1345"/>
      <c r="P37" s="1345"/>
      <c r="Q37" s="1485"/>
      <c r="R37" s="1485"/>
      <c r="S37" s="1393" t="s">
        <v>4</v>
      </c>
      <c r="T37" s="1485" t="s">
        <v>1</v>
      </c>
      <c r="U37" s="1485"/>
      <c r="V37" s="3006"/>
      <c r="W37" s="3006"/>
      <c r="X37" s="3006"/>
      <c r="Y37" s="3006"/>
      <c r="Z37" s="3006"/>
      <c r="AA37" s="3006"/>
      <c r="AB37" s="3006"/>
      <c r="AC37" s="3006"/>
      <c r="AD37" s="3006"/>
      <c r="AE37" s="1503"/>
      <c r="AF37" s="2993"/>
      <c r="AG37" s="2993"/>
      <c r="AH37" s="2993"/>
      <c r="AL37" s="2347"/>
      <c r="AM37" s="1145"/>
      <c r="AN37" s="1145"/>
      <c r="AO37" s="1145"/>
      <c r="AP37" s="1485"/>
    </row>
    <row r="38" spans="1:43">
      <c r="A38" s="1485"/>
      <c r="B38" s="1345"/>
      <c r="C38" s="1305"/>
      <c r="D38" s="1484"/>
      <c r="E38" s="1357"/>
      <c r="F38" s="1357" t="s">
        <v>3620</v>
      </c>
      <c r="G38" s="1357"/>
      <c r="H38" s="1357"/>
      <c r="I38" s="1357"/>
      <c r="J38" s="1357"/>
      <c r="K38" s="1485"/>
      <c r="L38" s="1485"/>
      <c r="M38" s="1485"/>
      <c r="N38" s="1485"/>
      <c r="O38" s="1485"/>
      <c r="P38" s="1485"/>
      <c r="Q38" s="1485"/>
      <c r="R38" s="1485"/>
      <c r="S38" s="1393"/>
      <c r="T38" s="1485"/>
      <c r="U38" s="1485"/>
      <c r="V38" s="2999">
        <v>2018</v>
      </c>
      <c r="W38" s="2999"/>
      <c r="X38" s="2999"/>
      <c r="Y38" s="2999">
        <v>2019</v>
      </c>
      <c r="Z38" s="2999"/>
      <c r="AA38" s="2999"/>
      <c r="AB38" s="2999">
        <v>2020</v>
      </c>
      <c r="AC38" s="2999"/>
      <c r="AD38" s="2999"/>
      <c r="AE38" s="1504">
        <v>2021</v>
      </c>
      <c r="AF38" s="2999">
        <v>2022</v>
      </c>
      <c r="AG38" s="2999"/>
      <c r="AH38" s="2999"/>
      <c r="AI38" s="2999" t="s">
        <v>2</v>
      </c>
      <c r="AJ38" s="2999"/>
      <c r="AK38" s="2999"/>
      <c r="AL38" s="2347"/>
      <c r="AM38" s="1145"/>
      <c r="AN38" s="1145"/>
      <c r="AO38" s="1145"/>
      <c r="AP38" s="1485"/>
    </row>
    <row r="39" spans="1:43">
      <c r="A39" s="1485"/>
      <c r="B39" s="1345"/>
      <c r="C39" s="1305"/>
      <c r="D39" s="1484"/>
      <c r="E39" s="1357"/>
      <c r="F39" s="1485"/>
      <c r="G39" s="1357"/>
      <c r="H39" s="1357"/>
      <c r="I39" s="1357"/>
      <c r="J39" s="1357"/>
      <c r="K39" s="1485"/>
      <c r="L39" s="1485"/>
      <c r="M39" s="1485"/>
      <c r="N39" s="1485"/>
      <c r="O39" s="1485"/>
      <c r="P39" s="1485"/>
      <c r="Q39" s="1485"/>
      <c r="R39" s="1485"/>
      <c r="S39" s="1393" t="s">
        <v>4</v>
      </c>
      <c r="T39" s="1485" t="s">
        <v>1</v>
      </c>
      <c r="U39" s="1485"/>
      <c r="V39" s="2989"/>
      <c r="W39" s="2989"/>
      <c r="X39" s="2989"/>
      <c r="Y39" s="2989"/>
      <c r="Z39" s="2989"/>
      <c r="AA39" s="2989"/>
      <c r="AB39" s="2989"/>
      <c r="AC39" s="2989"/>
      <c r="AD39" s="2989"/>
      <c r="AE39" s="1505"/>
      <c r="AF39" s="2997"/>
      <c r="AG39" s="2997"/>
      <c r="AH39" s="2997"/>
      <c r="AI39" s="2997"/>
      <c r="AJ39" s="2997"/>
      <c r="AK39" s="2997"/>
      <c r="AL39" s="2347"/>
      <c r="AM39" s="1145"/>
      <c r="AN39" s="1145"/>
      <c r="AO39" s="1145"/>
      <c r="AP39" s="1485"/>
      <c r="AQ39" s="2501">
        <v>26538412.48</v>
      </c>
    </row>
    <row r="40" spans="1:43">
      <c r="A40" s="1485"/>
      <c r="B40" s="1345"/>
      <c r="C40" s="1305"/>
      <c r="D40" s="777">
        <v>7</v>
      </c>
      <c r="E40" s="1357" t="s">
        <v>1878</v>
      </c>
      <c r="F40" s="1357"/>
      <c r="G40" s="1357"/>
      <c r="H40" s="1357"/>
      <c r="K40" s="1485"/>
      <c r="L40" s="1485"/>
      <c r="M40" s="1485"/>
      <c r="N40" s="1485"/>
      <c r="O40" s="1485"/>
      <c r="P40" s="1485"/>
      <c r="Q40" s="1485"/>
      <c r="R40" s="1485"/>
      <c r="S40" s="1393" t="s">
        <v>4</v>
      </c>
      <c r="T40" s="1485" t="s">
        <v>1</v>
      </c>
      <c r="U40" s="1485"/>
      <c r="V40" s="2998">
        <v>185215.69</v>
      </c>
      <c r="W40" s="2998"/>
      <c r="X40" s="2998"/>
      <c r="Y40" s="2989">
        <v>3201879.9</v>
      </c>
      <c r="Z40" s="2989"/>
      <c r="AA40" s="2989"/>
      <c r="AE40" s="1506"/>
      <c r="AF40" s="2997"/>
      <c r="AG40" s="2997"/>
      <c r="AH40" s="2997"/>
      <c r="AI40" s="2997"/>
      <c r="AJ40" s="2997"/>
      <c r="AK40" s="2997"/>
      <c r="AL40" s="2347"/>
      <c r="AM40" s="1145"/>
      <c r="AN40" s="1145"/>
      <c r="AO40" s="1145"/>
      <c r="AP40" s="1485"/>
    </row>
    <row r="41" spans="1:43">
      <c r="A41" s="1485"/>
      <c r="B41" s="1345"/>
      <c r="C41" s="1305"/>
      <c r="D41" s="777" t="s">
        <v>3621</v>
      </c>
      <c r="E41" s="1357" t="s">
        <v>3622</v>
      </c>
      <c r="F41" s="1357"/>
      <c r="G41" s="1357"/>
      <c r="H41" s="1357"/>
      <c r="K41" s="1485"/>
      <c r="L41" s="1485"/>
      <c r="M41" s="1485"/>
      <c r="N41" s="1485"/>
      <c r="O41" s="1485"/>
      <c r="P41" s="1485"/>
      <c r="Q41" s="1485"/>
      <c r="R41" s="1485"/>
      <c r="S41" s="1393" t="s">
        <v>4</v>
      </c>
      <c r="T41" s="1485" t="s">
        <v>1</v>
      </c>
      <c r="U41" s="1485"/>
      <c r="V41" s="2987"/>
      <c r="W41" s="2987"/>
      <c r="X41" s="2987"/>
      <c r="Y41" s="2989">
        <v>584360.64</v>
      </c>
      <c r="Z41" s="2989"/>
      <c r="AA41" s="2989"/>
      <c r="AB41" s="2989">
        <v>6590155.6500000004</v>
      </c>
      <c r="AC41" s="2989"/>
      <c r="AD41" s="2989"/>
      <c r="AE41" s="1507">
        <v>8420422.6112869997</v>
      </c>
      <c r="AF41" s="2997">
        <v>7676287</v>
      </c>
      <c r="AG41" s="2997"/>
      <c r="AH41" s="2997"/>
      <c r="AI41" s="2997"/>
      <c r="AJ41" s="2997"/>
      <c r="AK41" s="2997"/>
      <c r="AL41" s="2347"/>
      <c r="AM41" s="1145"/>
      <c r="AN41" s="1145"/>
      <c r="AO41" s="1145"/>
      <c r="AP41" s="1485"/>
      <c r="AQ41" s="1486">
        <f>V43+Y43</f>
        <v>3971456.23</v>
      </c>
    </row>
    <row r="42" spans="1:43">
      <c r="A42" s="1485"/>
      <c r="B42" s="1345"/>
      <c r="C42" s="1305"/>
      <c r="E42" s="777"/>
      <c r="F42" s="1357"/>
      <c r="G42" s="1357"/>
      <c r="H42" s="1357"/>
      <c r="K42" s="1485"/>
      <c r="L42" s="1485"/>
      <c r="M42" s="1485"/>
      <c r="N42" s="1485"/>
      <c r="O42" s="1485"/>
      <c r="P42" s="1485"/>
      <c r="Q42" s="1485"/>
      <c r="R42" s="1485"/>
      <c r="S42" s="1393"/>
      <c r="T42" s="1485"/>
      <c r="U42" s="1485"/>
      <c r="V42" s="2987"/>
      <c r="W42" s="2987"/>
      <c r="X42" s="2987"/>
      <c r="Y42" s="2988"/>
      <c r="Z42" s="2987"/>
      <c r="AA42" s="2987"/>
      <c r="AB42" s="2989"/>
      <c r="AC42" s="2989"/>
      <c r="AD42" s="2989"/>
      <c r="AE42" s="1508"/>
      <c r="AF42" s="2997"/>
      <c r="AG42" s="2997"/>
      <c r="AH42" s="2997"/>
      <c r="AI42" s="2997"/>
      <c r="AJ42" s="2997"/>
      <c r="AK42" s="2997"/>
      <c r="AL42" s="2347"/>
      <c r="AM42" s="1145"/>
      <c r="AN42" s="1145"/>
      <c r="AO42" s="1145"/>
      <c r="AP42" s="1485"/>
    </row>
    <row r="43" spans="1:43">
      <c r="A43" s="1485"/>
      <c r="B43" s="1345"/>
      <c r="C43" s="1305"/>
      <c r="D43" s="1484"/>
      <c r="E43" s="1357"/>
      <c r="F43" s="1357" t="s">
        <v>3612</v>
      </c>
      <c r="G43" s="1357"/>
      <c r="H43" s="1357"/>
      <c r="I43" s="1357"/>
      <c r="J43" s="1357"/>
      <c r="K43" s="1485"/>
      <c r="L43" s="1485"/>
      <c r="M43" s="1485" t="s">
        <v>2</v>
      </c>
      <c r="N43" s="1485"/>
      <c r="O43" s="1485"/>
      <c r="P43" s="1485"/>
      <c r="Q43" s="1485"/>
      <c r="R43" s="1485"/>
      <c r="S43" s="1485"/>
      <c r="T43" s="1485"/>
      <c r="U43" s="1485"/>
      <c r="V43" s="2990">
        <f>V40</f>
        <v>185215.69</v>
      </c>
      <c r="W43" s="2990"/>
      <c r="X43" s="2990"/>
      <c r="Y43" s="2990">
        <f>+Y40+Y41</f>
        <v>3786240.54</v>
      </c>
      <c r="Z43" s="2990"/>
      <c r="AA43" s="2990"/>
      <c r="AB43" s="2993">
        <f>+AB41</f>
        <v>6590155.6500000004</v>
      </c>
      <c r="AC43" s="2993"/>
      <c r="AD43" s="2993"/>
      <c r="AE43" s="1509">
        <f>+AE41</f>
        <v>8420422.6112869997</v>
      </c>
      <c r="AF43" s="2991">
        <f>+AF41</f>
        <v>7676287</v>
      </c>
      <c r="AG43" s="2991"/>
      <c r="AH43" s="2991"/>
      <c r="AI43" s="2992">
        <f>SUM(V43:AH43)</f>
        <v>26658321.491287</v>
      </c>
      <c r="AJ43" s="2992"/>
      <c r="AK43" s="2992"/>
      <c r="AL43" s="2347"/>
      <c r="AM43" s="1145"/>
      <c r="AN43" s="1145"/>
      <c r="AO43" s="1145"/>
      <c r="AP43" s="1485"/>
      <c r="AQ43" s="1458">
        <v>20993137.52</v>
      </c>
    </row>
    <row r="44" spans="1:43" ht="19.350000000000001" customHeight="1">
      <c r="A44" s="1485"/>
      <c r="B44" s="1345"/>
      <c r="C44" s="1305"/>
      <c r="D44" s="1484"/>
      <c r="E44" s="1357"/>
      <c r="F44" s="1357"/>
      <c r="G44" s="1357"/>
      <c r="H44" s="1357"/>
      <c r="I44" s="1357"/>
      <c r="J44" s="1357"/>
      <c r="K44" s="1485"/>
      <c r="L44" s="1485"/>
      <c r="M44" s="1485"/>
      <c r="N44" s="1485"/>
      <c r="O44" s="1485"/>
      <c r="P44" s="1485"/>
      <c r="Q44" s="1485"/>
      <c r="R44" s="1485"/>
      <c r="S44" s="1485"/>
      <c r="T44" s="1485"/>
      <c r="U44" s="1485"/>
      <c r="V44" s="2979" t="s">
        <v>3700</v>
      </c>
      <c r="W44" s="2980"/>
      <c r="X44" s="2980"/>
      <c r="Y44" s="2980"/>
      <c r="Z44" s="2980"/>
      <c r="AA44" s="2980"/>
      <c r="AB44" s="2980"/>
      <c r="AC44" s="2980"/>
      <c r="AD44" s="2980"/>
      <c r="AE44" s="2980"/>
      <c r="AF44" s="2980"/>
      <c r="AG44" s="2980"/>
      <c r="AH44" s="2980"/>
      <c r="AI44" s="2994">
        <f>+V36-AI43</f>
        <v>-119909.09128700197</v>
      </c>
      <c r="AJ44" s="2995"/>
      <c r="AK44" s="2996"/>
      <c r="AL44" s="2347"/>
      <c r="AM44" s="1145"/>
      <c r="AN44" s="1145"/>
      <c r="AO44" s="1145"/>
      <c r="AP44" s="1485"/>
      <c r="AQ44" s="2499">
        <f>+AI43-V36</f>
        <v>119909.09128700197</v>
      </c>
    </row>
    <row r="45" spans="1:43" ht="6.75" customHeight="1">
      <c r="A45" s="1485"/>
      <c r="B45" s="1485"/>
      <c r="C45" s="768"/>
      <c r="D45" s="1357"/>
      <c r="E45" s="1357"/>
      <c r="F45" s="1357"/>
      <c r="G45" s="1357"/>
      <c r="H45" s="1357"/>
      <c r="I45" s="1357"/>
      <c r="J45" s="1357"/>
      <c r="K45" s="1485"/>
      <c r="L45" s="1485"/>
      <c r="M45" s="1485"/>
      <c r="N45" s="1485"/>
      <c r="O45" s="1485"/>
      <c r="P45" s="1485"/>
      <c r="Q45" s="1485"/>
      <c r="R45" s="1485"/>
      <c r="S45" s="1485"/>
      <c r="T45" s="1485"/>
      <c r="U45" s="1485"/>
      <c r="V45" s="807"/>
      <c r="W45" s="807"/>
      <c r="X45" s="807"/>
      <c r="Y45" s="807"/>
      <c r="Z45" s="807"/>
      <c r="AA45" s="807"/>
      <c r="AB45" s="807"/>
      <c r="AC45" s="807"/>
      <c r="AD45" s="807"/>
      <c r="AE45" s="807"/>
      <c r="AF45" s="808"/>
      <c r="AG45" s="808"/>
      <c r="AH45" s="808"/>
      <c r="AI45" s="1485"/>
      <c r="AJ45" s="1485"/>
      <c r="AK45" s="1485"/>
      <c r="AL45" s="2347"/>
      <c r="AM45" s="1145"/>
      <c r="AN45" s="1145"/>
      <c r="AO45" s="1145"/>
      <c r="AP45" s="1485"/>
    </row>
    <row r="46" spans="1:43">
      <c r="A46" s="1485"/>
      <c r="B46" s="768" t="s">
        <v>1879</v>
      </c>
      <c r="C46" s="1485"/>
      <c r="D46" s="1485"/>
      <c r="E46" s="1485"/>
      <c r="F46" s="1485"/>
      <c r="G46" s="1485"/>
      <c r="H46" s="1485"/>
      <c r="I46" s="1485"/>
      <c r="J46" s="1485"/>
      <c r="K46" s="1485"/>
      <c r="L46" s="1485"/>
      <c r="M46" s="1485"/>
      <c r="N46" s="1485"/>
      <c r="O46" s="1485"/>
      <c r="P46" s="1485"/>
      <c r="Q46" s="1485"/>
      <c r="R46" s="1485"/>
      <c r="S46" s="1485"/>
      <c r="T46" s="1485"/>
      <c r="U46" s="1485"/>
      <c r="V46" s="1485"/>
      <c r="W46" s="1485"/>
      <c r="X46" s="1485"/>
      <c r="Y46" s="1485"/>
      <c r="Z46" s="2981"/>
      <c r="AA46" s="2981"/>
      <c r="AB46" s="2981"/>
      <c r="AC46" s="2981"/>
      <c r="AD46" s="1485"/>
      <c r="AE46" s="1485"/>
      <c r="AF46" s="1485"/>
      <c r="AG46" s="1485"/>
      <c r="AH46" s="1486"/>
      <c r="AI46" s="1485"/>
      <c r="AJ46" s="1485"/>
      <c r="AK46" s="1486"/>
      <c r="AL46" s="1485"/>
      <c r="AM46" s="1145"/>
      <c r="AN46" s="1145"/>
      <c r="AO46" s="1145"/>
      <c r="AP46" s="1485"/>
    </row>
    <row r="47" spans="1:43">
      <c r="A47" s="1485"/>
      <c r="B47" s="768"/>
      <c r="C47" s="768" t="s">
        <v>1880</v>
      </c>
      <c r="D47" s="1357"/>
      <c r="E47" s="1357"/>
      <c r="F47" s="1357"/>
      <c r="G47" s="1357"/>
      <c r="H47" s="1357"/>
      <c r="I47" s="1357"/>
      <c r="J47" s="1357"/>
      <c r="K47" s="1357"/>
      <c r="L47" s="1485"/>
      <c r="M47" s="1485"/>
      <c r="N47" s="1485"/>
      <c r="O47" s="1485"/>
      <c r="P47" s="1485"/>
      <c r="Q47" s="1485"/>
      <c r="R47" s="1485"/>
      <c r="S47" s="1485"/>
      <c r="T47" s="1485"/>
      <c r="U47" s="1485"/>
      <c r="V47" s="1485"/>
      <c r="W47" s="1485"/>
      <c r="X47" s="1485"/>
      <c r="Y47" s="1485"/>
      <c r="Z47" s="1485"/>
      <c r="AA47" s="1485"/>
      <c r="AB47" s="1485"/>
      <c r="AC47" s="1486"/>
      <c r="AD47" s="1485"/>
      <c r="AE47" s="1485"/>
      <c r="AF47" s="1485"/>
      <c r="AG47" s="1485"/>
      <c r="AH47" s="1485"/>
      <c r="AI47" s="1485"/>
      <c r="AJ47" s="1485"/>
      <c r="AK47" s="1485"/>
      <c r="AL47" s="1485"/>
      <c r="AM47" s="1485"/>
      <c r="AN47" s="1485"/>
      <c r="AO47" s="1345"/>
      <c r="AP47" s="1485"/>
      <c r="AQ47" s="2500">
        <v>21800</v>
      </c>
    </row>
    <row r="48" spans="1:43" ht="7.5" customHeight="1" thickBot="1">
      <c r="A48" s="1485"/>
      <c r="B48" s="768"/>
      <c r="C48" s="1485"/>
      <c r="D48" s="1357"/>
      <c r="E48" s="1485"/>
      <c r="F48" s="768"/>
      <c r="G48" s="1357"/>
      <c r="H48" s="1357"/>
      <c r="I48" s="1357"/>
      <c r="J48" s="1357"/>
      <c r="K48" s="1357"/>
      <c r="L48" s="1485"/>
      <c r="M48" s="1485"/>
      <c r="N48" s="1485"/>
      <c r="O48" s="1485"/>
      <c r="P48" s="1485"/>
      <c r="Q48" s="1485"/>
      <c r="R48" s="1485"/>
      <c r="S48" s="1485"/>
      <c r="T48" s="1485"/>
      <c r="U48" s="1485"/>
      <c r="V48" s="1485"/>
      <c r="W48" s="1485"/>
      <c r="X48" s="1485"/>
      <c r="Y48" s="1485"/>
      <c r="Z48" s="1485"/>
      <c r="AA48" s="1485"/>
      <c r="AB48" s="1485"/>
      <c r="AC48" s="1485"/>
      <c r="AD48" s="1485"/>
      <c r="AE48" s="1485"/>
      <c r="AF48" s="1485"/>
      <c r="AG48" s="1485"/>
      <c r="AH48" s="1485"/>
      <c r="AI48" s="1485"/>
      <c r="AJ48" s="1485"/>
      <c r="AK48" s="1485"/>
      <c r="AL48" s="1485"/>
      <c r="AM48" s="1485"/>
      <c r="AN48" s="1485"/>
      <c r="AO48" s="1485"/>
      <c r="AP48" s="1485"/>
    </row>
    <row r="49" spans="1:43" ht="15.75" customHeight="1" thickBot="1">
      <c r="A49" s="1485"/>
      <c r="B49" s="768"/>
      <c r="C49" s="1485"/>
      <c r="D49" s="1357"/>
      <c r="E49" s="2982" t="s">
        <v>1881</v>
      </c>
      <c r="F49" s="2983"/>
      <c r="G49" s="2983"/>
      <c r="H49" s="2983"/>
      <c r="I49" s="2983"/>
      <c r="J49" s="2983"/>
      <c r="K49" s="2983"/>
      <c r="L49" s="2984"/>
      <c r="M49" s="2985" t="s">
        <v>1882</v>
      </c>
      <c r="N49" s="2983"/>
      <c r="O49" s="2983"/>
      <c r="P49" s="2983"/>
      <c r="Q49" s="2983"/>
      <c r="R49" s="2983"/>
      <c r="S49" s="2983"/>
      <c r="T49" s="2984"/>
      <c r="U49" s="2985" t="s">
        <v>1883</v>
      </c>
      <c r="V49" s="2983"/>
      <c r="W49" s="2983"/>
      <c r="X49" s="2983"/>
      <c r="Y49" s="2983"/>
      <c r="Z49" s="2983"/>
      <c r="AA49" s="2983"/>
      <c r="AB49" s="2984"/>
      <c r="AC49" s="2985" t="s">
        <v>3679</v>
      </c>
      <c r="AD49" s="2983"/>
      <c r="AE49" s="2983"/>
      <c r="AF49" s="2983"/>
      <c r="AG49" s="2983"/>
      <c r="AH49" s="2983"/>
      <c r="AI49" s="2983"/>
      <c r="AJ49" s="2983"/>
      <c r="AK49" s="2986"/>
      <c r="AL49" s="767"/>
      <c r="AM49" s="767"/>
      <c r="AN49" s="767"/>
      <c r="AO49" s="767"/>
      <c r="AP49" s="1485"/>
      <c r="AQ49" s="2500">
        <v>163415.69</v>
      </c>
    </row>
    <row r="50" spans="1:43" ht="15.75" thickBot="1">
      <c r="A50" s="1485"/>
      <c r="B50" s="768"/>
      <c r="C50" s="1485"/>
      <c r="D50" s="1357"/>
      <c r="E50" s="2970">
        <v>43662</v>
      </c>
      <c r="F50" s="2971"/>
      <c r="G50" s="2971"/>
      <c r="H50" s="2971"/>
      <c r="I50" s="2971"/>
      <c r="J50" s="2971"/>
      <c r="K50" s="2971"/>
      <c r="L50" s="2972"/>
      <c r="M50" s="2970">
        <v>43663</v>
      </c>
      <c r="N50" s="2971"/>
      <c r="O50" s="2971"/>
      <c r="P50" s="2971"/>
      <c r="Q50" s="2971"/>
      <c r="R50" s="2971"/>
      <c r="S50" s="2971"/>
      <c r="T50" s="2973"/>
      <c r="U50" s="2974">
        <v>44082</v>
      </c>
      <c r="V50" s="2971"/>
      <c r="W50" s="2971"/>
      <c r="X50" s="2971"/>
      <c r="Y50" s="2971"/>
      <c r="Z50" s="2971"/>
      <c r="AA50" s="2971"/>
      <c r="AB50" s="2973"/>
      <c r="AC50" s="2975">
        <v>44586</v>
      </c>
      <c r="AD50" s="2976"/>
      <c r="AE50" s="2976"/>
      <c r="AF50" s="2976"/>
      <c r="AG50" s="2976"/>
      <c r="AH50" s="2976"/>
      <c r="AI50" s="2976"/>
      <c r="AJ50" s="2976"/>
      <c r="AK50" s="2977"/>
      <c r="AL50" s="767"/>
      <c r="AM50" s="767"/>
      <c r="AN50" s="767"/>
      <c r="AO50" s="767"/>
      <c r="AP50" s="1485"/>
      <c r="AQ50" s="1524">
        <f>SUM(AQ47:AQ49)</f>
        <v>185215.69</v>
      </c>
    </row>
    <row r="51" spans="1:43">
      <c r="A51" s="1485"/>
      <c r="B51" s="768"/>
      <c r="C51" s="1485"/>
      <c r="D51" s="1357"/>
      <c r="E51" s="767"/>
      <c r="F51" s="767"/>
      <c r="G51" s="767"/>
      <c r="H51" s="767"/>
      <c r="I51" s="767"/>
      <c r="J51" s="767"/>
      <c r="K51" s="767"/>
      <c r="L51" s="767"/>
      <c r="M51" s="767"/>
      <c r="N51" s="767"/>
      <c r="O51" s="2978"/>
      <c r="P51" s="2978"/>
      <c r="Q51" s="2978"/>
      <c r="R51" s="2978"/>
      <c r="S51" s="2978"/>
      <c r="T51" s="2978"/>
      <c r="U51" s="2978"/>
      <c r="V51" s="2978"/>
      <c r="W51" s="767"/>
      <c r="X51" s="767"/>
      <c r="Y51" s="767"/>
      <c r="Z51" s="767"/>
      <c r="AA51" s="767"/>
      <c r="AB51" s="767"/>
      <c r="AC51" s="767"/>
      <c r="AD51" s="767"/>
      <c r="AE51" s="767"/>
      <c r="AF51" s="767"/>
      <c r="AG51" s="767"/>
      <c r="AH51" s="767"/>
      <c r="AI51" s="767"/>
      <c r="AJ51" s="767"/>
      <c r="AK51" s="767"/>
      <c r="AL51" s="767"/>
      <c r="AM51" s="767"/>
      <c r="AN51" s="767"/>
      <c r="AO51" s="767"/>
      <c r="AP51" s="1485"/>
    </row>
    <row r="52" spans="1:43" ht="5.25" customHeight="1">
      <c r="A52" s="1485"/>
      <c r="B52" s="768"/>
      <c r="C52" s="1485"/>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85"/>
    </row>
    <row r="53" spans="1:43" ht="5.25" customHeight="1">
      <c r="A53" s="2514"/>
      <c r="B53" s="768"/>
      <c r="C53" s="2514"/>
      <c r="D53" s="775"/>
      <c r="E53" s="775"/>
      <c r="F53" s="775"/>
      <c r="G53" s="775"/>
      <c r="H53" s="775"/>
      <c r="I53" s="1147"/>
      <c r="J53" s="1147"/>
      <c r="K53" s="1147"/>
      <c r="L53" s="1147"/>
      <c r="M53" s="1147"/>
      <c r="N53" s="1147"/>
      <c r="O53" s="1147"/>
      <c r="P53" s="1147"/>
      <c r="Q53" s="1147"/>
      <c r="R53" s="1147"/>
      <c r="S53" s="1147"/>
      <c r="T53" s="1147"/>
      <c r="U53" s="1147"/>
      <c r="V53" s="770"/>
      <c r="W53" s="770"/>
      <c r="X53" s="770"/>
      <c r="Y53" s="775"/>
      <c r="Z53" s="775"/>
      <c r="AA53" s="775"/>
      <c r="AB53" s="775"/>
      <c r="AC53" s="775"/>
      <c r="AD53" s="775"/>
      <c r="AE53" s="775"/>
      <c r="AF53" s="775"/>
      <c r="AG53" s="775"/>
      <c r="AH53" s="775"/>
      <c r="AI53" s="775"/>
      <c r="AJ53" s="775"/>
      <c r="AK53" s="775"/>
      <c r="AL53" s="775"/>
      <c r="AM53" s="775"/>
      <c r="AN53" s="775"/>
      <c r="AO53" s="775"/>
      <c r="AP53" s="2514"/>
    </row>
    <row r="54" spans="1:43" ht="5.25" customHeight="1">
      <c r="A54" s="2514"/>
      <c r="B54" s="768"/>
      <c r="C54" s="2514"/>
      <c r="D54" s="775"/>
      <c r="E54" s="775"/>
      <c r="F54" s="775"/>
      <c r="G54" s="775"/>
      <c r="H54" s="775"/>
      <c r="I54" s="1147"/>
      <c r="J54" s="1147"/>
      <c r="K54" s="1147"/>
      <c r="L54" s="1147"/>
      <c r="M54" s="1147"/>
      <c r="N54" s="1147"/>
      <c r="O54" s="1147"/>
      <c r="P54" s="1147"/>
      <c r="Q54" s="1147"/>
      <c r="R54" s="1147"/>
      <c r="S54" s="1147"/>
      <c r="T54" s="1147"/>
      <c r="U54" s="1147"/>
      <c r="V54" s="770"/>
      <c r="W54" s="770"/>
      <c r="X54" s="770"/>
      <c r="Y54" s="775"/>
      <c r="Z54" s="775"/>
      <c r="AA54" s="775"/>
      <c r="AB54" s="775"/>
      <c r="AC54" s="775"/>
      <c r="AD54" s="775"/>
      <c r="AE54" s="775"/>
      <c r="AF54" s="775"/>
      <c r="AG54" s="775"/>
      <c r="AH54" s="775"/>
      <c r="AI54" s="775"/>
      <c r="AJ54" s="775"/>
      <c r="AK54" s="775"/>
      <c r="AL54" s="775"/>
      <c r="AM54" s="775"/>
      <c r="AN54" s="775"/>
      <c r="AO54" s="775"/>
      <c r="AP54" s="2514"/>
    </row>
    <row r="55" spans="1:43" ht="15" customHeight="1">
      <c r="A55" s="1448"/>
      <c r="B55" s="1456"/>
      <c r="C55" s="1448"/>
      <c r="D55" s="1455"/>
      <c r="E55" s="1461"/>
      <c r="F55" s="1461"/>
      <c r="G55" s="2958" t="s">
        <v>1884</v>
      </c>
      <c r="H55" s="2959"/>
      <c r="I55" s="2959"/>
      <c r="J55" s="2959"/>
      <c r="K55" s="2959"/>
      <c r="L55" s="2959"/>
      <c r="M55" s="2959"/>
      <c r="N55" s="2959"/>
      <c r="O55" s="2959"/>
      <c r="P55" s="2959"/>
      <c r="Q55" s="2959"/>
      <c r="R55" s="2959"/>
      <c r="S55" s="2959"/>
      <c r="T55" s="2959"/>
      <c r="U55" s="2960"/>
      <c r="V55" s="2961">
        <v>420</v>
      </c>
      <c r="W55" s="2612"/>
      <c r="X55" s="2962"/>
      <c r="Y55" s="1461"/>
      <c r="Z55" s="1461"/>
      <c r="AA55" s="1461"/>
      <c r="AB55" s="1461"/>
      <c r="AC55" s="1461"/>
      <c r="AD55" s="1461"/>
      <c r="AE55" s="1461"/>
      <c r="AF55" s="1461"/>
      <c r="AG55" s="1461"/>
      <c r="AH55" s="1461"/>
      <c r="AI55" s="2961" t="s">
        <v>4408</v>
      </c>
      <c r="AJ55" s="2612"/>
      <c r="AK55" s="2612"/>
      <c r="AL55" s="2612"/>
      <c r="AM55" s="2612"/>
      <c r="AN55" s="2612"/>
      <c r="AO55" s="2962"/>
      <c r="AP55" s="1448"/>
    </row>
    <row r="56" spans="1:43" ht="6" customHeight="1">
      <c r="A56" s="1448"/>
      <c r="B56" s="1456"/>
      <c r="C56" s="1448"/>
      <c r="D56" s="1455"/>
      <c r="E56" s="1462"/>
      <c r="F56" s="1462"/>
      <c r="G56" s="1462"/>
      <c r="H56" s="1462"/>
      <c r="I56" s="1462"/>
      <c r="J56" s="1462"/>
      <c r="K56" s="1462"/>
      <c r="L56" s="1462"/>
      <c r="M56" s="1462"/>
      <c r="N56" s="1462"/>
      <c r="O56" s="1462"/>
      <c r="P56" s="1462"/>
      <c r="Q56" s="1462"/>
      <c r="R56" s="1462"/>
      <c r="S56" s="1462"/>
      <c r="T56" s="1462"/>
      <c r="U56" s="1462"/>
      <c r="V56" s="1461"/>
      <c r="W56" s="1461"/>
      <c r="X56" s="1461"/>
      <c r="Y56" s="1461"/>
      <c r="Z56" s="1461"/>
      <c r="AA56" s="1461"/>
      <c r="AB56" s="1461"/>
      <c r="AC56" s="1461"/>
      <c r="AD56" s="1461"/>
      <c r="AE56" s="1461"/>
      <c r="AF56" s="1461"/>
      <c r="AG56" s="1461"/>
      <c r="AH56" s="1461"/>
      <c r="AI56" s="1461"/>
      <c r="AJ56" s="1461"/>
      <c r="AK56" s="1461"/>
      <c r="AL56" s="1461"/>
      <c r="AM56" s="1461"/>
      <c r="AN56" s="1460"/>
      <c r="AO56" s="1460"/>
      <c r="AP56" s="1448"/>
    </row>
    <row r="57" spans="1:43" ht="15" customHeight="1">
      <c r="A57" s="1448"/>
      <c r="B57" s="1456"/>
      <c r="C57" s="1448"/>
      <c r="E57" s="1454"/>
      <c r="F57" s="1454"/>
      <c r="G57" s="1461"/>
      <c r="H57" s="1510"/>
      <c r="I57" s="2958" t="s">
        <v>1885</v>
      </c>
      <c r="J57" s="2959"/>
      <c r="K57" s="2959"/>
      <c r="L57" s="2959"/>
      <c r="M57" s="2959"/>
      <c r="N57" s="2959"/>
      <c r="O57" s="2959"/>
      <c r="P57" s="2959"/>
      <c r="Q57" s="2959"/>
      <c r="R57" s="2959"/>
      <c r="S57" s="2959"/>
      <c r="T57" s="2959"/>
      <c r="U57" s="2960"/>
      <c r="V57" s="2961">
        <v>114</v>
      </c>
      <c r="W57" s="2612"/>
      <c r="X57" s="2962"/>
      <c r="Y57" s="1454"/>
      <c r="Z57" s="2963" t="s">
        <v>1886</v>
      </c>
      <c r="AA57" s="2963"/>
      <c r="AB57" s="2963"/>
      <c r="AC57" s="2957"/>
      <c r="AD57" s="2964" t="s">
        <v>3636</v>
      </c>
      <c r="AE57" s="2965"/>
      <c r="AF57" s="2966"/>
      <c r="AG57" s="2955" t="s">
        <v>1887</v>
      </c>
      <c r="AH57" s="2956"/>
      <c r="AI57" s="2957"/>
      <c r="AJ57" s="2967">
        <v>44196</v>
      </c>
      <c r="AK57" s="2968"/>
      <c r="AL57" s="2968"/>
      <c r="AM57" s="2968"/>
      <c r="AN57" s="2968"/>
      <c r="AO57" s="2969"/>
      <c r="AP57" s="1448"/>
    </row>
    <row r="58" spans="1:43" ht="6.75" customHeight="1">
      <c r="A58" s="1448"/>
      <c r="B58" s="1456"/>
      <c r="C58" s="1448"/>
      <c r="D58" s="1455"/>
      <c r="E58" s="1462"/>
      <c r="F58" s="1462"/>
      <c r="G58" s="1461"/>
      <c r="H58" s="1451"/>
      <c r="I58" s="1462"/>
      <c r="J58" s="1462"/>
      <c r="K58" s="1462"/>
      <c r="L58" s="1462"/>
      <c r="M58" s="1462"/>
      <c r="N58" s="1462"/>
      <c r="O58" s="1462"/>
      <c r="P58" s="1462"/>
      <c r="Q58" s="1462"/>
      <c r="R58" s="1462"/>
      <c r="S58" s="1462"/>
      <c r="T58" s="1462"/>
      <c r="U58" s="1462"/>
      <c r="V58" s="1461"/>
      <c r="W58" s="1461"/>
      <c r="X58" s="1461"/>
      <c r="Y58" s="1461"/>
      <c r="Z58" s="1461"/>
      <c r="AA58" s="1461"/>
      <c r="AB58" s="1461"/>
      <c r="AC58" s="1461"/>
      <c r="AD58" s="1461"/>
      <c r="AE58" s="1461"/>
      <c r="AF58" s="1461"/>
      <c r="AG58" s="1461"/>
      <c r="AH58" s="1461"/>
      <c r="AI58" s="1461"/>
      <c r="AJ58" s="1461"/>
      <c r="AK58" s="1461"/>
      <c r="AL58" s="1461"/>
      <c r="AM58" s="1461"/>
      <c r="AN58" s="1460"/>
      <c r="AO58" s="1460"/>
      <c r="AP58" s="1448"/>
    </row>
    <row r="59" spans="1:43" ht="15" customHeight="1">
      <c r="A59" s="1448"/>
      <c r="B59" s="1456"/>
      <c r="C59" s="1448"/>
      <c r="E59" s="1454"/>
      <c r="F59" s="1454"/>
      <c r="G59" s="1461"/>
      <c r="H59" s="1510"/>
      <c r="I59" s="2958" t="s">
        <v>1888</v>
      </c>
      <c r="J59" s="2959"/>
      <c r="K59" s="2959"/>
      <c r="L59" s="2959"/>
      <c r="M59" s="2959"/>
      <c r="N59" s="2959"/>
      <c r="O59" s="2959"/>
      <c r="P59" s="2959"/>
      <c r="Q59" s="2959"/>
      <c r="R59" s="2959"/>
      <c r="S59" s="2959"/>
      <c r="T59" s="2959"/>
      <c r="U59" s="2960"/>
      <c r="V59" s="2961">
        <v>103</v>
      </c>
      <c r="W59" s="2612"/>
      <c r="X59" s="2962"/>
      <c r="Y59" s="1454"/>
      <c r="Z59" s="2963" t="s">
        <v>1886</v>
      </c>
      <c r="AA59" s="2963"/>
      <c r="AB59" s="2963"/>
      <c r="AC59" s="2957"/>
      <c r="AD59" s="2964" t="s">
        <v>3680</v>
      </c>
      <c r="AE59" s="2965"/>
      <c r="AF59" s="2966"/>
      <c r="AG59" s="2955" t="s">
        <v>1887</v>
      </c>
      <c r="AH59" s="2956"/>
      <c r="AI59" s="2957"/>
      <c r="AJ59" s="2952">
        <v>43934</v>
      </c>
      <c r="AK59" s="2953"/>
      <c r="AL59" s="2953"/>
      <c r="AM59" s="2953"/>
      <c r="AN59" s="2953"/>
      <c r="AO59" s="2954"/>
      <c r="AP59" s="1448"/>
    </row>
    <row r="60" spans="1:43" ht="6.75" customHeight="1">
      <c r="A60" s="1448"/>
      <c r="B60" s="1456"/>
      <c r="C60" s="1448"/>
      <c r="D60" s="1455"/>
      <c r="E60" s="1462"/>
      <c r="F60" s="1462"/>
      <c r="G60" s="1461"/>
      <c r="H60" s="1451"/>
      <c r="I60" s="1462"/>
      <c r="J60" s="1462"/>
      <c r="K60" s="1462"/>
      <c r="L60" s="1462"/>
      <c r="M60" s="1462"/>
      <c r="N60" s="1462"/>
      <c r="O60" s="1462"/>
      <c r="P60" s="1462"/>
      <c r="Q60" s="1462"/>
      <c r="R60" s="1462"/>
      <c r="S60" s="1462"/>
      <c r="T60" s="1462"/>
      <c r="U60" s="1462"/>
      <c r="V60" s="1461"/>
      <c r="W60" s="1461"/>
      <c r="X60" s="1461"/>
      <c r="Y60" s="1461"/>
      <c r="Z60" s="1461"/>
      <c r="AA60" s="1461"/>
      <c r="AB60" s="1461"/>
      <c r="AC60" s="1461"/>
      <c r="AD60" s="1461"/>
      <c r="AE60" s="1461"/>
      <c r="AF60" s="1461"/>
      <c r="AG60" s="1461"/>
      <c r="AH60" s="1461"/>
      <c r="AI60" s="1511"/>
      <c r="AJ60" s="1461"/>
      <c r="AK60" s="1461"/>
      <c r="AL60" s="1461"/>
      <c r="AM60" s="1461"/>
      <c r="AN60" s="1460"/>
      <c r="AO60" s="1460"/>
      <c r="AP60" s="1448"/>
    </row>
    <row r="61" spans="1:43" ht="15" customHeight="1">
      <c r="A61" s="1448"/>
      <c r="B61" s="1456"/>
      <c r="C61" s="1448"/>
      <c r="E61" s="1454"/>
      <c r="F61" s="1454"/>
      <c r="G61" s="1461"/>
      <c r="H61" s="1510"/>
      <c r="I61" s="2958" t="s">
        <v>1889</v>
      </c>
      <c r="J61" s="2959"/>
      <c r="K61" s="2959"/>
      <c r="L61" s="2959"/>
      <c r="M61" s="2959"/>
      <c r="N61" s="2959"/>
      <c r="O61" s="2959"/>
      <c r="P61" s="2959"/>
      <c r="Q61" s="2959"/>
      <c r="R61" s="2959"/>
      <c r="S61" s="2959"/>
      <c r="T61" s="2959"/>
      <c r="U61" s="2960"/>
      <c r="V61" s="2961">
        <v>137</v>
      </c>
      <c r="W61" s="2612"/>
      <c r="X61" s="2962"/>
      <c r="Y61" s="1454"/>
      <c r="Z61" s="2963" t="s">
        <v>1886</v>
      </c>
      <c r="AA61" s="2963"/>
      <c r="AB61" s="2963"/>
      <c r="AC61" s="2957"/>
      <c r="AD61" s="2964" t="s">
        <v>4312</v>
      </c>
      <c r="AE61" s="2965"/>
      <c r="AF61" s="2966"/>
      <c r="AG61" s="2955" t="s">
        <v>1887</v>
      </c>
      <c r="AH61" s="2956"/>
      <c r="AI61" s="2957"/>
      <c r="AJ61" s="2952">
        <v>44436</v>
      </c>
      <c r="AK61" s="2953"/>
      <c r="AL61" s="2953"/>
      <c r="AM61" s="2953"/>
      <c r="AN61" s="2953"/>
      <c r="AO61" s="2954"/>
      <c r="AP61" s="1448"/>
    </row>
    <row r="62" spans="1:43" ht="4.5" customHeight="1">
      <c r="A62" s="1448"/>
      <c r="B62" s="1456"/>
      <c r="C62" s="1448"/>
      <c r="D62" s="1454"/>
      <c r="E62" s="1454"/>
      <c r="F62" s="1454"/>
      <c r="G62" s="1454"/>
      <c r="H62" s="1454"/>
      <c r="I62" s="1454"/>
      <c r="J62" s="1454"/>
      <c r="K62" s="1454"/>
      <c r="L62" s="1454"/>
      <c r="M62" s="1454"/>
      <c r="N62" s="1454"/>
      <c r="O62" s="1454"/>
      <c r="P62" s="1454"/>
      <c r="Q62" s="1454"/>
      <c r="R62" s="1454"/>
      <c r="S62" s="1454"/>
      <c r="T62" s="1454"/>
      <c r="U62" s="1454"/>
      <c r="V62" s="1450"/>
      <c r="W62" s="1450"/>
      <c r="X62" s="1450"/>
      <c r="Y62" s="1454"/>
      <c r="Z62" s="1454"/>
      <c r="AA62" s="1454"/>
      <c r="AB62" s="1454"/>
      <c r="AC62" s="1454"/>
      <c r="AD62" s="1454"/>
      <c r="AE62" s="1454"/>
      <c r="AF62" s="1454"/>
      <c r="AG62" s="1454"/>
      <c r="AH62" s="1454"/>
      <c r="AI62" s="1454"/>
      <c r="AJ62" s="1454"/>
      <c r="AK62" s="1454"/>
      <c r="AL62" s="1454"/>
      <c r="AM62" s="1454"/>
      <c r="AN62" s="1454"/>
      <c r="AO62" s="1454"/>
      <c r="AP62" s="1448"/>
    </row>
    <row r="63" spans="1:43" ht="13.9" customHeight="1">
      <c r="A63" s="1448"/>
      <c r="B63" s="1456"/>
      <c r="C63" s="1448"/>
      <c r="D63" s="1454"/>
      <c r="E63" s="1454"/>
      <c r="F63" s="1454"/>
      <c r="G63" s="1454"/>
      <c r="H63" s="1454"/>
      <c r="I63" s="2958" t="s">
        <v>4311</v>
      </c>
      <c r="J63" s="2959"/>
      <c r="K63" s="2959"/>
      <c r="L63" s="2959"/>
      <c r="M63" s="2959"/>
      <c r="N63" s="2959"/>
      <c r="O63" s="2959"/>
      <c r="P63" s="2959"/>
      <c r="Q63" s="2959"/>
      <c r="R63" s="2959"/>
      <c r="S63" s="2959"/>
      <c r="T63" s="2959"/>
      <c r="U63" s="2960"/>
      <c r="V63" s="2961">
        <v>150</v>
      </c>
      <c r="W63" s="2612"/>
      <c r="X63" s="2962"/>
      <c r="Y63" s="1454"/>
      <c r="Z63" s="2963" t="s">
        <v>1886</v>
      </c>
      <c r="AA63" s="2963"/>
      <c r="AB63" s="2963"/>
      <c r="AC63" s="2957"/>
      <c r="AD63" s="2964" t="s">
        <v>4330</v>
      </c>
      <c r="AE63" s="2965"/>
      <c r="AF63" s="2966"/>
      <c r="AG63" s="2955" t="s">
        <v>1887</v>
      </c>
      <c r="AH63" s="2956"/>
      <c r="AI63" s="2957"/>
      <c r="AJ63" s="2952">
        <v>44586</v>
      </c>
      <c r="AK63" s="2953"/>
      <c r="AL63" s="2953"/>
      <c r="AM63" s="2953"/>
      <c r="AN63" s="2953"/>
      <c r="AO63" s="2954"/>
      <c r="AP63" s="1448"/>
    </row>
    <row r="64" spans="1:43" ht="6.75" customHeight="1">
      <c r="A64" s="1448"/>
      <c r="B64" s="1456"/>
      <c r="C64" s="1448"/>
      <c r="D64" s="1454"/>
      <c r="E64" s="1454"/>
      <c r="F64" s="1454"/>
      <c r="G64" s="1454"/>
      <c r="H64" s="1454"/>
      <c r="I64" s="1454"/>
      <c r="J64" s="1454"/>
      <c r="K64" s="1454"/>
      <c r="L64" s="1454"/>
      <c r="M64" s="1454"/>
      <c r="N64" s="1454"/>
      <c r="O64" s="1454"/>
      <c r="P64" s="1454"/>
      <c r="Q64" s="1454"/>
      <c r="R64" s="1454"/>
      <c r="S64" s="1454"/>
      <c r="T64" s="1454"/>
      <c r="U64" s="1454"/>
      <c r="V64" s="1450"/>
      <c r="W64" s="1450"/>
      <c r="X64" s="1450"/>
      <c r="Y64" s="1454"/>
      <c r="Z64" s="1454"/>
      <c r="AA64" s="1454"/>
      <c r="AB64" s="1454"/>
      <c r="AC64" s="1454"/>
      <c r="AD64" s="1454"/>
      <c r="AE64" s="1454"/>
      <c r="AF64" s="1454"/>
      <c r="AG64" s="1454"/>
      <c r="AH64" s="1454"/>
      <c r="AI64" s="1454"/>
      <c r="AJ64" s="1454"/>
      <c r="AK64" s="1454"/>
      <c r="AL64" s="1454"/>
      <c r="AM64" s="1454"/>
      <c r="AN64" s="1454"/>
      <c r="AO64" s="1454"/>
      <c r="AP64" s="1448"/>
    </row>
    <row r="65" spans="1:43" ht="12.6" customHeight="1">
      <c r="A65" s="1448"/>
      <c r="B65" s="1456"/>
      <c r="C65" s="1448"/>
      <c r="D65" s="1454"/>
      <c r="E65" s="1454"/>
      <c r="F65" s="1454"/>
      <c r="G65" s="1454"/>
      <c r="H65" s="1454"/>
      <c r="I65" s="2958" t="s">
        <v>4406</v>
      </c>
      <c r="J65" s="2959"/>
      <c r="K65" s="2959"/>
      <c r="L65" s="2959"/>
      <c r="M65" s="2959"/>
      <c r="N65" s="2959"/>
      <c r="O65" s="2959"/>
      <c r="P65" s="2959"/>
      <c r="Q65" s="2959"/>
      <c r="R65" s="2959"/>
      <c r="S65" s="2959"/>
      <c r="T65" s="2959"/>
      <c r="U65" s="2960"/>
      <c r="V65" s="2961">
        <v>24</v>
      </c>
      <c r="W65" s="2612"/>
      <c r="X65" s="2962"/>
      <c r="Y65" s="1454"/>
      <c r="Z65" s="2963" t="s">
        <v>1886</v>
      </c>
      <c r="AA65" s="2963"/>
      <c r="AB65" s="2963"/>
      <c r="AC65" s="2957"/>
      <c r="AD65" s="2961" t="s">
        <v>4407</v>
      </c>
      <c r="AE65" s="2612"/>
      <c r="AF65" s="2962"/>
      <c r="AG65" s="1454"/>
      <c r="AH65" s="1454"/>
      <c r="AI65" s="1454"/>
      <c r="AJ65" s="1454"/>
      <c r="AK65" s="1454"/>
      <c r="AL65" s="1454"/>
      <c r="AM65" s="1454"/>
      <c r="AN65" s="1454"/>
      <c r="AO65" s="1454"/>
      <c r="AP65" s="1448"/>
    </row>
    <row r="66" spans="1:43" ht="12.6" customHeight="1">
      <c r="A66" s="1448"/>
      <c r="B66" s="1456"/>
      <c r="C66" s="1448"/>
      <c r="D66" s="1454"/>
      <c r="E66" s="1454"/>
      <c r="F66" s="1454"/>
      <c r="G66" s="1454"/>
      <c r="H66" s="1454"/>
      <c r="I66" s="1454"/>
      <c r="J66" s="1454"/>
      <c r="K66" s="1454"/>
      <c r="L66" s="1454"/>
      <c r="M66" s="1454"/>
      <c r="N66" s="1454"/>
      <c r="O66" s="1454"/>
      <c r="P66" s="1454"/>
      <c r="Q66" s="1454"/>
      <c r="R66" s="1454"/>
      <c r="S66" s="1454"/>
      <c r="T66" s="1454"/>
      <c r="U66" s="1454"/>
      <c r="V66" s="1450"/>
      <c r="W66" s="1450"/>
      <c r="X66" s="1450"/>
      <c r="Y66" s="1454"/>
      <c r="Z66" s="1454"/>
      <c r="AA66" s="1454"/>
      <c r="AB66" s="1454"/>
      <c r="AC66" s="1454"/>
      <c r="AD66" s="1454"/>
      <c r="AE66" s="1454"/>
      <c r="AF66" s="1454"/>
      <c r="AG66" s="1454"/>
      <c r="AH66" s="1454"/>
      <c r="AI66" s="1454"/>
      <c r="AJ66" s="1454"/>
      <c r="AK66" s="1454"/>
      <c r="AL66" s="1454"/>
      <c r="AM66" s="1454"/>
      <c r="AN66" s="1454"/>
      <c r="AO66" s="1454"/>
      <c r="AP66" s="1448"/>
    </row>
    <row r="67" spans="1:43" ht="15" customHeight="1">
      <c r="A67" s="1448"/>
      <c r="B67" s="1456"/>
      <c r="C67" s="1448"/>
      <c r="D67" s="1455"/>
      <c r="E67" s="1461"/>
      <c r="F67" s="1461"/>
      <c r="G67" s="2958" t="s">
        <v>1890</v>
      </c>
      <c r="H67" s="2959"/>
      <c r="I67" s="2959"/>
      <c r="J67" s="2959"/>
      <c r="K67" s="2959"/>
      <c r="L67" s="2959"/>
      <c r="M67" s="2959"/>
      <c r="N67" s="2959"/>
      <c r="O67" s="2959"/>
      <c r="P67" s="2959"/>
      <c r="Q67" s="2959"/>
      <c r="R67" s="2959"/>
      <c r="S67" s="2959"/>
      <c r="T67" s="2959"/>
      <c r="U67" s="2960"/>
      <c r="V67" s="2961">
        <f>SUM(V55:W63)</f>
        <v>924</v>
      </c>
      <c r="W67" s="2612"/>
      <c r="X67" s="2962"/>
      <c r="Y67" s="1461"/>
      <c r="Z67" s="1461"/>
      <c r="AA67" s="1461"/>
      <c r="AB67" s="1461"/>
      <c r="AC67" s="1461"/>
      <c r="AD67" s="1461"/>
      <c r="AE67" s="1461"/>
      <c r="AF67" s="1461"/>
      <c r="AG67" s="1461"/>
      <c r="AH67" s="1461"/>
      <c r="AI67" s="1461"/>
      <c r="AJ67" s="1461"/>
      <c r="AK67" s="1461"/>
      <c r="AL67" s="1461"/>
      <c r="AM67" s="1461"/>
      <c r="AN67" s="1461"/>
      <c r="AO67" s="1461"/>
      <c r="AP67" s="1448"/>
    </row>
    <row r="68" spans="1:43">
      <c r="A68" s="1448"/>
      <c r="B68" s="1456"/>
      <c r="C68" s="1448"/>
      <c r="D68" s="1454"/>
      <c r="E68" s="1454"/>
      <c r="F68" s="1454"/>
      <c r="G68" s="1454"/>
      <c r="H68" s="1454"/>
      <c r="I68" s="1454"/>
      <c r="J68" s="1454"/>
      <c r="K68" s="1454"/>
      <c r="L68" s="1454"/>
      <c r="M68" s="1454"/>
      <c r="N68" s="1454"/>
      <c r="O68" s="1454"/>
      <c r="P68" s="1454"/>
      <c r="Q68" s="1454"/>
      <c r="R68" s="1454"/>
      <c r="S68" s="1454"/>
      <c r="T68" s="1454"/>
      <c r="U68" s="1454"/>
      <c r="V68" s="1450"/>
      <c r="W68" s="1450"/>
      <c r="X68" s="1450"/>
      <c r="Y68" s="1454"/>
      <c r="Z68" s="1454"/>
      <c r="AA68" s="1454"/>
      <c r="AB68" s="1454"/>
      <c r="AC68" s="1454"/>
      <c r="AD68" s="1454"/>
      <c r="AE68" s="1454"/>
      <c r="AF68" s="1454"/>
      <c r="AG68" s="1454"/>
      <c r="AH68" s="1454"/>
      <c r="AI68" s="1454"/>
      <c r="AJ68" s="1454"/>
      <c r="AK68" s="1454"/>
      <c r="AL68" s="1454"/>
      <c r="AM68" s="1454"/>
      <c r="AN68" s="1454"/>
      <c r="AO68" s="1454"/>
      <c r="AP68" s="1448"/>
    </row>
    <row r="69" spans="1:43" ht="15" customHeight="1">
      <c r="A69" s="1448"/>
      <c r="B69" s="1456"/>
      <c r="C69" s="1448"/>
      <c r="D69" s="1455"/>
      <c r="E69" s="1461"/>
      <c r="F69" s="1461"/>
      <c r="G69" s="2958" t="s">
        <v>1891</v>
      </c>
      <c r="H69" s="2959"/>
      <c r="I69" s="2959"/>
      <c r="J69" s="2959"/>
      <c r="K69" s="2959"/>
      <c r="L69" s="2959"/>
      <c r="M69" s="2959"/>
      <c r="N69" s="2959"/>
      <c r="O69" s="2959"/>
      <c r="P69" s="2959"/>
      <c r="Q69" s="2959"/>
      <c r="R69" s="2959"/>
      <c r="S69" s="2959"/>
      <c r="T69" s="2959"/>
      <c r="U69" s="2960"/>
      <c r="V69" s="2961">
        <f>SUM(V55:W63)</f>
        <v>924</v>
      </c>
      <c r="W69" s="2612"/>
      <c r="X69" s="2962"/>
      <c r="Y69" s="1461"/>
      <c r="Z69" s="1461"/>
      <c r="AA69" s="1461"/>
      <c r="AB69" s="1461"/>
      <c r="AC69" s="1461"/>
      <c r="AD69" s="1461"/>
      <c r="AE69" s="1461"/>
      <c r="AF69" s="1461"/>
      <c r="AG69" s="1461"/>
      <c r="AH69" s="1461"/>
      <c r="AI69" s="1461"/>
      <c r="AJ69" s="1461"/>
      <c r="AK69" s="1461"/>
      <c r="AL69" s="1461"/>
      <c r="AM69" s="1461"/>
      <c r="AN69" s="1461"/>
      <c r="AO69" s="1461"/>
      <c r="AP69" s="1448"/>
    </row>
    <row r="70" spans="1:43">
      <c r="A70" s="1485"/>
      <c r="B70" s="768"/>
      <c r="C70" s="1485"/>
      <c r="D70" s="775"/>
      <c r="E70" s="775"/>
      <c r="F70" s="775"/>
      <c r="G70" s="775"/>
      <c r="H70" s="775"/>
      <c r="I70" s="1147"/>
      <c r="J70" s="1147"/>
      <c r="K70" s="1147"/>
      <c r="L70" s="1147"/>
      <c r="M70" s="1147"/>
      <c r="N70" s="1147"/>
      <c r="O70" s="1147"/>
      <c r="P70" s="1147"/>
      <c r="Q70" s="1147"/>
      <c r="R70" s="1147"/>
      <c r="S70" s="1147"/>
      <c r="T70" s="1147"/>
      <c r="U70" s="1147"/>
      <c r="V70" s="770"/>
      <c r="W70" s="770"/>
      <c r="X70" s="770"/>
      <c r="Y70" s="775"/>
      <c r="Z70" s="775"/>
      <c r="AA70" s="775"/>
      <c r="AB70" s="775"/>
      <c r="AC70" s="775"/>
      <c r="AD70" s="775"/>
      <c r="AE70" s="775"/>
      <c r="AF70" s="775"/>
      <c r="AG70" s="775"/>
      <c r="AH70" s="775"/>
      <c r="AI70" s="775"/>
      <c r="AJ70" s="775"/>
      <c r="AK70" s="775"/>
      <c r="AL70" s="775"/>
      <c r="AM70" s="775"/>
      <c r="AN70" s="775"/>
      <c r="AO70" s="775"/>
      <c r="AP70" s="1485"/>
    </row>
    <row r="71" spans="1:43">
      <c r="A71" s="1485"/>
      <c r="B71" s="768"/>
      <c r="C71" s="1485"/>
      <c r="D71" s="775"/>
      <c r="E71" s="775"/>
      <c r="F71" s="775"/>
      <c r="G71" s="775"/>
      <c r="H71" s="775"/>
      <c r="I71" s="1147"/>
      <c r="J71" s="1147"/>
      <c r="K71" s="1147"/>
      <c r="L71" s="1147"/>
      <c r="M71" s="1147"/>
      <c r="N71" s="1147"/>
      <c r="O71" s="1147"/>
      <c r="P71" s="1147"/>
      <c r="Q71" s="1147"/>
      <c r="R71" s="1147"/>
      <c r="S71" s="1147"/>
      <c r="T71" s="1147"/>
      <c r="U71" s="1147"/>
      <c r="V71" s="770"/>
      <c r="W71" s="770"/>
      <c r="X71" s="770"/>
      <c r="Y71" s="775"/>
      <c r="Z71" s="775"/>
      <c r="AA71" s="775"/>
      <c r="AB71" s="775"/>
      <c r="AC71" s="775"/>
      <c r="AD71" s="775"/>
      <c r="AE71" s="775"/>
      <c r="AF71" s="775"/>
      <c r="AG71" s="775"/>
      <c r="AH71" s="775"/>
      <c r="AI71" s="775"/>
      <c r="AJ71" s="775"/>
      <c r="AK71" s="775"/>
      <c r="AL71" s="775"/>
      <c r="AM71" s="775"/>
      <c r="AN71" s="775"/>
      <c r="AO71" s="775"/>
      <c r="AP71" s="1485"/>
    </row>
    <row r="72" spans="1:43">
      <c r="A72" s="1448"/>
      <c r="B72" s="1448"/>
      <c r="C72" s="1456" t="s">
        <v>2177</v>
      </c>
      <c r="D72" s="1448"/>
      <c r="E72" s="1448"/>
      <c r="F72" s="1448"/>
      <c r="G72" s="1448"/>
      <c r="H72" s="1448"/>
      <c r="I72" s="1448"/>
      <c r="J72" s="1448"/>
      <c r="K72" s="1448"/>
      <c r="L72" s="1448"/>
      <c r="M72" s="1448"/>
      <c r="N72" s="1448"/>
      <c r="O72" s="1448"/>
      <c r="P72" s="1448"/>
      <c r="Q72" s="1448"/>
      <c r="R72" s="1448"/>
      <c r="S72" s="1448"/>
      <c r="T72" s="1448"/>
      <c r="U72" s="1448"/>
      <c r="V72" s="1448"/>
      <c r="W72" s="1448"/>
      <c r="X72" s="1448"/>
      <c r="Y72" s="1448"/>
      <c r="Z72" s="1448"/>
      <c r="AA72" s="1448"/>
      <c r="AB72" s="1448"/>
      <c r="AC72" s="1448"/>
      <c r="AD72" s="1448"/>
      <c r="AE72" s="1448"/>
      <c r="AF72" s="1448"/>
      <c r="AG72" s="1448"/>
      <c r="AH72" s="1448"/>
      <c r="AI72" s="1448"/>
      <c r="AJ72" s="1448"/>
      <c r="AK72" s="1448"/>
      <c r="AL72" s="1448"/>
      <c r="AM72" s="1457"/>
      <c r="AN72" s="1457"/>
      <c r="AO72" s="1457"/>
      <c r="AP72" s="1448"/>
    </row>
    <row r="73" spans="1:43" ht="11.45" customHeight="1">
      <c r="A73" s="1448"/>
      <c r="B73" s="1448"/>
      <c r="C73" s="1453"/>
      <c r="D73" s="1512"/>
      <c r="E73" s="1453"/>
      <c r="F73" s="1512"/>
      <c r="G73" s="1512"/>
      <c r="H73" s="1512"/>
      <c r="I73" s="1512"/>
      <c r="J73" s="1512"/>
      <c r="K73" s="1512"/>
      <c r="L73" s="1448"/>
      <c r="M73" s="1448"/>
      <c r="N73" s="1448"/>
      <c r="O73" s="1448"/>
      <c r="P73" s="1448"/>
      <c r="Q73" s="1448"/>
      <c r="R73" s="1448"/>
      <c r="S73" s="1448"/>
      <c r="T73" s="1448"/>
      <c r="U73" s="1448"/>
      <c r="V73" s="1448"/>
      <c r="W73" s="1448"/>
      <c r="X73" s="1448"/>
      <c r="Y73" s="1448"/>
      <c r="Z73" s="1448"/>
      <c r="AA73" s="1448"/>
      <c r="AB73" s="1448"/>
      <c r="AC73" s="1448"/>
      <c r="AD73" s="1448"/>
      <c r="AE73" s="1448"/>
      <c r="AF73" s="1448"/>
      <c r="AG73" s="1448"/>
      <c r="AH73" s="1448"/>
      <c r="AI73" s="1448"/>
      <c r="AJ73" s="1448"/>
      <c r="AK73" s="1448"/>
      <c r="AL73" s="1448"/>
      <c r="AM73" s="1457"/>
      <c r="AN73" s="1457"/>
      <c r="AO73" s="1457"/>
      <c r="AP73" s="1448"/>
    </row>
    <row r="74" spans="1:43">
      <c r="A74" s="1448"/>
      <c r="B74" s="1448"/>
      <c r="C74" s="1453"/>
      <c r="D74" s="1512" t="s">
        <v>4338</v>
      </c>
      <c r="E74" s="1453"/>
      <c r="F74" s="1512"/>
      <c r="G74" s="1512"/>
      <c r="H74" s="1512"/>
      <c r="I74" s="1512"/>
      <c r="J74" s="1512"/>
      <c r="K74" s="1512"/>
      <c r="L74" s="1448"/>
      <c r="M74" s="1448"/>
      <c r="N74" s="1448"/>
      <c r="O74" s="1448"/>
      <c r="P74" s="1448"/>
      <c r="Q74" s="1448"/>
      <c r="R74" s="1448"/>
      <c r="S74" s="1448"/>
      <c r="T74" s="1448"/>
      <c r="U74" s="1448"/>
      <c r="V74" s="1448"/>
      <c r="W74" s="1448"/>
      <c r="X74" s="1448"/>
      <c r="Y74" s="1448"/>
      <c r="Z74" s="1448"/>
      <c r="AA74" s="1448"/>
      <c r="AB74" s="1448"/>
      <c r="AC74" s="1448"/>
      <c r="AD74" s="1448"/>
      <c r="AE74" s="1448"/>
      <c r="AF74" s="1448"/>
      <c r="AG74" s="1448"/>
      <c r="AH74" s="1448"/>
      <c r="AI74" s="1448"/>
      <c r="AJ74" s="1448"/>
      <c r="AK74" s="1448"/>
      <c r="AL74" s="1448"/>
      <c r="AM74" s="1457"/>
      <c r="AN74" s="1457"/>
      <c r="AO74" s="1457"/>
      <c r="AP74" s="1448"/>
    </row>
    <row r="75" spans="1:43">
      <c r="A75" s="1448"/>
      <c r="B75" s="1448"/>
      <c r="C75" s="1453"/>
      <c r="D75" s="1512"/>
      <c r="E75" s="1453"/>
      <c r="F75" s="1512"/>
      <c r="G75" s="1512"/>
      <c r="H75" s="1512"/>
      <c r="I75" s="1512"/>
      <c r="J75" s="1512"/>
      <c r="K75" s="1512"/>
      <c r="L75" s="1448"/>
      <c r="M75" s="1448"/>
      <c r="N75" s="1448"/>
      <c r="O75" s="1448"/>
      <c r="P75" s="1448"/>
      <c r="Q75" s="1448"/>
      <c r="R75" s="1448"/>
      <c r="S75" s="1448"/>
      <c r="T75" s="1448"/>
      <c r="U75" s="1448"/>
      <c r="V75" s="1448"/>
      <c r="W75" s="1448"/>
      <c r="X75" s="1448"/>
      <c r="Y75" s="1448"/>
      <c r="Z75" s="1448"/>
      <c r="AA75" s="1448"/>
      <c r="AB75" s="1448"/>
      <c r="AC75" s="1448"/>
      <c r="AD75" s="1448"/>
      <c r="AE75" s="1448"/>
      <c r="AF75" s="1448"/>
      <c r="AG75" s="1448"/>
      <c r="AH75" s="1448"/>
      <c r="AI75" s="1448"/>
      <c r="AJ75" s="1448"/>
      <c r="AK75" s="1448"/>
      <c r="AL75" s="1448"/>
      <c r="AM75" s="1457"/>
      <c r="AN75" s="1457"/>
      <c r="AO75" s="1457"/>
      <c r="AP75" s="1448"/>
    </row>
    <row r="76" spans="1:43">
      <c r="A76" s="1448"/>
      <c r="B76" s="1448"/>
      <c r="C76" s="1449"/>
      <c r="D76" s="1513"/>
      <c r="E76" s="1513"/>
      <c r="F76" s="1513"/>
      <c r="G76" s="1513"/>
      <c r="H76" s="1513"/>
      <c r="I76" s="1513"/>
      <c r="J76" s="1513"/>
      <c r="K76" s="1513"/>
      <c r="L76" s="1513"/>
      <c r="M76" s="1513"/>
      <c r="N76" s="1513"/>
      <c r="O76" s="1513"/>
      <c r="P76" s="1514"/>
      <c r="Q76" s="1514"/>
      <c r="R76" s="1514"/>
      <c r="S76" s="1514"/>
      <c r="T76" s="1514"/>
      <c r="U76" s="1514"/>
      <c r="V76" s="1514"/>
      <c r="W76" s="1514"/>
      <c r="X76" s="1514"/>
      <c r="Y76" s="1514"/>
      <c r="Z76" s="1514"/>
      <c r="AA76" s="1514"/>
      <c r="AB76" s="1514"/>
      <c r="AC76" s="1514"/>
      <c r="AD76" s="1514"/>
      <c r="AE76" s="1514"/>
      <c r="AF76" s="1514"/>
      <c r="AG76" s="1514"/>
      <c r="AH76" s="1514"/>
      <c r="AI76" s="1514"/>
      <c r="AJ76" s="1514"/>
      <c r="AK76" s="1514"/>
      <c r="AL76" s="1514"/>
      <c r="AM76" s="1514"/>
      <c r="AN76" s="1514"/>
      <c r="AO76" s="1514"/>
      <c r="AP76" s="1513"/>
    </row>
    <row r="77" spans="1:43">
      <c r="A77" s="1485"/>
      <c r="B77" s="1485"/>
      <c r="C77" s="768" t="s">
        <v>4308</v>
      </c>
      <c r="D77" s="1485"/>
      <c r="E77" s="1485"/>
      <c r="F77" s="1485"/>
      <c r="G77" s="1485"/>
      <c r="H77" s="1485"/>
      <c r="I77" s="1485"/>
      <c r="J77" s="1485"/>
      <c r="K77" s="1485"/>
      <c r="L77" s="1485"/>
      <c r="M77" s="1485"/>
      <c r="N77" s="1485"/>
      <c r="O77" s="1485"/>
      <c r="P77" s="1485"/>
      <c r="Q77" s="1485"/>
      <c r="R77" s="1485"/>
      <c r="S77" s="1485"/>
      <c r="T77" s="779"/>
      <c r="U77" s="1345"/>
      <c r="V77" s="1345"/>
      <c r="W77" s="1345"/>
      <c r="X77" s="1345"/>
      <c r="Y77" s="780"/>
      <c r="Z77" s="780"/>
      <c r="AA77" s="780"/>
      <c r="AB77" s="780"/>
      <c r="AC77" s="780"/>
      <c r="AD77" s="780"/>
      <c r="AE77" s="780"/>
      <c r="AF77" s="780"/>
      <c r="AG77" s="780"/>
      <c r="AH77" s="780"/>
      <c r="AI77" s="780"/>
      <c r="AJ77" s="780"/>
      <c r="AK77" s="780"/>
      <c r="AL77" s="1345"/>
      <c r="AM77" s="1345"/>
      <c r="AN77" s="1345"/>
      <c r="AO77" s="1345"/>
      <c r="AP77" s="1485"/>
    </row>
    <row r="78" spans="1:43" ht="15.75" thickBot="1">
      <c r="A78" s="1485"/>
      <c r="B78" s="1485"/>
      <c r="C78" s="781"/>
      <c r="D78" s="770"/>
      <c r="E78" s="1148"/>
      <c r="F78" s="1148"/>
      <c r="G78" s="1148"/>
      <c r="H78" s="1148"/>
      <c r="I78" s="1148"/>
      <c r="J78" s="1148"/>
      <c r="K78" s="1148"/>
      <c r="L78" s="1148"/>
      <c r="M78" s="1148"/>
      <c r="N78" s="1148"/>
      <c r="O78" s="1148"/>
      <c r="P78" s="1148"/>
      <c r="Q78" s="1148"/>
      <c r="R78" s="1148"/>
      <c r="S78" s="770"/>
      <c r="T78" s="770"/>
      <c r="U78" s="770"/>
      <c r="V78" s="770"/>
      <c r="W78" s="770"/>
      <c r="X78" s="770"/>
      <c r="Y78" s="782"/>
      <c r="Z78" s="782"/>
      <c r="AA78" s="782"/>
      <c r="AB78" s="782"/>
      <c r="AC78" s="782"/>
      <c r="AD78" s="782"/>
      <c r="AE78" s="782"/>
      <c r="AF78" s="782"/>
      <c r="AG78" s="782"/>
      <c r="AH78" s="782"/>
      <c r="AI78" s="782"/>
      <c r="AJ78" s="782"/>
      <c r="AK78" s="782"/>
      <c r="AL78" s="770"/>
      <c r="AM78" s="770"/>
      <c r="AN78" s="770"/>
      <c r="AO78" s="770"/>
      <c r="AP78" s="1485"/>
    </row>
    <row r="79" spans="1:43" ht="15" customHeight="1">
      <c r="A79" s="1485"/>
      <c r="B79" s="1485"/>
      <c r="C79" s="2734" t="s">
        <v>1892</v>
      </c>
      <c r="D79" s="2735"/>
      <c r="E79" s="2735"/>
      <c r="F79" s="2736"/>
      <c r="G79" s="2740" t="s">
        <v>1893</v>
      </c>
      <c r="H79" s="2741"/>
      <c r="I79" s="2741"/>
      <c r="J79" s="2741"/>
      <c r="K79" s="2742"/>
      <c r="L79" s="2746" t="s">
        <v>1894</v>
      </c>
      <c r="M79" s="2747"/>
      <c r="N79" s="2747"/>
      <c r="O79" s="2747"/>
      <c r="P79" s="2747"/>
      <c r="Q79" s="2747"/>
      <c r="R79" s="2748"/>
      <c r="S79" s="2746" t="s">
        <v>1895</v>
      </c>
      <c r="T79" s="2747"/>
      <c r="U79" s="2747"/>
      <c r="V79" s="2747"/>
      <c r="W79" s="2747"/>
      <c r="X79" s="2747"/>
      <c r="Y79" s="2747"/>
      <c r="Z79" s="2748"/>
      <c r="AA79" s="2746" t="s">
        <v>1896</v>
      </c>
      <c r="AB79" s="2747"/>
      <c r="AC79" s="2747"/>
      <c r="AD79" s="2747"/>
      <c r="AE79" s="2747"/>
      <c r="AF79" s="2747"/>
      <c r="AG79" s="2747"/>
      <c r="AH79" s="2748"/>
      <c r="AI79" s="2746" t="s">
        <v>1897</v>
      </c>
      <c r="AJ79" s="2747"/>
      <c r="AK79" s="2747"/>
      <c r="AL79" s="2747"/>
      <c r="AM79" s="2747"/>
      <c r="AN79" s="2747"/>
      <c r="AO79" s="2749"/>
      <c r="AP79" s="1485"/>
    </row>
    <row r="80" spans="1:43" ht="15.75" thickBot="1">
      <c r="A80" s="1485"/>
      <c r="B80" s="1485"/>
      <c r="C80" s="2737"/>
      <c r="D80" s="2738"/>
      <c r="E80" s="2738"/>
      <c r="F80" s="2739"/>
      <c r="G80" s="2743"/>
      <c r="H80" s="2744"/>
      <c r="I80" s="2744"/>
      <c r="J80" s="2744"/>
      <c r="K80" s="2745"/>
      <c r="L80" s="2750" t="s">
        <v>1</v>
      </c>
      <c r="M80" s="2751"/>
      <c r="N80" s="2751"/>
      <c r="O80" s="2751"/>
      <c r="P80" s="2752"/>
      <c r="Q80" s="2750" t="s">
        <v>0</v>
      </c>
      <c r="R80" s="2752"/>
      <c r="S80" s="2750" t="s">
        <v>1</v>
      </c>
      <c r="T80" s="2751"/>
      <c r="U80" s="2751"/>
      <c r="V80" s="2751"/>
      <c r="W80" s="2751"/>
      <c r="X80" s="2752"/>
      <c r="Y80" s="2750" t="s">
        <v>0</v>
      </c>
      <c r="Z80" s="2752"/>
      <c r="AA80" s="2750" t="s">
        <v>1</v>
      </c>
      <c r="AB80" s="2751"/>
      <c r="AC80" s="2751"/>
      <c r="AD80" s="2751"/>
      <c r="AE80" s="2751"/>
      <c r="AF80" s="2752"/>
      <c r="AG80" s="2750" t="s">
        <v>0</v>
      </c>
      <c r="AH80" s="2752"/>
      <c r="AI80" s="2750" t="s">
        <v>1</v>
      </c>
      <c r="AJ80" s="2751"/>
      <c r="AK80" s="2751"/>
      <c r="AL80" s="2751"/>
      <c r="AM80" s="2752"/>
      <c r="AN80" s="2750" t="s">
        <v>0</v>
      </c>
      <c r="AO80" s="2753"/>
      <c r="AP80" s="1485"/>
      <c r="AQ80" s="1524">
        <f>+G85+G86+G87+G88+G89</f>
        <v>4845416.3800000008</v>
      </c>
    </row>
    <row r="81" spans="1:48" ht="15.75" hidden="1" thickBot="1">
      <c r="A81" s="1485"/>
      <c r="B81" s="1485"/>
      <c r="C81" s="2936" t="s">
        <v>1898</v>
      </c>
      <c r="D81" s="2937"/>
      <c r="E81" s="2937"/>
      <c r="F81" s="2938"/>
      <c r="G81" s="2939">
        <f>+'[28]VAL. PRINC'!G840</f>
        <v>15398736.547100004</v>
      </c>
      <c r="H81" s="2940"/>
      <c r="I81" s="2940"/>
      <c r="J81" s="2940"/>
      <c r="K81" s="2941"/>
      <c r="L81" s="2942">
        <f>+L83</f>
        <v>9829277.6385006309</v>
      </c>
      <c r="M81" s="2943"/>
      <c r="N81" s="2943"/>
      <c r="O81" s="2943"/>
      <c r="P81" s="2944"/>
      <c r="Q81" s="2945">
        <f>+L81/G81</f>
        <v>0.63831715078934503</v>
      </c>
      <c r="R81" s="2946"/>
      <c r="S81" s="2942">
        <f>+S83</f>
        <v>195622.0725984</v>
      </c>
      <c r="T81" s="2943"/>
      <c r="U81" s="2943"/>
      <c r="V81" s="2943"/>
      <c r="W81" s="2943"/>
      <c r="X81" s="2944"/>
      <c r="Y81" s="2945">
        <f>S81/G81</f>
        <v>1.2703774234986889E-2</v>
      </c>
      <c r="Z81" s="2946"/>
      <c r="AA81" s="2942">
        <f>L81+S81</f>
        <v>10024899.71109903</v>
      </c>
      <c r="AB81" s="2943"/>
      <c r="AC81" s="2943"/>
      <c r="AD81" s="2943"/>
      <c r="AE81" s="2943"/>
      <c r="AF81" s="2944"/>
      <c r="AG81" s="2945">
        <f>+AA81/G81</f>
        <v>0.65102092502433184</v>
      </c>
      <c r="AH81" s="2946"/>
      <c r="AI81" s="2947">
        <f>G81-AA81</f>
        <v>5373836.8360009734</v>
      </c>
      <c r="AJ81" s="2948"/>
      <c r="AK81" s="2948"/>
      <c r="AL81" s="2948"/>
      <c r="AM81" s="2949"/>
      <c r="AN81" s="2950">
        <v>0</v>
      </c>
      <c r="AO81" s="2951"/>
      <c r="AP81" s="1485"/>
      <c r="AQ81" s="1515">
        <v>1</v>
      </c>
    </row>
    <row r="82" spans="1:48" ht="20.45" customHeight="1">
      <c r="A82" s="1485"/>
      <c r="B82" s="1485"/>
      <c r="C82" s="2928" t="s">
        <v>3687</v>
      </c>
      <c r="D82" s="2929"/>
      <c r="E82" s="2929"/>
      <c r="F82" s="2930"/>
      <c r="G82" s="2931">
        <f>+G83+G84</f>
        <v>20432066.599999998</v>
      </c>
      <c r="H82" s="2932"/>
      <c r="I82" s="2932"/>
      <c r="J82" s="2932"/>
      <c r="K82" s="2933"/>
      <c r="L82" s="2934">
        <f>+L83+L84</f>
        <v>13951620.756219631</v>
      </c>
      <c r="M82" s="2932"/>
      <c r="N82" s="2932"/>
      <c r="O82" s="2932"/>
      <c r="P82" s="2933"/>
      <c r="Q82" s="2922">
        <f>+L82/G82</f>
        <v>0.68282964368467913</v>
      </c>
      <c r="R82" s="2935"/>
      <c r="S82" s="2934">
        <f>+S83+S84</f>
        <v>289037.12929840002</v>
      </c>
      <c r="T82" s="2932"/>
      <c r="U82" s="2932"/>
      <c r="V82" s="2932"/>
      <c r="W82" s="2932"/>
      <c r="X82" s="2933"/>
      <c r="Y82" s="2922">
        <f>S82/G82</f>
        <v>1.4146250350339014E-2</v>
      </c>
      <c r="Z82" s="2935"/>
      <c r="AA82" s="2934">
        <f>L82+S82</f>
        <v>14240657.885518031</v>
      </c>
      <c r="AB82" s="2932"/>
      <c r="AC82" s="2932"/>
      <c r="AD82" s="2932"/>
      <c r="AE82" s="2932"/>
      <c r="AF82" s="2933"/>
      <c r="AG82" s="2922">
        <f>+AA82/G82</f>
        <v>0.69697589403501814</v>
      </c>
      <c r="AH82" s="2935"/>
      <c r="AI82" s="2934">
        <f>G82-AA82</f>
        <v>6191408.7144819666</v>
      </c>
      <c r="AJ82" s="2932"/>
      <c r="AK82" s="2932"/>
      <c r="AL82" s="2932"/>
      <c r="AM82" s="2933"/>
      <c r="AN82" s="2922">
        <v>0</v>
      </c>
      <c r="AO82" s="2923"/>
      <c r="AP82" s="1485"/>
      <c r="AQ82" s="1515"/>
      <c r="AT82" s="1458">
        <v>13475048.01055913</v>
      </c>
      <c r="AU82" s="1524">
        <f>+AT82-L82</f>
        <v>-476572.7456605006</v>
      </c>
    </row>
    <row r="83" spans="1:48" s="1517" customFormat="1" ht="30" customHeight="1">
      <c r="A83" s="1145"/>
      <c r="B83" s="1145"/>
      <c r="C83" s="2924" t="s">
        <v>4345</v>
      </c>
      <c r="D83" s="2925"/>
      <c r="E83" s="2925"/>
      <c r="F83" s="2926"/>
      <c r="G83" s="2915">
        <f>+'RESUMEN GENERAL'!C13</f>
        <v>15586650.219999997</v>
      </c>
      <c r="H83" s="2916"/>
      <c r="I83" s="2916"/>
      <c r="J83" s="2916"/>
      <c r="K83" s="2917"/>
      <c r="L83" s="2915">
        <f>+'RESUMEN GENERAL'!D13</f>
        <v>9829277.6385006309</v>
      </c>
      <c r="M83" s="2916"/>
      <c r="N83" s="2916"/>
      <c r="O83" s="2916"/>
      <c r="P83" s="2917"/>
      <c r="Q83" s="2920">
        <f>+L83/G83</f>
        <v>0.63062155753570459</v>
      </c>
      <c r="R83" s="2921"/>
      <c r="S83" s="2915">
        <f>+'RESUMEN GENERAL'!F13</f>
        <v>195622.0725984</v>
      </c>
      <c r="T83" s="2916"/>
      <c r="U83" s="2916"/>
      <c r="V83" s="2916"/>
      <c r="W83" s="2916"/>
      <c r="X83" s="2917"/>
      <c r="Y83" s="2920">
        <f>S83/G83</f>
        <v>1.2550616703221306E-2</v>
      </c>
      <c r="Z83" s="2921"/>
      <c r="AA83" s="2915">
        <f>+'RESUMEN GENERAL'!H13</f>
        <v>10024899.711099032</v>
      </c>
      <c r="AB83" s="2916"/>
      <c r="AC83" s="2916"/>
      <c r="AD83" s="2916"/>
      <c r="AE83" s="2916"/>
      <c r="AF83" s="2917"/>
      <c r="AG83" s="2920">
        <f>+AA83/G83</f>
        <v>0.64317217423892603</v>
      </c>
      <c r="AH83" s="2921"/>
      <c r="AI83" s="2915">
        <f>G83-AA83</f>
        <v>5561750.5089009646</v>
      </c>
      <c r="AJ83" s="2916"/>
      <c r="AK83" s="2916"/>
      <c r="AL83" s="2916"/>
      <c r="AM83" s="2916"/>
      <c r="AN83" s="2920">
        <f>+AQ81-AG83</f>
        <v>0.35682782576107397</v>
      </c>
      <c r="AO83" s="2927"/>
      <c r="AP83" s="1145"/>
      <c r="AQ83" s="1516" t="e">
        <f>#REF!+#REF!</f>
        <v>#REF!</v>
      </c>
      <c r="AR83" s="1517">
        <v>2652104.96717944</v>
      </c>
      <c r="AT83" s="1517">
        <v>9561748.342835132</v>
      </c>
      <c r="AU83" s="1524">
        <f t="shared" ref="AU83:AU96" si="0">+AT83-L83</f>
        <v>-267529.29566549882</v>
      </c>
    </row>
    <row r="84" spans="1:48" ht="30" customHeight="1">
      <c r="A84" s="1287"/>
      <c r="B84" s="1287"/>
      <c r="C84" s="2909" t="s">
        <v>4346</v>
      </c>
      <c r="D84" s="2910"/>
      <c r="E84" s="2910"/>
      <c r="F84" s="2911"/>
      <c r="G84" s="2912">
        <f>+G85+G86+G87+G88+G89</f>
        <v>4845416.3800000008</v>
      </c>
      <c r="H84" s="2913"/>
      <c r="I84" s="2913"/>
      <c r="J84" s="2913"/>
      <c r="K84" s="2914"/>
      <c r="L84" s="2915">
        <f>SUM(L85:O89)</f>
        <v>4122343.1177190002</v>
      </c>
      <c r="M84" s="2916"/>
      <c r="N84" s="2916"/>
      <c r="O84" s="2916"/>
      <c r="P84" s="2917"/>
      <c r="Q84" s="2918">
        <f>+L84/G84</f>
        <v>0.85077169729611546</v>
      </c>
      <c r="R84" s="2919"/>
      <c r="S84" s="2915">
        <f>SUM(S85:W89)</f>
        <v>93415.056700000001</v>
      </c>
      <c r="T84" s="2916"/>
      <c r="U84" s="2916"/>
      <c r="V84" s="2916"/>
      <c r="W84" s="2916"/>
      <c r="X84" s="2917"/>
      <c r="Y84" s="2918">
        <f t="shared" ref="Y84:Y93" si="1">+S84/G84</f>
        <v>1.9279056612261664E-2</v>
      </c>
      <c r="Z84" s="2919"/>
      <c r="AA84" s="2915">
        <f>SUM(L84,S84)</f>
        <v>4215758.1744189998</v>
      </c>
      <c r="AB84" s="2916"/>
      <c r="AC84" s="2916"/>
      <c r="AD84" s="2916"/>
      <c r="AE84" s="2916"/>
      <c r="AF84" s="2917"/>
      <c r="AG84" s="2920">
        <f>+AA84/G84</f>
        <v>0.87005075390837705</v>
      </c>
      <c r="AH84" s="2921"/>
      <c r="AI84" s="2915">
        <f>+G84-AA84</f>
        <v>629658.20558100101</v>
      </c>
      <c r="AJ84" s="2916"/>
      <c r="AK84" s="2916"/>
      <c r="AL84" s="2916"/>
      <c r="AM84" s="2916"/>
      <c r="AN84" s="2905">
        <f>+AI84/G84</f>
        <v>0.12994924609162298</v>
      </c>
      <c r="AO84" s="2906"/>
      <c r="AP84" s="1287"/>
      <c r="AQ84" s="1458">
        <v>361586.55821093335</v>
      </c>
      <c r="AR84" s="1458">
        <v>2652104.9671794381</v>
      </c>
      <c r="AT84" s="1458">
        <v>3913299.6677240003</v>
      </c>
      <c r="AU84" s="1524">
        <f t="shared" si="0"/>
        <v>-209043.44999499992</v>
      </c>
    </row>
    <row r="85" spans="1:48" ht="30" customHeight="1">
      <c r="A85" s="1287"/>
      <c r="B85" s="1287"/>
      <c r="C85" s="2881" t="s">
        <v>3667</v>
      </c>
      <c r="D85" s="2882"/>
      <c r="E85" s="2882"/>
      <c r="F85" s="2883"/>
      <c r="G85" s="2884">
        <f>+'RESUMEN GENERAL'!C23</f>
        <v>165006.5</v>
      </c>
      <c r="H85" s="2609"/>
      <c r="I85" s="2609"/>
      <c r="J85" s="2609"/>
      <c r="K85" s="2610"/>
      <c r="L85" s="2608">
        <f>+'RESUMEN GENERAL'!D23</f>
        <v>165006.5</v>
      </c>
      <c r="M85" s="2609"/>
      <c r="N85" s="2609"/>
      <c r="O85" s="2609"/>
      <c r="P85" s="2610"/>
      <c r="Q85" s="2619">
        <f>L85/G85</f>
        <v>1</v>
      </c>
      <c r="R85" s="2620"/>
      <c r="S85" s="2608">
        <f>+'RESUMEN GENERAL'!F23</f>
        <v>0</v>
      </c>
      <c r="T85" s="2609"/>
      <c r="U85" s="2609"/>
      <c r="V85" s="2609"/>
      <c r="W85" s="2609"/>
      <c r="X85" s="2610"/>
      <c r="Y85" s="2885">
        <f t="shared" si="1"/>
        <v>0</v>
      </c>
      <c r="Z85" s="2886"/>
      <c r="AA85" s="2608">
        <f>SUM(L85,S85:X85)</f>
        <v>165006.5</v>
      </c>
      <c r="AB85" s="2609"/>
      <c r="AC85" s="2609"/>
      <c r="AD85" s="2609"/>
      <c r="AE85" s="2609"/>
      <c r="AF85" s="2610"/>
      <c r="AG85" s="2887">
        <f t="shared" ref="AG85:AG90" si="2">AA85/G85</f>
        <v>1</v>
      </c>
      <c r="AH85" s="2894"/>
      <c r="AI85" s="2907">
        <f>G85-AA85</f>
        <v>0</v>
      </c>
      <c r="AJ85" s="2908"/>
      <c r="AK85" s="2908"/>
      <c r="AL85" s="2908"/>
      <c r="AM85" s="2908"/>
      <c r="AN85" s="2887">
        <v>0</v>
      </c>
      <c r="AO85" s="2888"/>
      <c r="AP85" s="1287"/>
      <c r="AT85" s="1458">
        <v>165006.5</v>
      </c>
      <c r="AU85" s="1524">
        <f t="shared" si="0"/>
        <v>0</v>
      </c>
    </row>
    <row r="86" spans="1:48" s="1518" customFormat="1" ht="30" customHeight="1">
      <c r="A86" s="1468"/>
      <c r="B86" s="1468"/>
      <c r="C86" s="2881" t="s">
        <v>3668</v>
      </c>
      <c r="D86" s="2882"/>
      <c r="E86" s="2882"/>
      <c r="F86" s="2883"/>
      <c r="G86" s="2884">
        <f>+'RESUMEN GENERAL'!C26</f>
        <v>587707.12</v>
      </c>
      <c r="H86" s="2609"/>
      <c r="I86" s="2609"/>
      <c r="J86" s="2609"/>
      <c r="K86" s="2610"/>
      <c r="L86" s="2608">
        <f>+'RESUMEN GENERAL'!D26</f>
        <v>563817.55560000008</v>
      </c>
      <c r="M86" s="2609"/>
      <c r="N86" s="2609"/>
      <c r="O86" s="2609"/>
      <c r="P86" s="2610"/>
      <c r="Q86" s="2619">
        <f>L86/G86</f>
        <v>0.95935124216293333</v>
      </c>
      <c r="R86" s="2620"/>
      <c r="S86" s="2608">
        <f>+'RESUMEN GENERAL'!F26</f>
        <v>0</v>
      </c>
      <c r="T86" s="2609"/>
      <c r="U86" s="2609"/>
      <c r="V86" s="2609"/>
      <c r="W86" s="2609"/>
      <c r="X86" s="2610"/>
      <c r="Y86" s="2619">
        <f t="shared" si="1"/>
        <v>0</v>
      </c>
      <c r="Z86" s="2620"/>
      <c r="AA86" s="2608">
        <f>SUM(L86,S86:X86)</f>
        <v>563817.55560000008</v>
      </c>
      <c r="AB86" s="2609"/>
      <c r="AC86" s="2609"/>
      <c r="AD86" s="2609"/>
      <c r="AE86" s="2609"/>
      <c r="AF86" s="2610"/>
      <c r="AG86" s="2619">
        <f t="shared" si="2"/>
        <v>0.95935124216293333</v>
      </c>
      <c r="AH86" s="2620"/>
      <c r="AI86" s="2608">
        <f>G86-AA86</f>
        <v>23889.564399999916</v>
      </c>
      <c r="AJ86" s="2609"/>
      <c r="AK86" s="2609"/>
      <c r="AL86" s="2609"/>
      <c r="AM86" s="2609"/>
      <c r="AN86" s="2619">
        <f t="shared" ref="AN86:AN93" si="3">+AI86/G86</f>
        <v>4.0648757837066729E-2</v>
      </c>
      <c r="AO86" s="2845"/>
      <c r="AP86" s="1468"/>
      <c r="AT86" s="1518">
        <v>563817.55560000008</v>
      </c>
      <c r="AU86" s="1524">
        <f t="shared" si="0"/>
        <v>0</v>
      </c>
    </row>
    <row r="87" spans="1:48" s="1518" customFormat="1" ht="30" customHeight="1">
      <c r="A87" s="1468"/>
      <c r="B87" s="1468"/>
      <c r="C87" s="2881" t="s">
        <v>3681</v>
      </c>
      <c r="D87" s="2882"/>
      <c r="E87" s="2882"/>
      <c r="F87" s="2883"/>
      <c r="G87" s="2884">
        <f>+'RESUMEN GENERAL'!C32</f>
        <v>3433797.0500000007</v>
      </c>
      <c r="H87" s="2609"/>
      <c r="I87" s="2609"/>
      <c r="J87" s="2609"/>
      <c r="K87" s="2610"/>
      <c r="L87" s="2608">
        <f>+'RESUMEN GENERAL'!D32</f>
        <v>2191119.9512813003</v>
      </c>
      <c r="M87" s="2609"/>
      <c r="N87" s="2609"/>
      <c r="O87" s="2609"/>
      <c r="P87" s="2610"/>
      <c r="Q87" s="2619">
        <f t="shared" ref="Q87:Q89" si="4">L87/G87</f>
        <v>0.638104092750997</v>
      </c>
      <c r="R87" s="2620"/>
      <c r="S87" s="2608">
        <f>+'RESUMEN GENERAL'!F32</f>
        <v>41834.359200000006</v>
      </c>
      <c r="T87" s="2609"/>
      <c r="U87" s="2609"/>
      <c r="V87" s="2609"/>
      <c r="W87" s="2609"/>
      <c r="X87" s="2610"/>
      <c r="Y87" s="2619">
        <f t="shared" si="1"/>
        <v>1.2183119325587398E-2</v>
      </c>
      <c r="Z87" s="2620"/>
      <c r="AA87" s="2608">
        <f>SUM(L87,S87:X87)</f>
        <v>2232954.3104813001</v>
      </c>
      <c r="AB87" s="2609"/>
      <c r="AC87" s="2609"/>
      <c r="AD87" s="2609"/>
      <c r="AE87" s="2609"/>
      <c r="AF87" s="2610"/>
      <c r="AG87" s="2619">
        <f t="shared" si="2"/>
        <v>0.65028721207658435</v>
      </c>
      <c r="AH87" s="2620"/>
      <c r="AI87" s="2608">
        <f>G87-AA87</f>
        <v>1200842.7395187006</v>
      </c>
      <c r="AJ87" s="2609"/>
      <c r="AK87" s="2609"/>
      <c r="AL87" s="2609"/>
      <c r="AM87" s="2609"/>
      <c r="AN87" s="2619">
        <f t="shared" si="3"/>
        <v>0.3497127879234157</v>
      </c>
      <c r="AO87" s="2845"/>
      <c r="AP87" s="1468"/>
      <c r="AT87" s="1518">
        <v>2142199.4209863003</v>
      </c>
      <c r="AU87" s="1524">
        <f t="shared" si="0"/>
        <v>-48920.530294999946</v>
      </c>
    </row>
    <row r="88" spans="1:48" ht="30" customHeight="1">
      <c r="A88" s="1287"/>
      <c r="B88" s="1287"/>
      <c r="C88" s="2881" t="s">
        <v>3682</v>
      </c>
      <c r="D88" s="2882"/>
      <c r="E88" s="2882"/>
      <c r="F88" s="2883"/>
      <c r="G88" s="2884">
        <f>+'RESUMEN GENERAL'!C37</f>
        <v>2917415.5299999993</v>
      </c>
      <c r="H88" s="2609"/>
      <c r="I88" s="2609"/>
      <c r="J88" s="2609"/>
      <c r="K88" s="2610"/>
      <c r="L88" s="2608">
        <f>+'RESUMEN GENERAL'!D37</f>
        <v>1202399.1108376998</v>
      </c>
      <c r="M88" s="2609"/>
      <c r="N88" s="2609"/>
      <c r="O88" s="2609"/>
      <c r="P88" s="2610"/>
      <c r="Q88" s="2619">
        <f t="shared" si="4"/>
        <v>0.41214530411363792</v>
      </c>
      <c r="R88" s="2620"/>
      <c r="S88" s="2608">
        <f>+'RESUMEN GENERAL'!F37</f>
        <v>51580.697499999995</v>
      </c>
      <c r="T88" s="2609"/>
      <c r="U88" s="2609"/>
      <c r="V88" s="2609"/>
      <c r="W88" s="2609"/>
      <c r="X88" s="2610"/>
      <c r="Y88" s="2619">
        <f t="shared" si="1"/>
        <v>1.7680271106255478E-2</v>
      </c>
      <c r="Z88" s="2620"/>
      <c r="AA88" s="2608">
        <f>SUM(L88,S88:X88)</f>
        <v>1253979.8083376999</v>
      </c>
      <c r="AB88" s="2609"/>
      <c r="AC88" s="2609"/>
      <c r="AD88" s="2609"/>
      <c r="AE88" s="2609"/>
      <c r="AF88" s="2610"/>
      <c r="AG88" s="2619">
        <f t="shared" si="2"/>
        <v>0.4298255752198934</v>
      </c>
      <c r="AH88" s="2620"/>
      <c r="AI88" s="2660">
        <f>G88-AA88</f>
        <v>1663435.7216622995</v>
      </c>
      <c r="AJ88" s="2661"/>
      <c r="AK88" s="2661"/>
      <c r="AL88" s="2661"/>
      <c r="AM88" s="2661"/>
      <c r="AN88" s="2887">
        <f t="shared" si="3"/>
        <v>0.5701744247801066</v>
      </c>
      <c r="AO88" s="2888"/>
      <c r="AP88" s="1287"/>
      <c r="AQ88" s="1458">
        <v>56971.901400000002</v>
      </c>
      <c r="AT88" s="1458">
        <v>1042276.1911377</v>
      </c>
      <c r="AU88" s="1524">
        <f t="shared" si="0"/>
        <v>-160122.91969999985</v>
      </c>
    </row>
    <row r="89" spans="1:48" ht="30" customHeight="1">
      <c r="A89" s="1287"/>
      <c r="B89" s="1287"/>
      <c r="C89" s="2881" t="s">
        <v>4344</v>
      </c>
      <c r="D89" s="2882"/>
      <c r="E89" s="2882"/>
      <c r="F89" s="2883"/>
      <c r="G89" s="2884">
        <f>+'RESUMEN GENERAL'!C40</f>
        <v>-2258509.8199999998</v>
      </c>
      <c r="H89" s="2609"/>
      <c r="I89" s="2609"/>
      <c r="J89" s="2609"/>
      <c r="K89" s="2610"/>
      <c r="L89" s="2608">
        <v>0</v>
      </c>
      <c r="M89" s="2609"/>
      <c r="N89" s="2609"/>
      <c r="O89" s="2609"/>
      <c r="P89" s="2610"/>
      <c r="Q89" s="2619">
        <f t="shared" si="4"/>
        <v>0</v>
      </c>
      <c r="R89" s="2620"/>
      <c r="S89" s="2608">
        <v>0</v>
      </c>
      <c r="T89" s="2609"/>
      <c r="U89" s="2609"/>
      <c r="V89" s="2609"/>
      <c r="W89" s="2609"/>
      <c r="X89" s="2610"/>
      <c r="Y89" s="2619">
        <f t="shared" si="1"/>
        <v>0</v>
      </c>
      <c r="Z89" s="2620"/>
      <c r="AA89" s="2608">
        <f>SUM(L89,S89:X89)</f>
        <v>0</v>
      </c>
      <c r="AB89" s="2609"/>
      <c r="AC89" s="2609"/>
      <c r="AD89" s="2609"/>
      <c r="AE89" s="2609"/>
      <c r="AF89" s="2610"/>
      <c r="AG89" s="2619">
        <f t="shared" si="2"/>
        <v>0</v>
      </c>
      <c r="AH89" s="2620"/>
      <c r="AI89" s="2660">
        <f>G89-AA89</f>
        <v>-2258509.8199999998</v>
      </c>
      <c r="AJ89" s="2661"/>
      <c r="AK89" s="2661"/>
      <c r="AL89" s="2661"/>
      <c r="AM89" s="2661"/>
      <c r="AN89" s="2887">
        <f t="shared" si="3"/>
        <v>1</v>
      </c>
      <c r="AO89" s="2888"/>
      <c r="AP89" s="1287"/>
      <c r="AQ89" s="1458">
        <v>0</v>
      </c>
      <c r="AT89" s="1458">
        <v>0</v>
      </c>
      <c r="AU89" s="1524">
        <f t="shared" si="0"/>
        <v>0</v>
      </c>
    </row>
    <row r="90" spans="1:48" s="1517" customFormat="1" ht="30" customHeight="1">
      <c r="A90" s="1447"/>
      <c r="B90" s="1447"/>
      <c r="C90" s="2895" t="s">
        <v>3677</v>
      </c>
      <c r="D90" s="2896"/>
      <c r="E90" s="2896"/>
      <c r="F90" s="2897"/>
      <c r="G90" s="2898">
        <f>SUM(G91:K95)</f>
        <v>1944879.9100000001</v>
      </c>
      <c r="H90" s="2899"/>
      <c r="I90" s="2899"/>
      <c r="J90" s="2899"/>
      <c r="K90" s="2900"/>
      <c r="L90" s="2899">
        <f>SUM(L91:P95)</f>
        <v>1893813.4258329999</v>
      </c>
      <c r="M90" s="2899"/>
      <c r="N90" s="2899"/>
      <c r="O90" s="2899"/>
      <c r="P90" s="2899"/>
      <c r="Q90" s="2901">
        <f>L90/G90</f>
        <v>0.97374311704057848</v>
      </c>
      <c r="R90" s="2902"/>
      <c r="S90" s="2903">
        <f>SUM(S91:X95)</f>
        <v>55810.67</v>
      </c>
      <c r="T90" s="2899"/>
      <c r="U90" s="2899"/>
      <c r="V90" s="2899"/>
      <c r="W90" s="2899"/>
      <c r="X90" s="2900"/>
      <c r="Y90" s="2901">
        <f t="shared" si="1"/>
        <v>2.8696203664317761E-2</v>
      </c>
      <c r="Z90" s="2902"/>
      <c r="AA90" s="2903">
        <f>SUM(AA91:AF95)</f>
        <v>1949624.1058329998</v>
      </c>
      <c r="AB90" s="2899"/>
      <c r="AC90" s="2899"/>
      <c r="AD90" s="2899"/>
      <c r="AE90" s="2899"/>
      <c r="AF90" s="2900"/>
      <c r="AG90" s="2892">
        <f t="shared" si="2"/>
        <v>1.0024393258466018</v>
      </c>
      <c r="AH90" s="2904"/>
      <c r="AI90" s="2903">
        <f>SUM(AI91:AM95)</f>
        <v>-4744.1958329997142</v>
      </c>
      <c r="AJ90" s="2899"/>
      <c r="AK90" s="2899"/>
      <c r="AL90" s="2899"/>
      <c r="AM90" s="2900"/>
      <c r="AN90" s="2892">
        <f t="shared" si="3"/>
        <v>-2.4393258466018676E-3</v>
      </c>
      <c r="AO90" s="2893"/>
      <c r="AP90" s="1529">
        <f>+AA90/AA82</f>
        <v>0.13690548017557957</v>
      </c>
      <c r="AQ90" s="1516">
        <f>AA92+AA93+AA94+AA95+L91</f>
        <v>1897654.3976354632</v>
      </c>
      <c r="AT90" s="1517">
        <v>1714803.0358379998</v>
      </c>
      <c r="AU90" s="1524">
        <f t="shared" si="0"/>
        <v>-179010.38999500009</v>
      </c>
    </row>
    <row r="91" spans="1:48" ht="30" customHeight="1">
      <c r="A91" s="1287"/>
      <c r="B91" s="1287"/>
      <c r="C91" s="2881" t="s">
        <v>4348</v>
      </c>
      <c r="D91" s="2882"/>
      <c r="E91" s="2882"/>
      <c r="F91" s="2883"/>
      <c r="G91" s="2884">
        <f>+'VAL. PRINC'!R842</f>
        <v>1537902.87</v>
      </c>
      <c r="H91" s="2609"/>
      <c r="I91" s="2609"/>
      <c r="J91" s="2609"/>
      <c r="K91" s="2610"/>
      <c r="L91" s="2608">
        <f>+'VAL. PRINC'!T842</f>
        <v>1626969.4061039796</v>
      </c>
      <c r="M91" s="2609"/>
      <c r="N91" s="2609"/>
      <c r="O91" s="2609"/>
      <c r="P91" s="2610"/>
      <c r="Q91" s="2885">
        <f>+L91/G91</f>
        <v>1.057914279140385</v>
      </c>
      <c r="R91" s="2886"/>
      <c r="S91" s="2608">
        <f>+'VAL. PRINC'!V842</f>
        <v>51969.708197536682</v>
      </c>
      <c r="T91" s="2609"/>
      <c r="U91" s="2609"/>
      <c r="V91" s="2609"/>
      <c r="W91" s="2609"/>
      <c r="X91" s="1394"/>
      <c r="Y91" s="2885">
        <f t="shared" si="1"/>
        <v>3.3792581580614829E-2</v>
      </c>
      <c r="Z91" s="2886"/>
      <c r="AA91" s="2660">
        <f>L91+S91</f>
        <v>1678939.1143015162</v>
      </c>
      <c r="AB91" s="2661"/>
      <c r="AC91" s="2661"/>
      <c r="AD91" s="2661"/>
      <c r="AE91" s="2661"/>
      <c r="AF91" s="2662"/>
      <c r="AG91" s="2887">
        <f>+AA91/G91</f>
        <v>1.0917068607209999</v>
      </c>
      <c r="AH91" s="2894"/>
      <c r="AI91" s="2660">
        <f>G91-AA91</f>
        <v>-141036.2443015161</v>
      </c>
      <c r="AJ91" s="2661"/>
      <c r="AK91" s="2661"/>
      <c r="AL91" s="2661"/>
      <c r="AM91" s="2661"/>
      <c r="AN91" s="2887">
        <f t="shared" si="3"/>
        <v>-9.1706860720999941E-2</v>
      </c>
      <c r="AO91" s="2888"/>
      <c r="AP91" s="2156"/>
      <c r="AQ91" s="1524">
        <f>SUM(AA91:AF95)</f>
        <v>1949624.1058329998</v>
      </c>
      <c r="AT91" s="1458">
        <v>1456546.5549072977</v>
      </c>
      <c r="AU91" s="1524">
        <f t="shared" si="0"/>
        <v>-170422.85119668185</v>
      </c>
    </row>
    <row r="92" spans="1:48" ht="30" customHeight="1">
      <c r="A92" s="1485"/>
      <c r="B92" s="1485"/>
      <c r="C92" s="2889" t="s">
        <v>4347</v>
      </c>
      <c r="D92" s="2890"/>
      <c r="E92" s="2890"/>
      <c r="F92" s="2891"/>
      <c r="G92" s="2884">
        <f>+'VAL. AMP.2 COVID'!I38</f>
        <v>100529.56</v>
      </c>
      <c r="H92" s="2609"/>
      <c r="I92" s="2609"/>
      <c r="J92" s="2609"/>
      <c r="K92" s="2610"/>
      <c r="L92" s="2608">
        <f>+'VAL. AMP.2 COVID'!K38</f>
        <v>100529.56</v>
      </c>
      <c r="M92" s="2609"/>
      <c r="N92" s="2609"/>
      <c r="O92" s="2609"/>
      <c r="P92" s="2610"/>
      <c r="Q92" s="2885">
        <f t="shared" ref="Q92:Q93" si="5">+L92/G92</f>
        <v>1</v>
      </c>
      <c r="R92" s="2886"/>
      <c r="S92" s="2608">
        <v>0</v>
      </c>
      <c r="T92" s="2609"/>
      <c r="U92" s="2609"/>
      <c r="V92" s="2609"/>
      <c r="W92" s="2609"/>
      <c r="X92" s="1463"/>
      <c r="Y92" s="2885">
        <f t="shared" si="1"/>
        <v>0</v>
      </c>
      <c r="Z92" s="2886"/>
      <c r="AA92" s="2608">
        <f t="shared" ref="AA92:AA93" si="6">L92+S92</f>
        <v>100529.56</v>
      </c>
      <c r="AB92" s="2609"/>
      <c r="AC92" s="2609"/>
      <c r="AD92" s="2609"/>
      <c r="AE92" s="2609"/>
      <c r="AF92" s="2610"/>
      <c r="AG92" s="2619">
        <f t="shared" ref="AG92:AG93" si="7">+AA92/G92</f>
        <v>1</v>
      </c>
      <c r="AH92" s="2620"/>
      <c r="AI92" s="2660">
        <f t="shared" ref="AI92:AI93" si="8">G92-AA92</f>
        <v>0</v>
      </c>
      <c r="AJ92" s="2661"/>
      <c r="AK92" s="2661"/>
      <c r="AL92" s="2661"/>
      <c r="AM92" s="2661"/>
      <c r="AN92" s="2887">
        <f t="shared" si="3"/>
        <v>0</v>
      </c>
      <c r="AO92" s="2888"/>
      <c r="AP92" s="1485"/>
      <c r="AQ92" s="1524">
        <f>SUM(L91:O95)</f>
        <v>1893813.4258329999</v>
      </c>
      <c r="AR92" s="2338">
        <f>+'[29]F6 DICIEMBRE'!$R$73</f>
        <v>1597550.3358379998</v>
      </c>
      <c r="AT92" s="1458">
        <v>100529.56</v>
      </c>
      <c r="AU92" s="1524">
        <f t="shared" si="0"/>
        <v>0</v>
      </c>
    </row>
    <row r="93" spans="1:48" ht="30" customHeight="1">
      <c r="A93" s="1287"/>
      <c r="B93" s="1287"/>
      <c r="C93" s="2881" t="s">
        <v>4349</v>
      </c>
      <c r="D93" s="2882"/>
      <c r="E93" s="2882"/>
      <c r="F93" s="2883"/>
      <c r="G93" s="2884">
        <f>+'VAL AMP 3'!I61</f>
        <v>45201.65</v>
      </c>
      <c r="H93" s="2609"/>
      <c r="I93" s="2609"/>
      <c r="J93" s="2609"/>
      <c r="K93" s="2610"/>
      <c r="L93" s="2608">
        <f>+'VAL AMP 3'!K61</f>
        <v>43364.258306195508</v>
      </c>
      <c r="M93" s="2609"/>
      <c r="N93" s="2609"/>
      <c r="O93" s="2609"/>
      <c r="P93" s="2610"/>
      <c r="Q93" s="2885">
        <f t="shared" si="5"/>
        <v>0.95935122514765514</v>
      </c>
      <c r="R93" s="2886"/>
      <c r="S93" s="2608">
        <f>+'VAL AMP 3'!M61</f>
        <v>0</v>
      </c>
      <c r="T93" s="2609"/>
      <c r="U93" s="2609"/>
      <c r="V93" s="2609"/>
      <c r="W93" s="2609"/>
      <c r="X93" s="1463"/>
      <c r="Y93" s="2885">
        <f t="shared" si="1"/>
        <v>0</v>
      </c>
      <c r="Z93" s="2886"/>
      <c r="AA93" s="2608">
        <f t="shared" si="6"/>
        <v>43364.258306195508</v>
      </c>
      <c r="AB93" s="2609"/>
      <c r="AC93" s="2609"/>
      <c r="AD93" s="2609"/>
      <c r="AE93" s="2609"/>
      <c r="AF93" s="2610"/>
      <c r="AG93" s="2619">
        <f t="shared" si="7"/>
        <v>0.95935122514765514</v>
      </c>
      <c r="AH93" s="2620"/>
      <c r="AI93" s="2660">
        <f t="shared" si="8"/>
        <v>1837.3916938044931</v>
      </c>
      <c r="AJ93" s="2661"/>
      <c r="AK93" s="2661"/>
      <c r="AL93" s="2661"/>
      <c r="AM93" s="2661"/>
      <c r="AN93" s="2887">
        <f t="shared" si="3"/>
        <v>4.0648774852344839E-2</v>
      </c>
      <c r="AO93" s="2888"/>
      <c r="AP93" s="1287"/>
      <c r="AQ93" s="1524">
        <f>+L91</f>
        <v>1626969.4061039796</v>
      </c>
      <c r="AR93" s="1524">
        <f>+AQ93-(L92+L93+L94+L95)</f>
        <v>1360125.3863749593</v>
      </c>
      <c r="AT93" s="1458">
        <v>43364.258306195508</v>
      </c>
      <c r="AU93" s="1524">
        <f t="shared" si="0"/>
        <v>0</v>
      </c>
    </row>
    <row r="94" spans="1:48" ht="30" customHeight="1">
      <c r="A94" s="1287"/>
      <c r="B94" s="1287"/>
      <c r="C94" s="2881" t="s">
        <v>3681</v>
      </c>
      <c r="D94" s="2882"/>
      <c r="E94" s="2882"/>
      <c r="F94" s="2883"/>
      <c r="G94" s="2884">
        <f>+'VAL AMP4 MM'!I259</f>
        <v>141516.06656581606</v>
      </c>
      <c r="H94" s="2609"/>
      <c r="I94" s="2609"/>
      <c r="J94" s="2609"/>
      <c r="K94" s="2610"/>
      <c r="L94" s="2608">
        <f>+'VAL AMP4 MM'!K259+0.01</f>
        <v>83779.991322075104</v>
      </c>
      <c r="M94" s="2609"/>
      <c r="N94" s="2609"/>
      <c r="O94" s="2609"/>
      <c r="P94" s="2610"/>
      <c r="Q94" s="2619">
        <f t="shared" ref="Q94:Q95" si="9">L94/G94</f>
        <v>0.59201752391210538</v>
      </c>
      <c r="R94" s="2620"/>
      <c r="S94" s="2608">
        <f>+'VAL AMP4 MM'!M259</f>
        <v>1724.1071254591059</v>
      </c>
      <c r="T94" s="2609"/>
      <c r="U94" s="2609"/>
      <c r="V94" s="2609"/>
      <c r="W94" s="2609"/>
      <c r="X94" s="2270"/>
      <c r="Y94" s="2885">
        <f>+S94/G94</f>
        <v>1.2183119325587395E-2</v>
      </c>
      <c r="Z94" s="2886"/>
      <c r="AA94" s="2608">
        <f>L94+S94+0.01</f>
        <v>85504.108447534207</v>
      </c>
      <c r="AB94" s="2609"/>
      <c r="AC94" s="2609"/>
      <c r="AD94" s="2609"/>
      <c r="AE94" s="2609"/>
      <c r="AF94" s="2610"/>
      <c r="AG94" s="2619">
        <f>+AA94/G94</f>
        <v>0.60420071390104735</v>
      </c>
      <c r="AH94" s="2620"/>
      <c r="AI94" s="2608">
        <f>G94-AA94</f>
        <v>56011.958118281851</v>
      </c>
      <c r="AJ94" s="2609"/>
      <c r="AK94" s="2609"/>
      <c r="AL94" s="2609"/>
      <c r="AM94" s="2609"/>
      <c r="AN94" s="2619">
        <f>+AI94/G94</f>
        <v>0.3957992860989526</v>
      </c>
      <c r="AO94" s="2845"/>
      <c r="AP94" s="1469"/>
      <c r="AQ94" s="2339">
        <f>+S91-(S93+S94+S95)</f>
        <v>48128.746395073373</v>
      </c>
      <c r="AR94" s="1519"/>
      <c r="AS94" s="1519"/>
      <c r="AT94" s="1519">
        <v>81763.843914160519</v>
      </c>
      <c r="AU94" s="1524">
        <f t="shared" si="0"/>
        <v>-2016.1474079145846</v>
      </c>
      <c r="AV94" s="1519"/>
    </row>
    <row r="95" spans="1:48" ht="30" customHeight="1" thickBot="1">
      <c r="A95" s="1287"/>
      <c r="B95" s="1287"/>
      <c r="C95" s="2846" t="s">
        <v>3683</v>
      </c>
      <c r="D95" s="2847"/>
      <c r="E95" s="2847"/>
      <c r="F95" s="2848"/>
      <c r="G95" s="2849">
        <f>+'VAL AMP 4 PN'!I192</f>
        <v>119729.76343418393</v>
      </c>
      <c r="H95" s="2850"/>
      <c r="I95" s="2850"/>
      <c r="J95" s="2850"/>
      <c r="K95" s="2851"/>
      <c r="L95" s="2852">
        <f>+'VAL AMP 4 PN'!K192</f>
        <v>39170.210100749682</v>
      </c>
      <c r="M95" s="2850"/>
      <c r="N95" s="2850"/>
      <c r="O95" s="2850"/>
      <c r="P95" s="2851"/>
      <c r="Q95" s="2853">
        <f t="shared" si="9"/>
        <v>0.32715516156750574</v>
      </c>
      <c r="R95" s="2854"/>
      <c r="S95" s="3036">
        <f>+'VAL AMP 4 PN'!M192</f>
        <v>2116.8546770042058</v>
      </c>
      <c r="T95" s="3037"/>
      <c r="U95" s="3037"/>
      <c r="V95" s="3037"/>
      <c r="W95" s="3037"/>
      <c r="X95" s="2269"/>
      <c r="Y95" s="2855">
        <f>+S95/G95</f>
        <v>1.7680271106255478E-2</v>
      </c>
      <c r="Z95" s="2856"/>
      <c r="AA95" s="2870">
        <f>L95+S95</f>
        <v>41287.064777753891</v>
      </c>
      <c r="AB95" s="2671"/>
      <c r="AC95" s="2671"/>
      <c r="AD95" s="2671"/>
      <c r="AE95" s="2671"/>
      <c r="AF95" s="2871"/>
      <c r="AG95" s="2872">
        <f>+AA95/G95</f>
        <v>0.34483543267376121</v>
      </c>
      <c r="AH95" s="2873"/>
      <c r="AI95" s="2870">
        <f>G95-AA95</f>
        <v>78442.698656430031</v>
      </c>
      <c r="AJ95" s="2671"/>
      <c r="AK95" s="2671"/>
      <c r="AL95" s="2671"/>
      <c r="AM95" s="2671"/>
      <c r="AN95" s="2872">
        <f>+AI95/G95</f>
        <v>0.65516456732623873</v>
      </c>
      <c r="AO95" s="2874"/>
      <c r="AP95" s="1287"/>
      <c r="AQ95" s="1458">
        <f>+'[29]F6 DICIEMBRE'!$C$27</f>
        <v>1944879.91</v>
      </c>
      <c r="AR95" s="1524">
        <f>+AQ95-G90</f>
        <v>0</v>
      </c>
      <c r="AT95" s="1458">
        <v>32598.818710346055</v>
      </c>
      <c r="AU95" s="1524">
        <f t="shared" si="0"/>
        <v>-6571.3913904036272</v>
      </c>
    </row>
    <row r="96" spans="1:48" s="1517" customFormat="1" ht="30" customHeight="1" thickBot="1">
      <c r="A96" s="1447"/>
      <c r="B96" s="1447"/>
      <c r="C96" s="2875" t="s">
        <v>3678</v>
      </c>
      <c r="D96" s="2876"/>
      <c r="E96" s="2876"/>
      <c r="F96" s="2877"/>
      <c r="G96" s="2878">
        <f>+G83+G90+G84</f>
        <v>22376946.509999998</v>
      </c>
      <c r="H96" s="2858"/>
      <c r="I96" s="2858"/>
      <c r="J96" s="2858"/>
      <c r="K96" s="2859"/>
      <c r="L96" s="2878">
        <f>+L83+L90+L84</f>
        <v>15845434.182052631</v>
      </c>
      <c r="M96" s="2858"/>
      <c r="N96" s="2858"/>
      <c r="O96" s="2858"/>
      <c r="P96" s="2859"/>
      <c r="Q96" s="2860">
        <f>L96/G96</f>
        <v>0.70811422706719573</v>
      </c>
      <c r="R96" s="2861"/>
      <c r="S96" s="2878">
        <f>+S90+S84+S83</f>
        <v>344847.7992984</v>
      </c>
      <c r="T96" s="2858"/>
      <c r="U96" s="2858"/>
      <c r="V96" s="2858"/>
      <c r="W96" s="2858"/>
      <c r="X96" s="2859"/>
      <c r="Y96" s="2879">
        <f t="shared" ref="Y96" si="10">+S96/G96</f>
        <v>1.5410851482542157E-2</v>
      </c>
      <c r="Z96" s="2880"/>
      <c r="AA96" s="2857">
        <f>+AA90+AA84+AA83</f>
        <v>16190281.991351031</v>
      </c>
      <c r="AB96" s="2858"/>
      <c r="AC96" s="2858"/>
      <c r="AD96" s="2858"/>
      <c r="AE96" s="2858"/>
      <c r="AF96" s="2859"/>
      <c r="AG96" s="2860">
        <f>AA96/G96</f>
        <v>0.72352507899662633</v>
      </c>
      <c r="AH96" s="2861"/>
      <c r="AI96" s="2862">
        <f>G96-AA96</f>
        <v>6186664.5186489671</v>
      </c>
      <c r="AJ96" s="2863"/>
      <c r="AK96" s="2863"/>
      <c r="AL96" s="2863"/>
      <c r="AM96" s="2864"/>
      <c r="AN96" s="2860">
        <f>+AI96/G96</f>
        <v>0.27647492100337367</v>
      </c>
      <c r="AO96" s="2865"/>
      <c r="AP96" s="1447"/>
      <c r="AQ96" s="1517">
        <v>40020.929100000001</v>
      </c>
      <c r="AT96" s="1517">
        <v>15189851.046397131</v>
      </c>
      <c r="AU96" s="1524">
        <f t="shared" si="0"/>
        <v>-655583.13565549999</v>
      </c>
    </row>
    <row r="97" spans="1:43">
      <c r="A97" s="1485"/>
      <c r="B97" s="1485"/>
      <c r="C97" s="778"/>
      <c r="D97" s="778"/>
      <c r="E97" s="778"/>
      <c r="F97" s="778"/>
      <c r="G97" s="778"/>
      <c r="H97" s="778"/>
      <c r="I97" s="778"/>
      <c r="J97" s="778"/>
      <c r="K97" s="778"/>
      <c r="L97" s="778"/>
      <c r="M97" s="778"/>
      <c r="N97" s="778"/>
      <c r="O97" s="778"/>
      <c r="P97" s="778"/>
      <c r="Q97" s="778"/>
      <c r="R97" s="778"/>
      <c r="S97" s="778"/>
      <c r="T97" s="778"/>
      <c r="U97" s="778"/>
      <c r="V97" s="778"/>
      <c r="W97" s="778"/>
      <c r="X97" s="778"/>
      <c r="Y97" s="2866"/>
      <c r="Z97" s="2866"/>
      <c r="AA97" s="778"/>
      <c r="AB97" s="778"/>
      <c r="AC97" s="778"/>
      <c r="AD97" s="778"/>
      <c r="AE97" s="778"/>
      <c r="AF97" s="778"/>
      <c r="AG97" s="778"/>
      <c r="AH97" s="778"/>
      <c r="AI97" s="778"/>
      <c r="AJ97" s="778"/>
      <c r="AK97" s="778"/>
      <c r="AL97" s="778"/>
      <c r="AM97" s="778"/>
      <c r="AN97" s="778"/>
      <c r="AO97" s="778"/>
      <c r="AP97" s="1485"/>
    </row>
    <row r="98" spans="1:43" ht="15.75" thickBot="1">
      <c r="A98" s="1485"/>
      <c r="B98" s="1485"/>
      <c r="C98" s="2867" t="s">
        <v>4356</v>
      </c>
      <c r="D98" s="2868"/>
      <c r="E98" s="2868"/>
      <c r="F98" s="2868"/>
      <c r="G98" s="2868"/>
      <c r="H98" s="2868"/>
      <c r="I98" s="2868"/>
      <c r="J98" s="2868"/>
      <c r="K98" s="2868"/>
      <c r="L98" s="2868"/>
      <c r="M98" s="2868"/>
      <c r="N98" s="2868"/>
      <c r="O98" s="2868"/>
      <c r="P98" s="2868"/>
      <c r="Q98" s="2868"/>
      <c r="R98" s="2868"/>
      <c r="S98" s="2868"/>
      <c r="T98" s="2868"/>
      <c r="U98" s="2868"/>
      <c r="V98" s="2868"/>
      <c r="W98" s="2868"/>
      <c r="X98" s="2868"/>
      <c r="Y98" s="2868"/>
      <c r="Z98" s="2868"/>
      <c r="AA98" s="2868"/>
      <c r="AB98" s="2868"/>
      <c r="AC98" s="2868"/>
      <c r="AD98" s="2868"/>
      <c r="AE98" s="2868"/>
      <c r="AF98" s="2868"/>
      <c r="AG98" s="2868"/>
      <c r="AH98" s="2868"/>
      <c r="AI98" s="2868"/>
      <c r="AJ98" s="2868"/>
      <c r="AK98" s="2868"/>
      <c r="AL98" s="2868"/>
      <c r="AM98" s="2868"/>
      <c r="AN98" s="2868"/>
      <c r="AO98" s="2869"/>
      <c r="AP98" s="1485"/>
    </row>
    <row r="99" spans="1:43" ht="15" customHeight="1">
      <c r="A99" s="1485"/>
      <c r="B99" s="1485"/>
      <c r="C99" s="2734" t="s">
        <v>1900</v>
      </c>
      <c r="D99" s="2735"/>
      <c r="E99" s="2735"/>
      <c r="F99" s="2736"/>
      <c r="G99" s="2740" t="s">
        <v>1901</v>
      </c>
      <c r="H99" s="2741"/>
      <c r="I99" s="2741"/>
      <c r="J99" s="2741"/>
      <c r="K99" s="2742"/>
      <c r="L99" s="2746" t="s">
        <v>1894</v>
      </c>
      <c r="M99" s="2747"/>
      <c r="N99" s="2747"/>
      <c r="O99" s="2747"/>
      <c r="P99" s="2747"/>
      <c r="Q99" s="2747"/>
      <c r="R99" s="2748"/>
      <c r="S99" s="2746" t="s">
        <v>1895</v>
      </c>
      <c r="T99" s="2747"/>
      <c r="U99" s="2747"/>
      <c r="V99" s="2747"/>
      <c r="W99" s="2747"/>
      <c r="X99" s="2747"/>
      <c r="Y99" s="2747"/>
      <c r="Z99" s="2748"/>
      <c r="AA99" s="2746" t="s">
        <v>1896</v>
      </c>
      <c r="AB99" s="2747"/>
      <c r="AC99" s="2747"/>
      <c r="AD99" s="2747"/>
      <c r="AE99" s="2747"/>
      <c r="AF99" s="2747"/>
      <c r="AG99" s="2747"/>
      <c r="AH99" s="2748"/>
      <c r="AI99" s="2746" t="s">
        <v>1897</v>
      </c>
      <c r="AJ99" s="2747"/>
      <c r="AK99" s="2747"/>
      <c r="AL99" s="2747"/>
      <c r="AM99" s="2747"/>
      <c r="AN99" s="2747"/>
      <c r="AO99" s="2749"/>
      <c r="AP99" s="1485"/>
    </row>
    <row r="100" spans="1:43" ht="15.75" thickBot="1">
      <c r="A100" s="1485"/>
      <c r="B100" s="1485"/>
      <c r="C100" s="2737"/>
      <c r="D100" s="2738"/>
      <c r="E100" s="2738"/>
      <c r="F100" s="2739"/>
      <c r="G100" s="2743"/>
      <c r="H100" s="2744"/>
      <c r="I100" s="2744"/>
      <c r="J100" s="2744"/>
      <c r="K100" s="2745"/>
      <c r="L100" s="2750" t="s">
        <v>1</v>
      </c>
      <c r="M100" s="2751"/>
      <c r="N100" s="2751"/>
      <c r="O100" s="2751"/>
      <c r="P100" s="2752"/>
      <c r="Q100" s="2750" t="s">
        <v>0</v>
      </c>
      <c r="R100" s="2752"/>
      <c r="S100" s="2750" t="s">
        <v>1</v>
      </c>
      <c r="T100" s="2751"/>
      <c r="U100" s="2751"/>
      <c r="V100" s="2751"/>
      <c r="W100" s="2751"/>
      <c r="X100" s="2752"/>
      <c r="Y100" s="2750" t="s">
        <v>0</v>
      </c>
      <c r="Z100" s="2752"/>
      <c r="AA100" s="2750" t="s">
        <v>1</v>
      </c>
      <c r="AB100" s="2751"/>
      <c r="AC100" s="2751"/>
      <c r="AD100" s="2751"/>
      <c r="AE100" s="2751"/>
      <c r="AF100" s="2752"/>
      <c r="AG100" s="2750" t="s">
        <v>0</v>
      </c>
      <c r="AH100" s="2752"/>
      <c r="AI100" s="2750" t="s">
        <v>1</v>
      </c>
      <c r="AJ100" s="2751"/>
      <c r="AK100" s="2751"/>
      <c r="AL100" s="2751"/>
      <c r="AM100" s="2752"/>
      <c r="AN100" s="2750" t="s">
        <v>0</v>
      </c>
      <c r="AO100" s="2753"/>
      <c r="AP100" s="1485"/>
    </row>
    <row r="101" spans="1:43">
      <c r="A101" s="1287"/>
      <c r="B101" s="1287"/>
      <c r="C101" s="2823" t="s">
        <v>1899</v>
      </c>
      <c r="D101" s="2824"/>
      <c r="E101" s="2824"/>
      <c r="F101" s="2825"/>
      <c r="G101" s="2826">
        <f>+AE43</f>
        <v>8420422.6112869997</v>
      </c>
      <c r="H101" s="2827"/>
      <c r="I101" s="2827"/>
      <c r="J101" s="2827"/>
      <c r="K101" s="2828"/>
      <c r="L101" s="2770">
        <f>+G101</f>
        <v>8420422.6112869997</v>
      </c>
      <c r="M101" s="2771"/>
      <c r="N101" s="2771"/>
      <c r="O101" s="2771"/>
      <c r="P101" s="2772"/>
      <c r="Q101" s="2754">
        <f>L101/G101</f>
        <v>1</v>
      </c>
      <c r="R101" s="2773"/>
      <c r="S101" s="2198"/>
      <c r="T101" s="2198"/>
      <c r="U101" s="2198"/>
      <c r="V101" s="2198">
        <v>0</v>
      </c>
      <c r="W101" s="2198"/>
      <c r="X101" s="2198"/>
      <c r="Y101" s="2754">
        <f>S101/G101</f>
        <v>0</v>
      </c>
      <c r="Z101" s="2773"/>
      <c r="AA101" s="2829">
        <f>SUM(L101,S101)</f>
        <v>8420422.6112869997</v>
      </c>
      <c r="AB101" s="2830"/>
      <c r="AC101" s="2830"/>
      <c r="AD101" s="2830"/>
      <c r="AE101" s="2830"/>
      <c r="AF101" s="2831"/>
      <c r="AG101" s="2836">
        <f>AA101/G101</f>
        <v>1</v>
      </c>
      <c r="AH101" s="2837"/>
      <c r="AI101" s="2838">
        <f>G101-AA101</f>
        <v>0</v>
      </c>
      <c r="AJ101" s="2839"/>
      <c r="AK101" s="2839"/>
      <c r="AL101" s="2839"/>
      <c r="AM101" s="2840"/>
      <c r="AN101" s="2836">
        <f>AI101/G101</f>
        <v>0</v>
      </c>
      <c r="AO101" s="2841"/>
      <c r="AP101" s="1287"/>
    </row>
    <row r="102" spans="1:43">
      <c r="A102" s="1287"/>
      <c r="B102" s="1287"/>
      <c r="C102" s="2823"/>
      <c r="D102" s="2824"/>
      <c r="E102" s="2824"/>
      <c r="F102" s="2825"/>
      <c r="G102" s="2842"/>
      <c r="H102" s="2843"/>
      <c r="I102" s="2843"/>
      <c r="J102" s="2843"/>
      <c r="K102" s="2844"/>
      <c r="L102" s="1493"/>
      <c r="M102" s="1494"/>
      <c r="N102" s="1494"/>
      <c r="O102" s="1395"/>
      <c r="P102" s="1495"/>
      <c r="Q102" s="1482"/>
      <c r="R102" s="1483"/>
      <c r="S102" s="1487"/>
      <c r="T102" s="1488"/>
      <c r="U102" s="1488"/>
      <c r="V102" s="1488"/>
      <c r="W102" s="1488"/>
      <c r="X102" s="1489"/>
      <c r="Y102" s="1482"/>
      <c r="Z102" s="1483"/>
      <c r="AA102" s="1487"/>
      <c r="AB102" s="1488"/>
      <c r="AC102" s="1488"/>
      <c r="AD102" s="1488"/>
      <c r="AE102" s="1488"/>
      <c r="AF102" s="1489"/>
      <c r="AG102" s="1490"/>
      <c r="AH102" s="1491"/>
      <c r="AI102" s="1496"/>
      <c r="AJ102" s="1497"/>
      <c r="AK102" s="1497"/>
      <c r="AL102" s="1497"/>
      <c r="AM102" s="1498"/>
      <c r="AN102" s="1490"/>
      <c r="AO102" s="1492"/>
      <c r="AP102" s="1287"/>
      <c r="AQ102" s="1458">
        <v>1184903.66967</v>
      </c>
    </row>
    <row r="103" spans="1:43">
      <c r="A103" s="1287"/>
      <c r="B103" s="1287"/>
      <c r="C103" s="2823"/>
      <c r="D103" s="2824"/>
      <c r="E103" s="2824"/>
      <c r="F103" s="2825"/>
      <c r="G103" s="2826"/>
      <c r="H103" s="2827"/>
      <c r="I103" s="2827"/>
      <c r="J103" s="2827"/>
      <c r="K103" s="2828"/>
      <c r="L103" s="2770"/>
      <c r="M103" s="2771"/>
      <c r="N103" s="2771"/>
      <c r="O103" s="2771"/>
      <c r="P103" s="2772"/>
      <c r="Q103" s="2754"/>
      <c r="R103" s="2773"/>
      <c r="S103" s="2829"/>
      <c r="T103" s="2830"/>
      <c r="U103" s="2830"/>
      <c r="V103" s="2830"/>
      <c r="W103" s="2830"/>
      <c r="X103" s="2831"/>
      <c r="Y103" s="2754"/>
      <c r="Z103" s="2773"/>
      <c r="AA103" s="2770"/>
      <c r="AB103" s="2771"/>
      <c r="AC103" s="2771"/>
      <c r="AD103" s="2771"/>
      <c r="AE103" s="2771"/>
      <c r="AF103" s="2772"/>
      <c r="AG103" s="2754"/>
      <c r="AH103" s="2773"/>
      <c r="AI103" s="2774"/>
      <c r="AJ103" s="2775"/>
      <c r="AK103" s="2775"/>
      <c r="AL103" s="2775"/>
      <c r="AM103" s="2776"/>
      <c r="AN103" s="2754"/>
      <c r="AO103" s="2755"/>
      <c r="AP103" s="1287"/>
    </row>
    <row r="104" spans="1:43" ht="15.75" thickBot="1">
      <c r="A104" s="1485"/>
      <c r="B104" s="1485"/>
      <c r="C104" s="2812" t="s">
        <v>1902</v>
      </c>
      <c r="D104" s="2813"/>
      <c r="E104" s="2813"/>
      <c r="F104" s="2814"/>
      <c r="G104" s="2815"/>
      <c r="H104" s="2816"/>
      <c r="I104" s="2816"/>
      <c r="J104" s="2816"/>
      <c r="K104" s="2817"/>
      <c r="L104" s="2818"/>
      <c r="M104" s="2819"/>
      <c r="N104" s="2819"/>
      <c r="O104" s="2819"/>
      <c r="P104" s="2820"/>
      <c r="Q104" s="2821"/>
      <c r="R104" s="2822"/>
      <c r="S104" s="2818"/>
      <c r="T104" s="2819"/>
      <c r="U104" s="2819"/>
      <c r="V104" s="2819"/>
      <c r="W104" s="2819"/>
      <c r="X104" s="2820"/>
      <c r="Y104" s="2821"/>
      <c r="Z104" s="2822"/>
      <c r="AA104" s="2818"/>
      <c r="AB104" s="2819"/>
      <c r="AC104" s="2819"/>
      <c r="AD104" s="2819"/>
      <c r="AE104" s="2819"/>
      <c r="AF104" s="2820"/>
      <c r="AG104" s="2821"/>
      <c r="AH104" s="2822"/>
      <c r="AI104" s="2832"/>
      <c r="AJ104" s="2833"/>
      <c r="AK104" s="2833"/>
      <c r="AL104" s="2833"/>
      <c r="AM104" s="2834"/>
      <c r="AN104" s="2821"/>
      <c r="AO104" s="2835"/>
      <c r="AP104" s="1485"/>
    </row>
    <row r="105" spans="1:43">
      <c r="A105" s="1485"/>
      <c r="B105" s="1485"/>
      <c r="C105" s="784"/>
      <c r="D105" s="784"/>
      <c r="E105" s="784"/>
      <c r="F105" s="784"/>
      <c r="G105" s="1396"/>
      <c r="H105" s="1396"/>
      <c r="I105" s="1396"/>
      <c r="J105" s="1396"/>
      <c r="K105" s="1396"/>
      <c r="L105" s="1397"/>
      <c r="M105" s="1397"/>
      <c r="N105" s="1397"/>
      <c r="O105" s="1397"/>
      <c r="P105" s="1397"/>
      <c r="Q105" s="1398"/>
      <c r="R105" s="1398"/>
      <c r="S105" s="1397"/>
      <c r="T105" s="1397"/>
      <c r="U105" s="1397"/>
      <c r="V105" s="1397"/>
      <c r="W105" s="1397"/>
      <c r="X105" s="1397"/>
      <c r="Y105" s="1398"/>
      <c r="Z105" s="1398"/>
      <c r="AA105" s="1397"/>
      <c r="AB105" s="1397"/>
      <c r="AC105" s="1397"/>
      <c r="AD105" s="1397"/>
      <c r="AE105" s="1397"/>
      <c r="AF105" s="1397"/>
      <c r="AG105" s="1398"/>
      <c r="AH105" s="1398"/>
      <c r="AI105" s="770"/>
      <c r="AJ105" s="770"/>
      <c r="AK105" s="770"/>
      <c r="AL105" s="770"/>
      <c r="AM105" s="770"/>
      <c r="AN105" s="1398"/>
      <c r="AO105" s="1398"/>
      <c r="AP105" s="1485"/>
    </row>
    <row r="106" spans="1:43">
      <c r="A106" s="1485"/>
      <c r="B106" s="1485"/>
      <c r="C106" s="2791" t="s">
        <v>2179</v>
      </c>
      <c r="D106" s="2792"/>
      <c r="E106" s="2792"/>
      <c r="F106" s="2792"/>
      <c r="G106" s="2792"/>
      <c r="H106" s="2792"/>
      <c r="I106" s="2792"/>
      <c r="J106" s="2792"/>
      <c r="K106" s="2792"/>
      <c r="L106" s="2792"/>
      <c r="M106" s="2792"/>
      <c r="N106" s="2792"/>
      <c r="O106" s="2792"/>
      <c r="P106" s="2792"/>
      <c r="Q106" s="2792"/>
      <c r="R106" s="2792"/>
      <c r="S106" s="2792"/>
      <c r="T106" s="2792"/>
      <c r="U106" s="2792"/>
      <c r="V106" s="2792"/>
      <c r="W106" s="2792"/>
      <c r="X106" s="2792"/>
      <c r="Y106" s="2792"/>
      <c r="Z106" s="2792"/>
      <c r="AA106" s="2792"/>
      <c r="AB106" s="2792"/>
      <c r="AC106" s="2792"/>
      <c r="AD106" s="2792"/>
      <c r="AE106" s="2792"/>
      <c r="AF106" s="2792"/>
      <c r="AG106" s="2792"/>
      <c r="AH106" s="2792"/>
      <c r="AI106" s="2792"/>
      <c r="AJ106" s="2792"/>
      <c r="AK106" s="2792"/>
      <c r="AL106" s="2792"/>
      <c r="AM106" s="2792"/>
      <c r="AN106" s="2792"/>
      <c r="AO106" s="2793"/>
      <c r="AP106" s="1485"/>
    </row>
    <row r="107" spans="1:43" ht="15" customHeight="1">
      <c r="A107" s="1485"/>
      <c r="B107" s="1485"/>
      <c r="C107" s="2794" t="s">
        <v>1900</v>
      </c>
      <c r="D107" s="2795"/>
      <c r="E107" s="2795"/>
      <c r="F107" s="2796"/>
      <c r="G107" s="2800" t="s">
        <v>1901</v>
      </c>
      <c r="H107" s="2801"/>
      <c r="I107" s="2801"/>
      <c r="J107" s="2801"/>
      <c r="K107" s="2802"/>
      <c r="L107" s="2806" t="s">
        <v>1894</v>
      </c>
      <c r="M107" s="2807"/>
      <c r="N107" s="2807"/>
      <c r="O107" s="2807"/>
      <c r="P107" s="2807"/>
      <c r="Q107" s="2807"/>
      <c r="R107" s="2808"/>
      <c r="S107" s="2806" t="s">
        <v>1895</v>
      </c>
      <c r="T107" s="2807"/>
      <c r="U107" s="2807"/>
      <c r="V107" s="2807"/>
      <c r="W107" s="2807"/>
      <c r="X107" s="2807"/>
      <c r="Y107" s="2807"/>
      <c r="Z107" s="2808"/>
      <c r="AA107" s="2806" t="s">
        <v>1896</v>
      </c>
      <c r="AB107" s="2807"/>
      <c r="AC107" s="2807"/>
      <c r="AD107" s="2807"/>
      <c r="AE107" s="2807"/>
      <c r="AF107" s="2807"/>
      <c r="AG107" s="2807"/>
      <c r="AH107" s="2808"/>
      <c r="AI107" s="2806" t="s">
        <v>1897</v>
      </c>
      <c r="AJ107" s="2807"/>
      <c r="AK107" s="2807"/>
      <c r="AL107" s="2807"/>
      <c r="AM107" s="2807"/>
      <c r="AN107" s="2807"/>
      <c r="AO107" s="2809"/>
      <c r="AP107" s="1485"/>
      <c r="AQ107" s="1458">
        <v>185215.69</v>
      </c>
    </row>
    <row r="108" spans="1:43" ht="15.75" thickBot="1">
      <c r="A108" s="1485"/>
      <c r="B108" s="1485"/>
      <c r="C108" s="2797"/>
      <c r="D108" s="2798"/>
      <c r="E108" s="2798"/>
      <c r="F108" s="2799"/>
      <c r="G108" s="2803"/>
      <c r="H108" s="2804"/>
      <c r="I108" s="2804"/>
      <c r="J108" s="2804"/>
      <c r="K108" s="2805"/>
      <c r="L108" s="2810" t="s">
        <v>1</v>
      </c>
      <c r="M108" s="2795"/>
      <c r="N108" s="2795"/>
      <c r="O108" s="2795"/>
      <c r="P108" s="2796"/>
      <c r="Q108" s="2810" t="s">
        <v>0</v>
      </c>
      <c r="R108" s="2796"/>
      <c r="S108" s="2810" t="s">
        <v>1</v>
      </c>
      <c r="T108" s="2795"/>
      <c r="U108" s="2795"/>
      <c r="V108" s="2795"/>
      <c r="W108" s="2795"/>
      <c r="X108" s="2796"/>
      <c r="Y108" s="2810" t="s">
        <v>0</v>
      </c>
      <c r="Z108" s="2796"/>
      <c r="AA108" s="2810" t="s">
        <v>1</v>
      </c>
      <c r="AB108" s="2795"/>
      <c r="AC108" s="2795"/>
      <c r="AD108" s="2795"/>
      <c r="AE108" s="2795"/>
      <c r="AF108" s="2796"/>
      <c r="AG108" s="2810" t="s">
        <v>0</v>
      </c>
      <c r="AH108" s="2796"/>
      <c r="AI108" s="2810" t="s">
        <v>1</v>
      </c>
      <c r="AJ108" s="2795"/>
      <c r="AK108" s="2795"/>
      <c r="AL108" s="2795"/>
      <c r="AM108" s="2796"/>
      <c r="AN108" s="2810" t="s">
        <v>0</v>
      </c>
      <c r="AO108" s="2811"/>
      <c r="AP108" s="1485"/>
      <c r="AQ108" s="1520">
        <f>AQ107+G109</f>
        <v>7861502.6900000004</v>
      </c>
    </row>
    <row r="109" spans="1:43">
      <c r="A109" s="1288"/>
      <c r="B109" s="1288"/>
      <c r="C109" s="2784" t="s">
        <v>1898</v>
      </c>
      <c r="D109" s="2785"/>
      <c r="E109" s="2785"/>
      <c r="F109" s="2785"/>
      <c r="G109" s="2786">
        <f>+AF43</f>
        <v>7676287</v>
      </c>
      <c r="H109" s="2786"/>
      <c r="I109" s="2786"/>
      <c r="J109" s="2786"/>
      <c r="K109" s="2786"/>
      <c r="L109" s="2787"/>
      <c r="M109" s="2787"/>
      <c r="N109" s="2787"/>
      <c r="O109" s="2787"/>
      <c r="P109" s="2787"/>
      <c r="Q109" s="2778"/>
      <c r="R109" s="2778"/>
      <c r="S109" s="2788"/>
      <c r="T109" s="2788"/>
      <c r="U109" s="2788"/>
      <c r="V109" s="2788"/>
      <c r="W109" s="2788"/>
      <c r="X109" s="2788"/>
      <c r="Y109" s="2778"/>
      <c r="Z109" s="2778"/>
      <c r="AA109" s="2777"/>
      <c r="AB109" s="2777"/>
      <c r="AC109" s="2777"/>
      <c r="AD109" s="2777"/>
      <c r="AE109" s="2777"/>
      <c r="AF109" s="2777"/>
      <c r="AG109" s="2778"/>
      <c r="AH109" s="2778"/>
      <c r="AI109" s="2779"/>
      <c r="AJ109" s="2779"/>
      <c r="AK109" s="2779"/>
      <c r="AL109" s="2779"/>
      <c r="AM109" s="2779"/>
      <c r="AN109" s="2778"/>
      <c r="AO109" s="2780"/>
      <c r="AP109" s="1288"/>
      <c r="AQ109" s="1458">
        <v>20166938.160957001</v>
      </c>
    </row>
    <row r="110" spans="1:43">
      <c r="A110" s="1288"/>
      <c r="B110" s="1288"/>
      <c r="C110" s="2764" t="s">
        <v>1899</v>
      </c>
      <c r="D110" s="2765"/>
      <c r="E110" s="2765"/>
      <c r="F110" s="2765"/>
      <c r="G110" s="2781"/>
      <c r="H110" s="2781"/>
      <c r="I110" s="2781"/>
      <c r="J110" s="2781"/>
      <c r="K110" s="2781"/>
      <c r="L110" s="2769">
        <v>2490441.4700000002</v>
      </c>
      <c r="M110" s="2769"/>
      <c r="N110" s="2769"/>
      <c r="O110" s="2769"/>
      <c r="P110" s="2769"/>
      <c r="Q110" s="2782">
        <f>L110/G109</f>
        <v>0.32443308464105108</v>
      </c>
      <c r="R110" s="2782"/>
      <c r="S110" s="2783">
        <v>786880.34</v>
      </c>
      <c r="T110" s="2783"/>
      <c r="U110" s="2783"/>
      <c r="V110" s="2783"/>
      <c r="W110" s="2783"/>
      <c r="X110" s="2783"/>
      <c r="Y110" s="2782">
        <f>S110/G109</f>
        <v>0.10250793645417373</v>
      </c>
      <c r="Z110" s="2782"/>
      <c r="AA110" s="2769">
        <f>SUM(L110,S110)</f>
        <v>3277321.81</v>
      </c>
      <c r="AB110" s="2769"/>
      <c r="AC110" s="2769"/>
      <c r="AD110" s="2769"/>
      <c r="AE110" s="2769"/>
      <c r="AF110" s="2769"/>
      <c r="AG110" s="2782">
        <f>AA110/G109</f>
        <v>0.4269410210952248</v>
      </c>
      <c r="AH110" s="2782"/>
      <c r="AI110" s="2789">
        <f>G109-AA110</f>
        <v>4398965.1899999995</v>
      </c>
      <c r="AJ110" s="2789"/>
      <c r="AK110" s="2789"/>
      <c r="AL110" s="2789"/>
      <c r="AM110" s="2789"/>
      <c r="AN110" s="2782">
        <f>AI110/G109</f>
        <v>0.57305897890477508</v>
      </c>
      <c r="AO110" s="2790"/>
      <c r="AP110" s="1288"/>
    </row>
    <row r="111" spans="1:43">
      <c r="A111" s="1288"/>
      <c r="B111" s="1288"/>
      <c r="C111" s="2764"/>
      <c r="D111" s="2765"/>
      <c r="E111" s="2765"/>
      <c r="F111" s="2765"/>
      <c r="G111" s="2766"/>
      <c r="H111" s="2766"/>
      <c r="I111" s="2766"/>
      <c r="J111" s="2766"/>
      <c r="K111" s="2766"/>
      <c r="L111" s="2767"/>
      <c r="M111" s="2767"/>
      <c r="N111" s="2767"/>
      <c r="O111" s="2767"/>
      <c r="P111" s="2767"/>
      <c r="Q111" s="2768"/>
      <c r="R111" s="2768"/>
      <c r="S111" s="2769"/>
      <c r="T111" s="2769"/>
      <c r="U111" s="2769"/>
      <c r="V111" s="2769"/>
      <c r="W111" s="2769"/>
      <c r="X111" s="2769"/>
      <c r="Y111" s="2768"/>
      <c r="Z111" s="2768"/>
      <c r="AA111" s="2770"/>
      <c r="AB111" s="2771"/>
      <c r="AC111" s="2771"/>
      <c r="AD111" s="2771"/>
      <c r="AE111" s="2771"/>
      <c r="AF111" s="2772"/>
      <c r="AG111" s="2754"/>
      <c r="AH111" s="2773"/>
      <c r="AI111" s="2774"/>
      <c r="AJ111" s="2775"/>
      <c r="AK111" s="2775"/>
      <c r="AL111" s="2775"/>
      <c r="AM111" s="2776"/>
      <c r="AN111" s="2754"/>
      <c r="AO111" s="2755"/>
      <c r="AP111" s="1288"/>
    </row>
    <row r="112" spans="1:43" ht="15.75" thickBot="1">
      <c r="A112" s="1288"/>
      <c r="B112" s="1288"/>
      <c r="C112" s="2756"/>
      <c r="D112" s="2757"/>
      <c r="E112" s="2757"/>
      <c r="F112" s="2757"/>
      <c r="G112" s="2758"/>
      <c r="H112" s="2758"/>
      <c r="I112" s="2758"/>
      <c r="J112" s="2758"/>
      <c r="K112" s="2758"/>
      <c r="L112" s="2759"/>
      <c r="M112" s="2759"/>
      <c r="N112" s="2759"/>
      <c r="O112" s="2759"/>
      <c r="P112" s="2759"/>
      <c r="Q112" s="2760"/>
      <c r="R112" s="2760"/>
      <c r="S112" s="2759"/>
      <c r="T112" s="2759"/>
      <c r="U112" s="2759"/>
      <c r="V112" s="2759"/>
      <c r="W112" s="2759"/>
      <c r="X112" s="2759"/>
      <c r="Y112" s="2760"/>
      <c r="Z112" s="2760"/>
      <c r="AA112" s="2761"/>
      <c r="AB112" s="2761"/>
      <c r="AC112" s="2761"/>
      <c r="AD112" s="2761"/>
      <c r="AE112" s="2761"/>
      <c r="AF112" s="2761"/>
      <c r="AG112" s="2760"/>
      <c r="AH112" s="2760"/>
      <c r="AI112" s="2762"/>
      <c r="AJ112" s="2762"/>
      <c r="AK112" s="2762"/>
      <c r="AL112" s="2762"/>
      <c r="AM112" s="2762"/>
      <c r="AN112" s="2760"/>
      <c r="AO112" s="2763"/>
      <c r="AP112" s="1288"/>
    </row>
    <row r="113" spans="1:48">
      <c r="A113" s="1485"/>
      <c r="B113" s="1485"/>
      <c r="C113" s="784"/>
      <c r="D113" s="784"/>
      <c r="E113" s="784"/>
      <c r="F113" s="784"/>
      <c r="G113" s="1396"/>
      <c r="H113" s="1396"/>
      <c r="I113" s="1396"/>
      <c r="J113" s="1396"/>
      <c r="K113" s="1396"/>
      <c r="L113" s="1397"/>
      <c r="M113" s="1397"/>
      <c r="N113" s="1397"/>
      <c r="O113" s="1397"/>
      <c r="P113" s="1397"/>
      <c r="Q113" s="1398"/>
      <c r="R113" s="1398"/>
      <c r="S113" s="1397"/>
      <c r="T113" s="1397"/>
      <c r="U113" s="1397"/>
      <c r="V113" s="1397"/>
      <c r="W113" s="1397"/>
      <c r="X113" s="1397"/>
      <c r="Y113" s="1398"/>
      <c r="Z113" s="1398"/>
      <c r="AA113" s="1397"/>
      <c r="AB113" s="1397"/>
      <c r="AC113" s="1397"/>
      <c r="AD113" s="1397"/>
      <c r="AE113" s="1397"/>
      <c r="AF113" s="1397"/>
      <c r="AG113" s="1398"/>
      <c r="AH113" s="1398"/>
      <c r="AI113" s="770"/>
      <c r="AJ113" s="770"/>
      <c r="AK113" s="770"/>
      <c r="AL113" s="770"/>
      <c r="AM113" s="770"/>
      <c r="AN113" s="1398"/>
      <c r="AO113" s="1398"/>
      <c r="AP113" s="1485"/>
    </row>
    <row r="114" spans="1:48" ht="15.75" thickBot="1">
      <c r="A114" s="1485"/>
      <c r="B114" s="1485"/>
      <c r="C114" s="2733" t="s">
        <v>4355</v>
      </c>
      <c r="D114" s="2733"/>
      <c r="E114" s="2733"/>
      <c r="F114" s="2733"/>
      <c r="G114" s="2733"/>
      <c r="H114" s="2733"/>
      <c r="I114" s="2733"/>
      <c r="J114" s="2733"/>
      <c r="K114" s="2733"/>
      <c r="L114" s="2733"/>
      <c r="M114" s="2733"/>
      <c r="N114" s="2733"/>
      <c r="O114" s="2733"/>
      <c r="P114" s="2733"/>
      <c r="Q114" s="2733"/>
      <c r="R114" s="2733"/>
      <c r="S114" s="2733"/>
      <c r="T114" s="2733"/>
      <c r="U114" s="2733"/>
      <c r="V114" s="2733"/>
      <c r="W114" s="2733"/>
      <c r="X114" s="2733"/>
      <c r="Y114" s="2733"/>
      <c r="Z114" s="2733"/>
      <c r="AA114" s="2733"/>
      <c r="AB114" s="2733"/>
      <c r="AC114" s="2733"/>
      <c r="AD114" s="2733"/>
      <c r="AE114" s="2733"/>
      <c r="AF114" s="2733"/>
      <c r="AG114" s="2733"/>
      <c r="AH114" s="2733"/>
      <c r="AI114" s="2733"/>
      <c r="AJ114" s="2733"/>
      <c r="AK114" s="2733"/>
      <c r="AL114" s="2733"/>
      <c r="AM114" s="2733"/>
      <c r="AN114" s="2733"/>
      <c r="AO114" s="2733"/>
      <c r="AP114" s="1485"/>
      <c r="AQ114" s="1458">
        <v>19902744.010000005</v>
      </c>
    </row>
    <row r="115" spans="1:48" ht="15" customHeight="1">
      <c r="A115" s="1485"/>
      <c r="B115" s="1485"/>
      <c r="C115" s="2734" t="s">
        <v>1900</v>
      </c>
      <c r="D115" s="2735"/>
      <c r="E115" s="2735"/>
      <c r="F115" s="2736"/>
      <c r="G115" s="2740" t="s">
        <v>1901</v>
      </c>
      <c r="H115" s="2741"/>
      <c r="I115" s="2741"/>
      <c r="J115" s="2741"/>
      <c r="K115" s="2742"/>
      <c r="L115" s="2746" t="s">
        <v>1894</v>
      </c>
      <c r="M115" s="2747"/>
      <c r="N115" s="2747"/>
      <c r="O115" s="2747"/>
      <c r="P115" s="2747"/>
      <c r="Q115" s="2747"/>
      <c r="R115" s="2748"/>
      <c r="S115" s="2746" t="s">
        <v>1895</v>
      </c>
      <c r="T115" s="2747"/>
      <c r="U115" s="2747"/>
      <c r="V115" s="2747"/>
      <c r="W115" s="2747"/>
      <c r="X115" s="2747"/>
      <c r="Y115" s="2747"/>
      <c r="Z115" s="2748"/>
      <c r="AA115" s="2746" t="s">
        <v>1896</v>
      </c>
      <c r="AB115" s="2747"/>
      <c r="AC115" s="2747"/>
      <c r="AD115" s="2747"/>
      <c r="AE115" s="2747"/>
      <c r="AF115" s="2747"/>
      <c r="AG115" s="2747"/>
      <c r="AH115" s="2748"/>
      <c r="AI115" s="2746" t="s">
        <v>1897</v>
      </c>
      <c r="AJ115" s="2747"/>
      <c r="AK115" s="2747"/>
      <c r="AL115" s="2747"/>
      <c r="AM115" s="2747"/>
      <c r="AN115" s="2747"/>
      <c r="AO115" s="2749"/>
      <c r="AP115" s="1485"/>
    </row>
    <row r="116" spans="1:48" ht="15.75" thickBot="1">
      <c r="A116" s="1485"/>
      <c r="B116" s="1485"/>
      <c r="C116" s="2737"/>
      <c r="D116" s="2738"/>
      <c r="E116" s="2738"/>
      <c r="F116" s="2739"/>
      <c r="G116" s="2743"/>
      <c r="H116" s="2744"/>
      <c r="I116" s="2744"/>
      <c r="J116" s="2744"/>
      <c r="K116" s="2745"/>
      <c r="L116" s="2750" t="s">
        <v>1</v>
      </c>
      <c r="M116" s="2751"/>
      <c r="N116" s="2751"/>
      <c r="O116" s="2751"/>
      <c r="P116" s="2752"/>
      <c r="Q116" s="2750" t="s">
        <v>0</v>
      </c>
      <c r="R116" s="2752"/>
      <c r="S116" s="2750" t="s">
        <v>1</v>
      </c>
      <c r="T116" s="2751"/>
      <c r="U116" s="2751"/>
      <c r="V116" s="2751"/>
      <c r="W116" s="2751"/>
      <c r="X116" s="2752"/>
      <c r="Y116" s="2750" t="s">
        <v>0</v>
      </c>
      <c r="Z116" s="2752"/>
      <c r="AA116" s="2750" t="s">
        <v>1</v>
      </c>
      <c r="AB116" s="2751"/>
      <c r="AC116" s="2751"/>
      <c r="AD116" s="2751"/>
      <c r="AE116" s="2751"/>
      <c r="AF116" s="2752"/>
      <c r="AG116" s="2750" t="s">
        <v>0</v>
      </c>
      <c r="AH116" s="2752"/>
      <c r="AI116" s="2750" t="s">
        <v>1</v>
      </c>
      <c r="AJ116" s="2751"/>
      <c r="AK116" s="2751"/>
      <c r="AL116" s="2751"/>
      <c r="AM116" s="2752"/>
      <c r="AN116" s="2750" t="s">
        <v>0</v>
      </c>
      <c r="AO116" s="2753"/>
      <c r="AP116" s="1485"/>
    </row>
    <row r="117" spans="1:48" ht="15.75" thickBot="1">
      <c r="A117" s="1288"/>
      <c r="B117" s="1288"/>
      <c r="C117" s="2720" t="s">
        <v>1899</v>
      </c>
      <c r="D117" s="2721"/>
      <c r="E117" s="2721"/>
      <c r="F117" s="2722"/>
      <c r="G117" s="2723">
        <f>+AI43</f>
        <v>26658321.491287</v>
      </c>
      <c r="H117" s="2724"/>
      <c r="I117" s="2724"/>
      <c r="J117" s="2724"/>
      <c r="K117" s="2725"/>
      <c r="L117" s="2726">
        <v>21472475.960000001</v>
      </c>
      <c r="M117" s="2727"/>
      <c r="N117" s="2727"/>
      <c r="O117" s="2727"/>
      <c r="P117" s="2728"/>
      <c r="Q117" s="2704">
        <f>L117/G117</f>
        <v>0.80546991553905822</v>
      </c>
      <c r="R117" s="2729"/>
      <c r="S117" s="2730">
        <f>+S110</f>
        <v>786880.34</v>
      </c>
      <c r="T117" s="2731"/>
      <c r="U117" s="2731"/>
      <c r="V117" s="2731"/>
      <c r="W117" s="2731"/>
      <c r="X117" s="2732"/>
      <c r="Y117" s="2704">
        <f>S117/G117</f>
        <v>2.9517249998548625E-2</v>
      </c>
      <c r="Z117" s="2729"/>
      <c r="AA117" s="2701">
        <f>SUM(L117,S117)</f>
        <v>22259356.300000001</v>
      </c>
      <c r="AB117" s="2702"/>
      <c r="AC117" s="2702"/>
      <c r="AD117" s="2702"/>
      <c r="AE117" s="2702"/>
      <c r="AF117" s="2703"/>
      <c r="AG117" s="2704">
        <f>AA117/G117</f>
        <v>0.83498716553760688</v>
      </c>
      <c r="AH117" s="2705"/>
      <c r="AI117" s="2706">
        <f>G117-AA117</f>
        <v>4398965.1912869997</v>
      </c>
      <c r="AJ117" s="2707"/>
      <c r="AK117" s="2707"/>
      <c r="AL117" s="2707"/>
      <c r="AM117" s="2708"/>
      <c r="AN117" s="2705">
        <f>AI117/G117</f>
        <v>0.16501283446239315</v>
      </c>
      <c r="AO117" s="2709"/>
      <c r="AP117" s="1288"/>
      <c r="AQ117" s="1458">
        <v>872549.75</v>
      </c>
    </row>
    <row r="118" spans="1:48">
      <c r="A118" s="1485"/>
      <c r="B118" s="1485"/>
      <c r="C118" s="1399"/>
      <c r="D118" s="784"/>
      <c r="E118" s="784"/>
      <c r="F118" s="784"/>
      <c r="G118" s="1396"/>
      <c r="H118" s="1396"/>
      <c r="I118" s="1396"/>
      <c r="J118" s="1396"/>
      <c r="K118" s="1396"/>
      <c r="L118" s="1397"/>
      <c r="M118" s="1397"/>
      <c r="N118" s="1397"/>
      <c r="O118" s="1397"/>
      <c r="P118" s="1397"/>
      <c r="Q118" s="1400"/>
      <c r="R118" s="1400"/>
      <c r="S118" s="1397"/>
      <c r="T118" s="1397"/>
      <c r="U118" s="1397"/>
      <c r="V118" s="1397"/>
      <c r="W118" s="1397"/>
      <c r="X118" s="1397"/>
      <c r="Y118" s="1400"/>
      <c r="Z118" s="1400"/>
      <c r="AA118" s="1397"/>
      <c r="AB118" s="1397"/>
      <c r="AC118" s="1397"/>
      <c r="AD118" s="1397"/>
      <c r="AE118" s="1397"/>
      <c r="AF118" s="1397"/>
      <c r="AG118" s="1400"/>
      <c r="AH118" s="1400"/>
      <c r="AI118" s="1401"/>
      <c r="AJ118" s="1401"/>
      <c r="AK118" s="1401"/>
      <c r="AL118" s="1401"/>
      <c r="AM118" s="1401"/>
      <c r="AN118" s="1400"/>
      <c r="AO118" s="1400"/>
      <c r="AP118" s="1485"/>
    </row>
    <row r="119" spans="1:48">
      <c r="A119" s="1485"/>
      <c r="B119" s="1214" t="s">
        <v>1903</v>
      </c>
      <c r="C119" s="767"/>
      <c r="D119" s="767"/>
      <c r="E119" s="767"/>
      <c r="F119" s="767"/>
      <c r="G119" s="767"/>
      <c r="H119" s="767"/>
      <c r="I119" s="767"/>
      <c r="J119" s="767"/>
      <c r="K119" s="767"/>
      <c r="L119" s="767"/>
      <c r="M119" s="1485"/>
      <c r="N119" s="1485"/>
      <c r="O119" s="1485"/>
      <c r="P119" s="1485"/>
      <c r="Q119" s="1485"/>
      <c r="R119" s="1485"/>
      <c r="S119" s="1485"/>
      <c r="T119" s="1485"/>
      <c r="U119" s="1485"/>
      <c r="V119" s="1485"/>
      <c r="W119" s="1485"/>
      <c r="X119" s="1485"/>
      <c r="Y119" s="1485"/>
      <c r="Z119" s="1485"/>
      <c r="AA119" s="1485"/>
      <c r="AB119" s="1485"/>
      <c r="AC119" s="1485"/>
      <c r="AD119" s="1485"/>
      <c r="AE119" s="1485"/>
      <c r="AF119" s="1485"/>
      <c r="AG119" s="1485"/>
      <c r="AH119" s="1485"/>
      <c r="AI119" s="1485"/>
      <c r="AJ119" s="1485"/>
      <c r="AK119" s="1485"/>
      <c r="AL119" s="1485"/>
      <c r="AM119" s="1145"/>
      <c r="AN119" s="1145"/>
      <c r="AO119" s="1145"/>
      <c r="AP119" s="1485"/>
    </row>
    <row r="120" spans="1:48" ht="8.25" customHeight="1">
      <c r="A120" s="1485"/>
      <c r="B120" s="1485"/>
      <c r="C120" s="783"/>
      <c r="D120" s="784"/>
      <c r="E120" s="784"/>
      <c r="F120" s="784"/>
      <c r="G120" s="784"/>
      <c r="H120" s="784"/>
      <c r="I120" s="784"/>
      <c r="J120" s="784"/>
      <c r="K120" s="784"/>
      <c r="L120" s="1149"/>
      <c r="M120" s="1149"/>
      <c r="N120" s="1149"/>
      <c r="O120" s="1149"/>
      <c r="P120" s="1149"/>
      <c r="Q120" s="1149"/>
      <c r="R120" s="1149"/>
      <c r="S120" s="1149"/>
      <c r="T120" s="1149"/>
      <c r="U120" s="1149"/>
      <c r="V120" s="1149"/>
      <c r="W120" s="1149"/>
      <c r="X120" s="1149"/>
      <c r="Y120" s="1149"/>
      <c r="Z120" s="1149"/>
      <c r="AA120" s="1149"/>
      <c r="AB120" s="1149"/>
      <c r="AC120" s="1149"/>
      <c r="AD120" s="1149"/>
      <c r="AE120" s="1149"/>
      <c r="AF120" s="1149"/>
      <c r="AG120" s="1149"/>
      <c r="AH120" s="1345"/>
      <c r="AI120" s="1345"/>
      <c r="AJ120" s="1345"/>
      <c r="AK120" s="1345"/>
      <c r="AL120" s="1345"/>
      <c r="AM120" s="1345"/>
      <c r="AN120" s="1345"/>
      <c r="AO120" s="1485"/>
      <c r="AP120" s="1485"/>
    </row>
    <row r="121" spans="1:48" ht="15" customHeight="1">
      <c r="A121" s="1457"/>
      <c r="B121" s="1457"/>
      <c r="C121" s="1521"/>
      <c r="D121" s="2696" t="s">
        <v>4384</v>
      </c>
      <c r="E121" s="2697"/>
      <c r="F121" s="2697"/>
      <c r="G121" s="2697"/>
      <c r="H121" s="2697"/>
      <c r="I121" s="2697"/>
      <c r="J121" s="2697"/>
      <c r="K121" s="2697"/>
      <c r="L121" s="2697"/>
      <c r="M121" s="2697"/>
      <c r="N121" s="2697"/>
      <c r="O121" s="2697"/>
      <c r="P121" s="2697"/>
      <c r="Q121" s="2697"/>
      <c r="R121" s="2697"/>
      <c r="S121" s="2697"/>
      <c r="T121" s="2697"/>
      <c r="U121" s="2697"/>
      <c r="V121" s="2697"/>
      <c r="W121" s="2697"/>
      <c r="X121" s="2697"/>
      <c r="Y121" s="2697"/>
      <c r="Z121" s="2697"/>
      <c r="AA121" s="2697"/>
      <c r="AB121" s="2697"/>
      <c r="AC121" s="2697"/>
      <c r="AD121" s="2697"/>
      <c r="AE121" s="2697"/>
      <c r="AF121" s="2697"/>
      <c r="AG121" s="2698"/>
      <c r="AH121" s="1457"/>
      <c r="AI121" s="1457"/>
      <c r="AJ121" s="1457"/>
      <c r="AK121" s="1457"/>
      <c r="AL121" s="1457"/>
      <c r="AM121" s="1457"/>
      <c r="AN121" s="1457"/>
      <c r="AO121" s="1457"/>
      <c r="AP121" s="1457"/>
      <c r="AQ121" s="1520">
        <v>479208.93</v>
      </c>
    </row>
    <row r="122" spans="1:48" ht="24" customHeight="1">
      <c r="A122" s="1448"/>
      <c r="B122" s="1448"/>
      <c r="C122" s="1453"/>
      <c r="D122" s="2710" t="s">
        <v>3570</v>
      </c>
      <c r="E122" s="2711"/>
      <c r="F122" s="2696" t="s">
        <v>1904</v>
      </c>
      <c r="G122" s="2697"/>
      <c r="H122" s="2697"/>
      <c r="I122" s="2697"/>
      <c r="J122" s="2697"/>
      <c r="K122" s="2698"/>
      <c r="L122" s="2696" t="s">
        <v>1905</v>
      </c>
      <c r="M122" s="2697"/>
      <c r="N122" s="2697"/>
      <c r="O122" s="2697"/>
      <c r="P122" s="2697"/>
      <c r="Q122" s="2697"/>
      <c r="R122" s="2697"/>
      <c r="S122" s="2697"/>
      <c r="T122" s="2698"/>
      <c r="U122" s="2696" t="s">
        <v>1906</v>
      </c>
      <c r="V122" s="2697"/>
      <c r="W122" s="2697"/>
      <c r="X122" s="2697"/>
      <c r="Y122" s="2697"/>
      <c r="Z122" s="2697"/>
      <c r="AA122" s="2697"/>
      <c r="AB122" s="2697"/>
      <c r="AC122" s="2698"/>
      <c r="AD122" s="2714" t="s">
        <v>2</v>
      </c>
      <c r="AE122" s="2715"/>
      <c r="AF122" s="2715"/>
      <c r="AG122" s="2716"/>
      <c r="AH122" s="1452"/>
      <c r="AI122" s="1452"/>
      <c r="AJ122" s="1452"/>
      <c r="AK122" s="1452"/>
      <c r="AL122" s="1452"/>
      <c r="AM122" s="1452"/>
      <c r="AN122" s="1452"/>
      <c r="AO122" s="1448"/>
      <c r="AP122" s="1448"/>
      <c r="AQ122" s="2271">
        <f>+AQ121-AD129</f>
        <v>181020.34000000003</v>
      </c>
    </row>
    <row r="123" spans="1:48" ht="20.100000000000001" customHeight="1">
      <c r="A123" s="1448"/>
      <c r="B123" s="1448"/>
      <c r="C123" s="1453"/>
      <c r="D123" s="2712"/>
      <c r="E123" s="2713"/>
      <c r="F123" s="2696" t="s">
        <v>1907</v>
      </c>
      <c r="G123" s="2697"/>
      <c r="H123" s="2698"/>
      <c r="I123" s="2696" t="s">
        <v>1908</v>
      </c>
      <c r="J123" s="2697"/>
      <c r="K123" s="2698"/>
      <c r="L123" s="2696" t="s">
        <v>1909</v>
      </c>
      <c r="M123" s="2697"/>
      <c r="N123" s="2698"/>
      <c r="O123" s="2696" t="s">
        <v>1910</v>
      </c>
      <c r="P123" s="2697"/>
      <c r="Q123" s="2698"/>
      <c r="R123" s="2696" t="s">
        <v>1911</v>
      </c>
      <c r="S123" s="2697"/>
      <c r="T123" s="2698"/>
      <c r="U123" s="2696" t="s">
        <v>1909</v>
      </c>
      <c r="V123" s="2697"/>
      <c r="W123" s="2698"/>
      <c r="X123" s="2696" t="s">
        <v>1910</v>
      </c>
      <c r="Y123" s="2697"/>
      <c r="Z123" s="2698"/>
      <c r="AA123" s="2696" t="s">
        <v>1911</v>
      </c>
      <c r="AB123" s="2697"/>
      <c r="AC123" s="2698"/>
      <c r="AD123" s="2717"/>
      <c r="AE123" s="2718"/>
      <c r="AF123" s="2718"/>
      <c r="AG123" s="2719"/>
      <c r="AH123" s="2699"/>
      <c r="AI123" s="2700"/>
      <c r="AJ123" s="2700"/>
      <c r="AK123" s="2700"/>
      <c r="AL123" s="2700"/>
      <c r="AM123" s="2700"/>
      <c r="AN123" s="1452"/>
      <c r="AO123" s="1448"/>
      <c r="AP123" s="1448"/>
      <c r="AQ123" s="1458">
        <v>5858.0199999999795</v>
      </c>
      <c r="AR123" s="1522" t="s">
        <v>1949</v>
      </c>
      <c r="AS123" s="1522" t="s">
        <v>1950</v>
      </c>
      <c r="AT123" s="1522" t="s">
        <v>1951</v>
      </c>
      <c r="AV123" s="1524">
        <f>+'[29]F6 DICIEMBRE'!$S$15</f>
        <v>500953.99</v>
      </c>
    </row>
    <row r="124" spans="1:48">
      <c r="A124" s="1448"/>
      <c r="B124" s="1448"/>
      <c r="C124" s="1453"/>
      <c r="D124" s="2690">
        <v>1</v>
      </c>
      <c r="E124" s="2691"/>
      <c r="F124" s="2692">
        <v>44652</v>
      </c>
      <c r="G124" s="2693"/>
      <c r="H124" s="2694"/>
      <c r="I124" s="2692">
        <f>+F124+2</f>
        <v>44654</v>
      </c>
      <c r="J124" s="2693"/>
      <c r="K124" s="2694"/>
      <c r="L124" s="2695">
        <v>90</v>
      </c>
      <c r="M124" s="2624"/>
      <c r="N124" s="2640"/>
      <c r="O124" s="2695">
        <v>41</v>
      </c>
      <c r="P124" s="2624"/>
      <c r="Q124" s="2640"/>
      <c r="R124" s="2695">
        <f>88+3</f>
        <v>91</v>
      </c>
      <c r="S124" s="2624"/>
      <c r="T124" s="2640"/>
      <c r="U124" s="2684">
        <f>L124*AT$124</f>
        <v>9873</v>
      </c>
      <c r="V124" s="2685"/>
      <c r="W124" s="2686"/>
      <c r="X124" s="2684">
        <f t="shared" ref="X124:X128" si="11">O124*AS$124</f>
        <v>5657.1799999999994</v>
      </c>
      <c r="Y124" s="2685"/>
      <c r="Z124" s="2686"/>
      <c r="AA124" s="2684">
        <f>R124*AR$124</f>
        <v>13160.42</v>
      </c>
      <c r="AB124" s="2685"/>
      <c r="AC124" s="2686"/>
      <c r="AD124" s="2684">
        <f>SUM(U124:AC124)</f>
        <v>28690.6</v>
      </c>
      <c r="AE124" s="2685"/>
      <c r="AF124" s="2685"/>
      <c r="AG124" s="2686"/>
      <c r="AH124" s="2687"/>
      <c r="AI124" s="2688"/>
      <c r="AJ124" s="2688"/>
      <c r="AK124" s="2688"/>
      <c r="AL124" s="2688"/>
      <c r="AM124" s="2688"/>
      <c r="AN124" s="1452"/>
      <c r="AO124" s="1448"/>
      <c r="AP124" s="1448"/>
      <c r="AR124" s="1522">
        <f>136.5+5.12+3</f>
        <v>144.62</v>
      </c>
      <c r="AS124" s="1522">
        <f>118+14.98+5</f>
        <v>137.97999999999999</v>
      </c>
      <c r="AT124" s="1522">
        <f>105.7+4</f>
        <v>109.7</v>
      </c>
      <c r="AV124" s="1524">
        <f>+AV123-AD129</f>
        <v>202765.40000000002</v>
      </c>
    </row>
    <row r="125" spans="1:48">
      <c r="A125" s="1448"/>
      <c r="B125" s="1448"/>
      <c r="C125" s="1453"/>
      <c r="D125" s="2690">
        <v>2</v>
      </c>
      <c r="E125" s="2691"/>
      <c r="F125" s="2692">
        <f>I124+1</f>
        <v>44655</v>
      </c>
      <c r="G125" s="2693"/>
      <c r="H125" s="2694"/>
      <c r="I125" s="2692">
        <f>+F125+6</f>
        <v>44661</v>
      </c>
      <c r="J125" s="2693"/>
      <c r="K125" s="2694"/>
      <c r="L125" s="2695">
        <v>168</v>
      </c>
      <c r="M125" s="2624"/>
      <c r="N125" s="2640"/>
      <c r="O125" s="2695">
        <v>84</v>
      </c>
      <c r="P125" s="2624"/>
      <c r="Q125" s="2640"/>
      <c r="R125" s="2695">
        <f>148+7</f>
        <v>155</v>
      </c>
      <c r="S125" s="2624"/>
      <c r="T125" s="2640"/>
      <c r="U125" s="2684">
        <f>L125*AT$124</f>
        <v>18429.600000000002</v>
      </c>
      <c r="V125" s="2685"/>
      <c r="W125" s="2686"/>
      <c r="X125" s="2684">
        <f t="shared" si="11"/>
        <v>11590.32</v>
      </c>
      <c r="Y125" s="2685"/>
      <c r="Z125" s="2686"/>
      <c r="AA125" s="2684">
        <f>R125*AR$124</f>
        <v>22416.100000000002</v>
      </c>
      <c r="AB125" s="2685"/>
      <c r="AC125" s="2686"/>
      <c r="AD125" s="2684">
        <f>SUM(U125:AC125)</f>
        <v>52436.020000000004</v>
      </c>
      <c r="AE125" s="2685"/>
      <c r="AF125" s="2685"/>
      <c r="AG125" s="2686"/>
      <c r="AH125" s="1523"/>
      <c r="AI125" s="1523"/>
      <c r="AJ125" s="1523"/>
      <c r="AK125" s="1523"/>
      <c r="AL125" s="1523"/>
      <c r="AM125" s="1523"/>
      <c r="AN125" s="1452"/>
      <c r="AP125" s="1448"/>
      <c r="AQ125" s="1448">
        <f>+AQ123/R129</f>
        <v>6.3882442748091384</v>
      </c>
      <c r="AS125" s="1458">
        <v>106.114</v>
      </c>
      <c r="AT125" s="1458">
        <v>100.063</v>
      </c>
    </row>
    <row r="126" spans="1:48">
      <c r="A126" s="1448"/>
      <c r="B126" s="1448"/>
      <c r="C126" s="1453"/>
      <c r="D126" s="2690">
        <v>3</v>
      </c>
      <c r="E126" s="2691"/>
      <c r="F126" s="2692">
        <f>+I125+1</f>
        <v>44662</v>
      </c>
      <c r="G126" s="2693"/>
      <c r="H126" s="2694"/>
      <c r="I126" s="2692">
        <f t="shared" ref="I126" si="12">+F126+6</f>
        <v>44668</v>
      </c>
      <c r="J126" s="2693"/>
      <c r="K126" s="2694"/>
      <c r="L126" s="2695">
        <v>231</v>
      </c>
      <c r="M126" s="2624"/>
      <c r="N126" s="2640"/>
      <c r="O126" s="2695">
        <v>119</v>
      </c>
      <c r="P126" s="2624"/>
      <c r="Q126" s="2640"/>
      <c r="R126" s="2695">
        <f>222+7</f>
        <v>229</v>
      </c>
      <c r="S126" s="2624"/>
      <c r="T126" s="2640"/>
      <c r="U126" s="2684">
        <f t="shared" ref="U126:U127" si="13">L126*AT$124</f>
        <v>25340.7</v>
      </c>
      <c r="V126" s="2685"/>
      <c r="W126" s="2686"/>
      <c r="X126" s="2684">
        <f t="shared" si="11"/>
        <v>16419.62</v>
      </c>
      <c r="Y126" s="2685"/>
      <c r="Z126" s="2686"/>
      <c r="AA126" s="2684">
        <f t="shared" ref="AA126" si="14">R126*AR$124</f>
        <v>33117.980000000003</v>
      </c>
      <c r="AB126" s="2685"/>
      <c r="AC126" s="2686"/>
      <c r="AD126" s="2684">
        <f t="shared" ref="AD126:AD127" si="15">SUM(U126:AC126)</f>
        <v>74878.3</v>
      </c>
      <c r="AE126" s="2685"/>
      <c r="AF126" s="2685"/>
      <c r="AG126" s="2686"/>
      <c r="AH126" s="2687"/>
      <c r="AI126" s="2688"/>
      <c r="AJ126" s="2688"/>
      <c r="AK126" s="2688"/>
      <c r="AL126" s="2688"/>
      <c r="AM126" s="2688"/>
      <c r="AN126" s="1452"/>
      <c r="AO126" s="1448"/>
      <c r="AP126" s="1448"/>
      <c r="AV126" s="1458">
        <f>+L129+O129+R129</f>
        <v>2313</v>
      </c>
    </row>
    <row r="127" spans="1:48">
      <c r="A127" s="1448"/>
      <c r="B127" s="1448"/>
      <c r="C127" s="1453"/>
      <c r="D127" s="2690">
        <v>4</v>
      </c>
      <c r="E127" s="2691"/>
      <c r="F127" s="2692">
        <f>+I126+1</f>
        <v>44669</v>
      </c>
      <c r="G127" s="2693"/>
      <c r="H127" s="2694"/>
      <c r="I127" s="2692">
        <f>+F127+6</f>
        <v>44675</v>
      </c>
      <c r="J127" s="2693"/>
      <c r="K127" s="2694"/>
      <c r="L127" s="2695">
        <v>231</v>
      </c>
      <c r="M127" s="2624"/>
      <c r="N127" s="2640"/>
      <c r="O127" s="2695">
        <v>126</v>
      </c>
      <c r="P127" s="2624"/>
      <c r="Q127" s="2640"/>
      <c r="R127" s="2695">
        <v>238</v>
      </c>
      <c r="S127" s="2624"/>
      <c r="T127" s="2640"/>
      <c r="U127" s="2684">
        <f t="shared" si="13"/>
        <v>25340.7</v>
      </c>
      <c r="V127" s="2685"/>
      <c r="W127" s="2686"/>
      <c r="X127" s="2684">
        <f t="shared" si="11"/>
        <v>17385.48</v>
      </c>
      <c r="Y127" s="2685"/>
      <c r="Z127" s="2686"/>
      <c r="AA127" s="2684">
        <f>R127*AR$124</f>
        <v>34419.56</v>
      </c>
      <c r="AB127" s="2685"/>
      <c r="AC127" s="2686"/>
      <c r="AD127" s="2684">
        <f t="shared" si="15"/>
        <v>77145.739999999991</v>
      </c>
      <c r="AE127" s="2685"/>
      <c r="AF127" s="2685"/>
      <c r="AG127" s="2686"/>
      <c r="AH127" s="2687"/>
      <c r="AI127" s="2688"/>
      <c r="AJ127" s="2688"/>
      <c r="AK127" s="2689"/>
      <c r="AL127" s="2688"/>
      <c r="AM127" s="2688"/>
      <c r="AN127" s="1452"/>
      <c r="AO127" s="1448"/>
      <c r="AP127" s="1448"/>
      <c r="AS127" s="1524">
        <v>-11057.279999999999</v>
      </c>
      <c r="AV127" s="1458">
        <f>+AV124/AV126</f>
        <v>87.663380890618257</v>
      </c>
    </row>
    <row r="128" spans="1:48">
      <c r="A128" s="1448"/>
      <c r="B128" s="1448"/>
      <c r="C128" s="1453"/>
      <c r="D128" s="2690">
        <v>5</v>
      </c>
      <c r="E128" s="2691"/>
      <c r="F128" s="2692">
        <f>+I127+1</f>
        <v>44676</v>
      </c>
      <c r="G128" s="2693"/>
      <c r="H128" s="2694"/>
      <c r="I128" s="2692">
        <f>+F128+5</f>
        <v>44681</v>
      </c>
      <c r="J128" s="2693"/>
      <c r="K128" s="2694"/>
      <c r="L128" s="2695">
        <v>198</v>
      </c>
      <c r="M128" s="2624"/>
      <c r="N128" s="2640"/>
      <c r="O128" s="2695">
        <v>108</v>
      </c>
      <c r="P128" s="2624"/>
      <c r="Q128" s="2640"/>
      <c r="R128" s="2695">
        <v>204</v>
      </c>
      <c r="S128" s="2624"/>
      <c r="T128" s="2640"/>
      <c r="U128" s="2684">
        <f>L128*AT$124</f>
        <v>21720.600000000002</v>
      </c>
      <c r="V128" s="2685"/>
      <c r="W128" s="2686"/>
      <c r="X128" s="2684">
        <f t="shared" si="11"/>
        <v>14901.839999999998</v>
      </c>
      <c r="Y128" s="2685"/>
      <c r="Z128" s="2686"/>
      <c r="AA128" s="2684">
        <f>R128*AR$124</f>
        <v>29502.48</v>
      </c>
      <c r="AB128" s="2685"/>
      <c r="AC128" s="2686"/>
      <c r="AD128" s="2684">
        <f>SUM(U128:AC128)</f>
        <v>66124.92</v>
      </c>
      <c r="AE128" s="2685"/>
      <c r="AF128" s="2685"/>
      <c r="AG128" s="2686"/>
      <c r="AH128" s="2687"/>
      <c r="AI128" s="2688"/>
      <c r="AJ128" s="2688"/>
      <c r="AK128" s="2689"/>
      <c r="AL128" s="2688"/>
      <c r="AM128" s="2688"/>
      <c r="AN128" s="1452"/>
      <c r="AO128" s="1448"/>
      <c r="AP128" s="1448"/>
      <c r="AQ128" s="1524"/>
    </row>
    <row r="129" spans="1:51">
      <c r="A129" s="1448"/>
      <c r="B129" s="1448"/>
      <c r="C129" s="1453"/>
      <c r="D129" s="2678"/>
      <c r="E129" s="2679"/>
      <c r="F129" s="2679"/>
      <c r="G129" s="2679"/>
      <c r="H129" s="2679"/>
      <c r="I129" s="2679"/>
      <c r="J129" s="2679"/>
      <c r="K129" s="2680"/>
      <c r="L129" s="2681">
        <f>SUM(L124:N128)</f>
        <v>918</v>
      </c>
      <c r="M129" s="2682"/>
      <c r="N129" s="2683"/>
      <c r="O129" s="2681">
        <f>SUM(O124:Q128)</f>
        <v>478</v>
      </c>
      <c r="P129" s="2682"/>
      <c r="Q129" s="2683"/>
      <c r="R129" s="2681">
        <f>SUM(R124:T128)</f>
        <v>917</v>
      </c>
      <c r="S129" s="2682"/>
      <c r="T129" s="2683"/>
      <c r="U129" s="2672">
        <f>SUM(U124:W128)</f>
        <v>100704.6</v>
      </c>
      <c r="V129" s="2682"/>
      <c r="W129" s="2683"/>
      <c r="X129" s="2672">
        <f>SUM(X124:Z128)+30.56</f>
        <v>65984.999999999985</v>
      </c>
      <c r="Y129" s="2673"/>
      <c r="Z129" s="2674"/>
      <c r="AA129" s="2672">
        <f>SUM(AA124:AC128)</f>
        <v>132616.54</v>
      </c>
      <c r="AB129" s="2673"/>
      <c r="AC129" s="2674"/>
      <c r="AD129" s="2675">
        <f>SUM(AD124:AG128)-1086.99</f>
        <v>298188.58999999997</v>
      </c>
      <c r="AE129" s="2676"/>
      <c r="AF129" s="2676"/>
      <c r="AG129" s="2677"/>
      <c r="AH129" s="1452"/>
      <c r="AI129" s="1452"/>
      <c r="AJ129" s="1452"/>
      <c r="AK129" s="1452"/>
      <c r="AL129" s="1452"/>
      <c r="AM129" s="1452"/>
      <c r="AN129" s="1452"/>
      <c r="AO129" s="1448"/>
      <c r="AP129" s="1448"/>
      <c r="AR129" s="1524"/>
    </row>
    <row r="130" spans="1:51">
      <c r="A130" s="1485"/>
      <c r="B130" s="1485"/>
      <c r="C130" s="783"/>
      <c r="D130" s="784"/>
      <c r="E130" s="784"/>
      <c r="F130" s="784"/>
      <c r="G130" s="784"/>
      <c r="H130" s="784"/>
      <c r="I130" s="784"/>
      <c r="J130" s="784"/>
      <c r="K130" s="784"/>
      <c r="L130" s="1149"/>
      <c r="M130" s="1149"/>
      <c r="N130" s="1149"/>
      <c r="O130" s="1149"/>
      <c r="P130" s="1149"/>
      <c r="Q130" s="1149"/>
      <c r="R130" s="1149"/>
      <c r="S130" s="1149"/>
      <c r="T130" s="1149"/>
      <c r="U130" s="1149"/>
      <c r="V130" s="1149"/>
      <c r="W130" s="1149"/>
      <c r="X130" s="1149"/>
      <c r="Y130" s="1149"/>
      <c r="Z130" s="1149"/>
      <c r="AA130" s="1149"/>
      <c r="AB130" s="1149"/>
      <c r="AC130" s="1149"/>
      <c r="AD130" s="1149"/>
      <c r="AE130" s="1149"/>
      <c r="AF130" s="1149"/>
      <c r="AG130" s="1149"/>
      <c r="AH130" s="1345"/>
      <c r="AI130" s="1345"/>
      <c r="AJ130" s="1345"/>
      <c r="AK130" s="1345"/>
      <c r="AL130" s="1345"/>
      <c r="AM130" s="1345"/>
      <c r="AN130" s="1345"/>
      <c r="AO130" s="1485"/>
      <c r="AP130" s="1485"/>
      <c r="AQ130" s="1524">
        <f>+AD129-AQ132</f>
        <v>0</v>
      </c>
    </row>
    <row r="131" spans="1:51" ht="15" customHeight="1">
      <c r="A131" s="1485"/>
      <c r="B131" s="1485"/>
      <c r="C131" s="2665" t="s">
        <v>1912</v>
      </c>
      <c r="D131" s="2666"/>
      <c r="E131" s="2666"/>
      <c r="F131" s="2667"/>
      <c r="G131" s="2599" t="s">
        <v>1913</v>
      </c>
      <c r="H131" s="2600"/>
      <c r="I131" s="2600"/>
      <c r="J131" s="2600"/>
      <c r="K131" s="2601"/>
      <c r="L131" s="2605" t="s">
        <v>1894</v>
      </c>
      <c r="M131" s="2606"/>
      <c r="N131" s="2606"/>
      <c r="O131" s="2606"/>
      <c r="P131" s="2606"/>
      <c r="Q131" s="2606"/>
      <c r="R131" s="2607"/>
      <c r="S131" s="2605" t="s">
        <v>1895</v>
      </c>
      <c r="T131" s="2606"/>
      <c r="U131" s="2606"/>
      <c r="V131" s="2606"/>
      <c r="W131" s="2606"/>
      <c r="X131" s="2606"/>
      <c r="Y131" s="2606"/>
      <c r="Z131" s="2607"/>
      <c r="AA131" s="2605" t="s">
        <v>1896</v>
      </c>
      <c r="AB131" s="2606"/>
      <c r="AC131" s="2606"/>
      <c r="AD131" s="2606"/>
      <c r="AE131" s="2606"/>
      <c r="AF131" s="2606"/>
      <c r="AG131" s="2606"/>
      <c r="AH131" s="2607"/>
      <c r="AI131" s="2605" t="s">
        <v>1897</v>
      </c>
      <c r="AJ131" s="2606"/>
      <c r="AK131" s="2606"/>
      <c r="AL131" s="2606"/>
      <c r="AM131" s="2606"/>
      <c r="AN131" s="2606"/>
      <c r="AO131" s="2607"/>
      <c r="AP131" s="1485"/>
      <c r="AT131" s="1458">
        <f>+AS129/O129</f>
        <v>0</v>
      </c>
    </row>
    <row r="132" spans="1:51">
      <c r="A132" s="1485"/>
      <c r="B132" s="1485"/>
      <c r="C132" s="2668"/>
      <c r="D132" s="2669"/>
      <c r="E132" s="2669"/>
      <c r="F132" s="2670"/>
      <c r="G132" s="2602"/>
      <c r="H132" s="2603"/>
      <c r="I132" s="2603"/>
      <c r="J132" s="2603"/>
      <c r="K132" s="2604"/>
      <c r="L132" s="2605" t="s">
        <v>1</v>
      </c>
      <c r="M132" s="2606"/>
      <c r="N132" s="2606"/>
      <c r="O132" s="2606"/>
      <c r="P132" s="2607"/>
      <c r="Q132" s="2605" t="s">
        <v>0</v>
      </c>
      <c r="R132" s="2607"/>
      <c r="S132" s="2605" t="s">
        <v>1</v>
      </c>
      <c r="T132" s="2606"/>
      <c r="U132" s="2606"/>
      <c r="V132" s="2606"/>
      <c r="W132" s="2606"/>
      <c r="X132" s="2607"/>
      <c r="Y132" s="2605" t="s">
        <v>0</v>
      </c>
      <c r="Z132" s="2607"/>
      <c r="AA132" s="2605" t="s">
        <v>1</v>
      </c>
      <c r="AB132" s="2606"/>
      <c r="AC132" s="2606"/>
      <c r="AD132" s="2606"/>
      <c r="AE132" s="2606"/>
      <c r="AF132" s="2607"/>
      <c r="AG132" s="2605" t="s">
        <v>0</v>
      </c>
      <c r="AH132" s="2607"/>
      <c r="AI132" s="2605" t="s">
        <v>1</v>
      </c>
      <c r="AJ132" s="2606"/>
      <c r="AK132" s="2606"/>
      <c r="AL132" s="2606"/>
      <c r="AM132" s="2607"/>
      <c r="AN132" s="2605" t="s">
        <v>0</v>
      </c>
      <c r="AO132" s="2607"/>
      <c r="AP132" s="2156"/>
      <c r="AQ132" s="1524">
        <f>+S134</f>
        <v>298188.59000000003</v>
      </c>
    </row>
    <row r="133" spans="1:51">
      <c r="A133" s="1485"/>
      <c r="B133" s="1485"/>
      <c r="C133" s="2605" t="s">
        <v>1898</v>
      </c>
      <c r="D133" s="2606"/>
      <c r="E133" s="2606"/>
      <c r="F133" s="2607"/>
      <c r="G133" s="2621">
        <f>5159712.42+613460.84+2529.34+270916.85+1174797.88+1075396.96+261223.45</f>
        <v>8558037.7399999984</v>
      </c>
      <c r="H133" s="2621"/>
      <c r="I133" s="2621"/>
      <c r="J133" s="2621"/>
      <c r="K133" s="2621"/>
      <c r="L133" s="2608"/>
      <c r="M133" s="2609"/>
      <c r="N133" s="2609"/>
      <c r="O133" s="2609"/>
      <c r="P133" s="2610"/>
      <c r="Q133" s="2619"/>
      <c r="R133" s="2620"/>
      <c r="S133" s="2608"/>
      <c r="T133" s="2609"/>
      <c r="U133" s="2609"/>
      <c r="V133" s="2609"/>
      <c r="W133" s="2609"/>
      <c r="X133" s="2610"/>
      <c r="Y133" s="2619"/>
      <c r="Z133" s="2620"/>
      <c r="AA133" s="2608"/>
      <c r="AB133" s="2609"/>
      <c r="AC133" s="2609"/>
      <c r="AD133" s="2609"/>
      <c r="AE133" s="2609"/>
      <c r="AF133" s="2610"/>
      <c r="AG133" s="2619"/>
      <c r="AH133" s="2620"/>
      <c r="AI133" s="2608"/>
      <c r="AJ133" s="2609"/>
      <c r="AK133" s="2609"/>
      <c r="AL133" s="2609"/>
      <c r="AM133" s="2610"/>
      <c r="AN133" s="2619"/>
      <c r="AO133" s="2620"/>
      <c r="AP133" s="1485"/>
      <c r="AT133" s="1458">
        <f>+AS129/R129</f>
        <v>0</v>
      </c>
    </row>
    <row r="134" spans="1:51">
      <c r="A134" s="1485"/>
      <c r="B134" s="1485"/>
      <c r="C134" s="2605" t="s">
        <v>1899</v>
      </c>
      <c r="D134" s="2606"/>
      <c r="E134" s="2606"/>
      <c r="F134" s="2607"/>
      <c r="G134" s="2205"/>
      <c r="H134" s="2206"/>
      <c r="I134" s="2206"/>
      <c r="J134" s="2206"/>
      <c r="K134" s="2207"/>
      <c r="L134" s="2608">
        <v>7869120.2200000007</v>
      </c>
      <c r="M134" s="2609"/>
      <c r="N134" s="2609"/>
      <c r="O134" s="2609"/>
      <c r="P134" s="2610"/>
      <c r="Q134" s="2619">
        <f>L134/G$133</f>
        <v>0.91950052793293735</v>
      </c>
      <c r="R134" s="2620"/>
      <c r="S134" s="2660">
        <v>298188.59000000003</v>
      </c>
      <c r="T134" s="2661"/>
      <c r="U134" s="2661"/>
      <c r="V134" s="2661"/>
      <c r="W134" s="2661"/>
      <c r="X134" s="2662"/>
      <c r="Y134" s="2619">
        <f>S134/G133</f>
        <v>3.4843102947101523E-2</v>
      </c>
      <c r="Z134" s="2620"/>
      <c r="AA134" s="2608">
        <f>SUM(L134,S134)</f>
        <v>8167308.8100000005</v>
      </c>
      <c r="AB134" s="2609"/>
      <c r="AC134" s="2609"/>
      <c r="AD134" s="2609"/>
      <c r="AE134" s="2609"/>
      <c r="AF134" s="2610"/>
      <c r="AG134" s="2619">
        <f>AA134/G133</f>
        <v>0.95434363088003882</v>
      </c>
      <c r="AH134" s="2620"/>
      <c r="AI134" s="2608">
        <f>G133-AA134</f>
        <v>390728.92999999784</v>
      </c>
      <c r="AJ134" s="2609"/>
      <c r="AK134" s="2609"/>
      <c r="AL134" s="2609"/>
      <c r="AM134" s="2610"/>
      <c r="AN134" s="2619">
        <f>AI134/G133</f>
        <v>4.5656369119961127E-2</v>
      </c>
      <c r="AO134" s="2620"/>
      <c r="AP134" s="2155">
        <f>+S134/S82</f>
        <v>1.0316618862213791</v>
      </c>
      <c r="AQ134" s="1524"/>
    </row>
    <row r="135" spans="1:51">
      <c r="A135" s="1485"/>
      <c r="B135" s="1485"/>
      <c r="C135" s="784"/>
      <c r="D135" s="784"/>
      <c r="E135" s="784"/>
      <c r="F135" s="784"/>
      <c r="G135" s="1396"/>
      <c r="H135" s="1396"/>
      <c r="I135" s="1396"/>
      <c r="J135" s="1396"/>
      <c r="K135" s="1396"/>
      <c r="L135" s="1397"/>
      <c r="M135" s="1397"/>
      <c r="N135" s="1397"/>
      <c r="O135" s="1397"/>
      <c r="P135" s="1397"/>
      <c r="Q135" s="1402"/>
      <c r="R135" s="1396"/>
      <c r="S135" s="1397"/>
      <c r="T135" s="1397"/>
      <c r="U135" s="1397"/>
      <c r="V135" s="1403"/>
      <c r="W135" s="1397"/>
      <c r="X135" s="2671"/>
      <c r="Y135" s="2671"/>
      <c r="Z135" s="2671"/>
      <c r="AA135" s="1397"/>
      <c r="AB135" s="1397"/>
      <c r="AC135" s="1397"/>
      <c r="AD135" s="1397"/>
      <c r="AE135" s="1397"/>
      <c r="AF135" s="1397"/>
      <c r="AG135" s="1402"/>
      <c r="AH135" s="1402"/>
      <c r="AI135" s="1397"/>
      <c r="AJ135" s="770"/>
      <c r="AK135" s="770"/>
      <c r="AL135" s="770"/>
      <c r="AM135" s="770"/>
      <c r="AN135" s="1402"/>
      <c r="AO135" s="1402"/>
      <c r="AP135" s="1485"/>
    </row>
    <row r="136" spans="1:51" ht="15" customHeight="1">
      <c r="A136" s="1485"/>
      <c r="B136" s="1485"/>
      <c r="C136" s="2664" t="s">
        <v>4357</v>
      </c>
      <c r="D136" s="2664"/>
      <c r="E136" s="2664"/>
      <c r="F136" s="2664"/>
      <c r="G136" s="2664"/>
      <c r="H136" s="2664"/>
      <c r="I136" s="2664"/>
      <c r="J136" s="2664"/>
      <c r="K136" s="2664"/>
      <c r="L136" s="2664"/>
      <c r="M136" s="2664"/>
      <c r="N136" s="2664"/>
      <c r="O136" s="2664"/>
      <c r="P136" s="2664"/>
      <c r="Q136" s="2664"/>
      <c r="R136" s="2664"/>
      <c r="S136" s="2664"/>
      <c r="T136" s="2664"/>
      <c r="U136" s="2664"/>
      <c r="V136" s="2664"/>
      <c r="W136" s="2664"/>
      <c r="X136" s="2664"/>
      <c r="Y136" s="2664"/>
      <c r="Z136" s="2664"/>
      <c r="AA136" s="2664"/>
      <c r="AB136" s="2664"/>
      <c r="AC136" s="2664"/>
      <c r="AD136" s="2664"/>
      <c r="AE136" s="2664"/>
      <c r="AF136" s="2664"/>
      <c r="AG136" s="2664"/>
      <c r="AH136" s="2664"/>
      <c r="AI136" s="2664"/>
      <c r="AJ136" s="2664"/>
      <c r="AK136" s="2664"/>
      <c r="AL136" s="2664"/>
      <c r="AM136" s="2664"/>
      <c r="AN136" s="2664"/>
      <c r="AO136" s="2664"/>
      <c r="AP136" s="1485"/>
      <c r="AT136" s="1458">
        <v>4</v>
      </c>
      <c r="AU136" s="1458">
        <v>5</v>
      </c>
      <c r="AV136" s="1458">
        <v>6</v>
      </c>
      <c r="AW136" s="1458">
        <v>7</v>
      </c>
      <c r="AX136" s="1458">
        <v>8</v>
      </c>
    </row>
    <row r="137" spans="1:51" ht="15" customHeight="1">
      <c r="A137" s="2189"/>
      <c r="B137" s="2189"/>
      <c r="C137" s="2665" t="s">
        <v>1912</v>
      </c>
      <c r="D137" s="2666"/>
      <c r="E137" s="2666"/>
      <c r="F137" s="2667"/>
      <c r="G137" s="2599" t="s">
        <v>1913</v>
      </c>
      <c r="H137" s="2600"/>
      <c r="I137" s="2600"/>
      <c r="J137" s="2600"/>
      <c r="K137" s="2601"/>
      <c r="L137" s="2605" t="s">
        <v>1894</v>
      </c>
      <c r="M137" s="2606"/>
      <c r="N137" s="2606"/>
      <c r="O137" s="2606"/>
      <c r="P137" s="2606"/>
      <c r="Q137" s="2606"/>
      <c r="R137" s="2607"/>
      <c r="S137" s="2605" t="s">
        <v>1895</v>
      </c>
      <c r="T137" s="2606"/>
      <c r="U137" s="2606"/>
      <c r="V137" s="2606"/>
      <c r="W137" s="2606"/>
      <c r="X137" s="2606"/>
      <c r="Y137" s="2606"/>
      <c r="Z137" s="2607"/>
      <c r="AA137" s="2605" t="s">
        <v>1896</v>
      </c>
      <c r="AB137" s="2606"/>
      <c r="AC137" s="2606"/>
      <c r="AD137" s="2606"/>
      <c r="AE137" s="2606"/>
      <c r="AF137" s="2606"/>
      <c r="AG137" s="2606"/>
      <c r="AH137" s="2607"/>
      <c r="AI137" s="2605" t="s">
        <v>1897</v>
      </c>
      <c r="AJ137" s="2606"/>
      <c r="AK137" s="2606"/>
      <c r="AL137" s="2606"/>
      <c r="AM137" s="2606"/>
      <c r="AN137" s="2606"/>
      <c r="AO137" s="2607"/>
      <c r="AP137" s="2340"/>
      <c r="AQ137" s="1524"/>
    </row>
    <row r="138" spans="1:51" ht="15" customHeight="1">
      <c r="A138" s="2340"/>
      <c r="B138" s="2340"/>
      <c r="C138" s="2668"/>
      <c r="D138" s="2669"/>
      <c r="E138" s="2669"/>
      <c r="F138" s="2670"/>
      <c r="G138" s="2602"/>
      <c r="H138" s="2603"/>
      <c r="I138" s="2603"/>
      <c r="J138" s="2603"/>
      <c r="K138" s="2604"/>
      <c r="L138" s="2605" t="s">
        <v>1</v>
      </c>
      <c r="M138" s="2606"/>
      <c r="N138" s="2606"/>
      <c r="O138" s="2606"/>
      <c r="P138" s="2607"/>
      <c r="Q138" s="2605" t="s">
        <v>0</v>
      </c>
      <c r="R138" s="2607"/>
      <c r="S138" s="2605" t="s">
        <v>1</v>
      </c>
      <c r="T138" s="2606"/>
      <c r="U138" s="2606"/>
      <c r="V138" s="2606"/>
      <c r="W138" s="2606"/>
      <c r="X138" s="2607"/>
      <c r="Y138" s="2605" t="s">
        <v>0</v>
      </c>
      <c r="Z138" s="2607"/>
      <c r="AA138" s="2605" t="s">
        <v>1</v>
      </c>
      <c r="AB138" s="2606"/>
      <c r="AC138" s="2606"/>
      <c r="AD138" s="2606"/>
      <c r="AE138" s="2606"/>
      <c r="AF138" s="2607"/>
      <c r="AG138" s="2605" t="s">
        <v>0</v>
      </c>
      <c r="AH138" s="2607"/>
      <c r="AI138" s="2605" t="s">
        <v>1</v>
      </c>
      <c r="AJ138" s="2606"/>
      <c r="AK138" s="2606"/>
      <c r="AL138" s="2606"/>
      <c r="AM138" s="2607"/>
      <c r="AN138" s="2605" t="s">
        <v>0</v>
      </c>
      <c r="AO138" s="2607"/>
      <c r="AP138" s="2340"/>
      <c r="AQ138" s="1524"/>
    </row>
    <row r="139" spans="1:51" ht="13.9" customHeight="1">
      <c r="A139" s="2340"/>
      <c r="B139" s="2340"/>
      <c r="C139" s="2605" t="s">
        <v>1898</v>
      </c>
      <c r="D139" s="2606"/>
      <c r="E139" s="2606"/>
      <c r="F139" s="2607"/>
      <c r="G139" s="2621">
        <f>+'[30]F6 ENERO-2022'!$H$15</f>
        <v>1156616.33</v>
      </c>
      <c r="H139" s="2621"/>
      <c r="I139" s="2621"/>
      <c r="J139" s="2621"/>
      <c r="K139" s="2621"/>
      <c r="L139" s="2608"/>
      <c r="M139" s="2609"/>
      <c r="N139" s="2609"/>
      <c r="O139" s="2609"/>
      <c r="P139" s="2610"/>
      <c r="Q139" s="2619"/>
      <c r="R139" s="2620"/>
      <c r="S139" s="2608"/>
      <c r="T139" s="2609"/>
      <c r="U139" s="2609"/>
      <c r="V139" s="2609"/>
      <c r="W139" s="2609"/>
      <c r="X139" s="2610"/>
      <c r="Y139" s="2619"/>
      <c r="Z139" s="2620"/>
      <c r="AA139" s="2608"/>
      <c r="AB139" s="2609"/>
      <c r="AC139" s="2609"/>
      <c r="AD139" s="2609"/>
      <c r="AE139" s="2609"/>
      <c r="AF139" s="2610"/>
      <c r="AG139" s="2619"/>
      <c r="AH139" s="2620"/>
      <c r="AI139" s="2608"/>
      <c r="AJ139" s="2609"/>
      <c r="AK139" s="2609"/>
      <c r="AL139" s="2609"/>
      <c r="AM139" s="2610"/>
      <c r="AN139" s="2619"/>
      <c r="AO139" s="2620"/>
      <c r="AP139" s="2340"/>
      <c r="AQ139" s="1524"/>
    </row>
    <row r="140" spans="1:51" ht="13.9" customHeight="1">
      <c r="A140" s="1485"/>
      <c r="B140" s="1485"/>
      <c r="C140" s="2605" t="s">
        <v>1899</v>
      </c>
      <c r="D140" s="2606"/>
      <c r="E140" s="2606"/>
      <c r="F140" s="2607"/>
      <c r="G140" s="2205"/>
      <c r="H140" s="2206"/>
      <c r="I140" s="2206"/>
      <c r="J140" s="2206"/>
      <c r="K140" s="2207"/>
      <c r="L140" s="2608">
        <v>869840.23</v>
      </c>
      <c r="M140" s="2609"/>
      <c r="N140" s="2609"/>
      <c r="O140" s="2609"/>
      <c r="P140" s="2610"/>
      <c r="Q140" s="2619">
        <f>L140/G$139</f>
        <v>0.75205598212503189</v>
      </c>
      <c r="R140" s="2620"/>
      <c r="S140" s="2660">
        <f>+S134</f>
        <v>298188.59000000003</v>
      </c>
      <c r="T140" s="2661"/>
      <c r="U140" s="2661"/>
      <c r="V140" s="2661"/>
      <c r="W140" s="2661"/>
      <c r="X140" s="2662"/>
      <c r="Y140" s="2619">
        <f>S140/G139</f>
        <v>0.25781115333206478</v>
      </c>
      <c r="Z140" s="2620"/>
      <c r="AA140" s="2608">
        <f>SUM(L140,S140)</f>
        <v>1168028.82</v>
      </c>
      <c r="AB140" s="2609"/>
      <c r="AC140" s="2609"/>
      <c r="AD140" s="2609"/>
      <c r="AE140" s="2609"/>
      <c r="AF140" s="2610"/>
      <c r="AG140" s="2619">
        <f>AA140/G139</f>
        <v>1.0098671354570967</v>
      </c>
      <c r="AH140" s="2620"/>
      <c r="AI140" s="2608">
        <f>G139-AA140</f>
        <v>-11412.489999999991</v>
      </c>
      <c r="AJ140" s="2609"/>
      <c r="AK140" s="2609"/>
      <c r="AL140" s="2609"/>
      <c r="AM140" s="2610"/>
      <c r="AN140" s="2619">
        <f>AI140/G139</f>
        <v>-9.8671354570966409E-3</v>
      </c>
      <c r="AO140" s="2620"/>
      <c r="AP140" s="2340"/>
    </row>
    <row r="141" spans="1:51" ht="25.9" customHeight="1">
      <c r="A141" s="2340"/>
      <c r="B141" s="2340"/>
      <c r="C141" s="784"/>
      <c r="D141" s="784"/>
      <c r="E141" s="784"/>
      <c r="F141" s="784"/>
      <c r="G141" s="2341"/>
      <c r="H141" s="2341"/>
      <c r="I141" s="2341"/>
      <c r="J141" s="2341"/>
      <c r="K141" s="2341"/>
      <c r="L141" s="2342"/>
      <c r="M141" s="2342"/>
      <c r="N141" s="2342"/>
      <c r="O141" s="2342"/>
      <c r="P141" s="2342"/>
      <c r="Q141" s="2343"/>
      <c r="R141" s="2343"/>
      <c r="S141" s="1397"/>
      <c r="T141" s="1397"/>
      <c r="U141" s="1397"/>
      <c r="V141" s="1397"/>
      <c r="W141" s="1397"/>
      <c r="X141" s="1397"/>
      <c r="Y141" s="2343"/>
      <c r="Z141" s="2343"/>
      <c r="AA141" s="2342"/>
      <c r="AB141" s="2342"/>
      <c r="AC141" s="2342"/>
      <c r="AD141" s="2342"/>
      <c r="AE141" s="2342"/>
      <c r="AF141" s="2342"/>
      <c r="AG141" s="2343"/>
      <c r="AH141" s="2343"/>
      <c r="AI141" s="2342"/>
      <c r="AJ141" s="2342"/>
      <c r="AK141" s="2342"/>
      <c r="AL141" s="2342"/>
      <c r="AM141" s="2342"/>
      <c r="AN141" s="2343"/>
      <c r="AO141" s="2343"/>
      <c r="AP141" s="2340"/>
    </row>
    <row r="142" spans="1:51" ht="17.25" customHeight="1">
      <c r="A142" s="1448"/>
      <c r="B142" s="1456" t="s">
        <v>1914</v>
      </c>
      <c r="C142" s="1453"/>
      <c r="D142" s="1513"/>
      <c r="E142" s="1513"/>
      <c r="F142" s="1513"/>
      <c r="G142" s="1513"/>
      <c r="H142" s="1513"/>
      <c r="I142" s="1513"/>
      <c r="J142" s="1513"/>
      <c r="K142" s="1513"/>
      <c r="L142" s="1513"/>
      <c r="M142" s="1513"/>
      <c r="N142" s="1513"/>
      <c r="O142" s="1513"/>
      <c r="P142" s="1513"/>
      <c r="Q142" s="1513"/>
      <c r="R142" s="1513"/>
      <c r="S142" s="1513"/>
      <c r="T142" s="1513"/>
      <c r="U142" s="1513"/>
      <c r="V142" s="1513"/>
      <c r="W142" s="1513"/>
      <c r="X142" s="1513"/>
      <c r="Y142" s="1513"/>
      <c r="Z142" s="1513"/>
      <c r="AA142" s="1513"/>
      <c r="AB142" s="1513"/>
      <c r="AC142" s="1513"/>
      <c r="AD142" s="1513"/>
      <c r="AE142" s="1513"/>
      <c r="AF142" s="1513"/>
      <c r="AG142" s="1513"/>
      <c r="AH142" s="1513"/>
      <c r="AI142" s="1513"/>
      <c r="AJ142" s="1513"/>
      <c r="AK142" s="1513"/>
      <c r="AL142" s="1513"/>
      <c r="AM142" s="1513"/>
      <c r="AN142" s="1513"/>
      <c r="AO142" s="1513"/>
      <c r="AP142" s="2340"/>
      <c r="AQ142" s="1525">
        <f>+G133*0.15</f>
        <v>1283705.6609999996</v>
      </c>
      <c r="AR142" s="1525">
        <f>+G133*0.15</f>
        <v>1283705.6609999996</v>
      </c>
      <c r="AS142" s="1525">
        <f>+G133*0.15</f>
        <v>1283705.6609999996</v>
      </c>
      <c r="AT142" s="1525">
        <f>+G133*0.15</f>
        <v>1283705.6609999996</v>
      </c>
      <c r="AU142" s="1525">
        <f>+G133*0.1</f>
        <v>855803.77399999986</v>
      </c>
      <c r="AV142" s="1525">
        <f>+$G$133*0.1</f>
        <v>855803.77399999986</v>
      </c>
      <c r="AW142" s="1525">
        <f>+$G$133*0.1</f>
        <v>855803.77399999986</v>
      </c>
      <c r="AX142" s="1525">
        <f>+$G$133*0.1</f>
        <v>855803.77399999986</v>
      </c>
      <c r="AY142" s="1520">
        <f>SUM(AQ142:AX142)</f>
        <v>8558037.7399999984</v>
      </c>
    </row>
    <row r="143" spans="1:51" ht="393.75" customHeight="1">
      <c r="A143" s="1448"/>
      <c r="B143" s="1448"/>
      <c r="C143" s="2336"/>
      <c r="D143" s="2663" t="s">
        <v>4409</v>
      </c>
      <c r="E143" s="2663"/>
      <c r="F143" s="2663"/>
      <c r="G143" s="2663"/>
      <c r="H143" s="2663"/>
      <c r="I143" s="2663"/>
      <c r="J143" s="2663"/>
      <c r="K143" s="2663"/>
      <c r="L143" s="2663"/>
      <c r="M143" s="2663"/>
      <c r="N143" s="2663"/>
      <c r="O143" s="2663"/>
      <c r="P143" s="2663"/>
      <c r="Q143" s="2663"/>
      <c r="R143" s="2663"/>
      <c r="S143" s="2663"/>
      <c r="T143" s="2663"/>
      <c r="U143" s="2663"/>
      <c r="V143" s="2663"/>
      <c r="W143" s="2663"/>
      <c r="X143" s="2663"/>
      <c r="Y143" s="2663"/>
      <c r="Z143" s="2663"/>
      <c r="AA143" s="2663"/>
      <c r="AB143" s="2663"/>
      <c r="AC143" s="2663"/>
      <c r="AD143" s="2663"/>
      <c r="AE143" s="2663"/>
      <c r="AF143" s="2663"/>
      <c r="AG143" s="2663"/>
      <c r="AH143" s="2663"/>
      <c r="AI143" s="2663"/>
      <c r="AJ143" s="2663"/>
      <c r="AK143" s="2663"/>
      <c r="AL143" s="2663"/>
      <c r="AM143" s="2663"/>
      <c r="AN143" s="2663"/>
      <c r="AO143" s="2663"/>
      <c r="AP143" s="2340"/>
    </row>
    <row r="144" spans="1:51">
      <c r="A144" s="1448"/>
      <c r="B144" s="1456" t="s">
        <v>1915</v>
      </c>
      <c r="C144" s="1453"/>
      <c r="D144" s="1513"/>
      <c r="E144" s="1513"/>
      <c r="F144" s="1513"/>
      <c r="G144" s="1513"/>
      <c r="H144" s="1513"/>
      <c r="I144" s="1513"/>
      <c r="J144" s="1513"/>
      <c r="K144" s="1513"/>
      <c r="L144" s="1513"/>
      <c r="M144" s="1513"/>
      <c r="N144" s="1513"/>
      <c r="O144" s="1513"/>
      <c r="P144" s="1513"/>
      <c r="Q144" s="1513"/>
      <c r="R144" s="1513"/>
      <c r="S144" s="1513"/>
      <c r="T144" s="1513"/>
      <c r="U144" s="1513"/>
      <c r="V144" s="1513"/>
      <c r="W144" s="1513"/>
      <c r="X144" s="1513"/>
      <c r="Y144" s="1513"/>
      <c r="Z144" s="1513"/>
      <c r="AA144" s="1513"/>
      <c r="AB144" s="1513"/>
      <c r="AC144" s="1513"/>
      <c r="AD144" s="1513"/>
      <c r="AE144" s="1513"/>
      <c r="AF144" s="1513"/>
      <c r="AG144" s="1513"/>
      <c r="AH144" s="1513"/>
      <c r="AI144" s="1513"/>
      <c r="AJ144" s="1513"/>
      <c r="AK144" s="1513"/>
      <c r="AL144" s="1513"/>
      <c r="AM144" s="1513"/>
      <c r="AN144" s="1513"/>
      <c r="AO144" s="1513"/>
      <c r="AP144" s="1448"/>
    </row>
    <row r="145" spans="1:42" ht="15.75" thickBot="1">
      <c r="A145" s="1448"/>
      <c r="B145" s="1448"/>
      <c r="C145" s="1456" t="s">
        <v>2178</v>
      </c>
      <c r="D145" s="1448"/>
      <c r="E145" s="1448"/>
      <c r="F145" s="1448"/>
      <c r="G145" s="1448"/>
      <c r="H145" s="1448"/>
      <c r="I145" s="1448"/>
      <c r="J145" s="1448"/>
      <c r="K145" s="1448"/>
      <c r="L145" s="1448"/>
      <c r="M145" s="1448"/>
      <c r="N145" s="1448"/>
      <c r="O145" s="1448"/>
      <c r="P145" s="1448"/>
      <c r="Q145" s="1448"/>
      <c r="R145" s="1448"/>
      <c r="S145" s="1448"/>
      <c r="T145" s="1448"/>
      <c r="U145" s="1448"/>
      <c r="V145" s="1448"/>
      <c r="W145" s="1448"/>
      <c r="X145" s="1448"/>
      <c r="Y145" s="1448"/>
      <c r="Z145" s="1448"/>
      <c r="AA145" s="1448"/>
      <c r="AB145" s="1513"/>
      <c r="AC145" s="1513"/>
      <c r="AD145" s="1513"/>
      <c r="AE145" s="1513"/>
      <c r="AF145" s="1513"/>
      <c r="AG145" s="1513"/>
      <c r="AH145" s="1513"/>
      <c r="AI145" s="1513"/>
      <c r="AJ145" s="1513"/>
      <c r="AK145" s="1513"/>
      <c r="AL145" s="1513"/>
      <c r="AM145" s="1513"/>
      <c r="AN145" s="1513"/>
      <c r="AO145" s="1513"/>
      <c r="AP145" s="1448"/>
    </row>
    <row r="146" spans="1:42" ht="15.75" thickBot="1">
      <c r="A146" s="1448"/>
      <c r="B146" s="1448"/>
      <c r="C146" s="1448"/>
      <c r="D146" s="1448"/>
      <c r="E146" s="1448"/>
      <c r="F146" s="1448"/>
      <c r="G146" s="1448"/>
      <c r="H146" s="1448"/>
      <c r="I146" s="1448"/>
      <c r="J146" s="1448"/>
      <c r="K146" s="1448"/>
      <c r="L146" s="2641" t="s">
        <v>4359</v>
      </c>
      <c r="M146" s="2642"/>
      <c r="N146" s="2642"/>
      <c r="O146" s="2642"/>
      <c r="P146" s="2642"/>
      <c r="Q146" s="2642"/>
      <c r="R146" s="2642"/>
      <c r="S146" s="2642"/>
      <c r="T146" s="2642"/>
      <c r="U146" s="2642"/>
      <c r="V146" s="2642"/>
      <c r="W146" s="2642"/>
      <c r="X146" s="2642"/>
      <c r="Y146" s="2642"/>
      <c r="Z146" s="2642"/>
      <c r="AA146" s="2642"/>
      <c r="AB146" s="2643" t="s">
        <v>3637</v>
      </c>
      <c r="AC146" s="2644"/>
      <c r="AD146" s="2644"/>
      <c r="AE146" s="2645"/>
      <c r="AF146" s="1513"/>
      <c r="AG146" s="1513"/>
      <c r="AH146" s="1513"/>
      <c r="AI146" s="1513"/>
      <c r="AJ146" s="1513"/>
      <c r="AK146" s="1513"/>
      <c r="AL146" s="1513"/>
      <c r="AM146" s="1513"/>
      <c r="AN146" s="1513"/>
      <c r="AO146" s="1513"/>
      <c r="AP146" s="1448"/>
    </row>
    <row r="147" spans="1:42" ht="15.75" thickBot="1">
      <c r="A147" s="1448"/>
      <c r="B147" s="1448"/>
      <c r="C147" s="1448"/>
      <c r="D147" s="1448"/>
      <c r="E147" s="1448"/>
      <c r="F147" s="1448"/>
      <c r="G147" s="1448"/>
      <c r="H147" s="1448"/>
      <c r="I147" s="1448"/>
      <c r="J147" s="1448"/>
      <c r="K147" s="1448"/>
      <c r="L147" s="2649" t="s">
        <v>1916</v>
      </c>
      <c r="M147" s="2650"/>
      <c r="N147" s="2650"/>
      <c r="O147" s="2650"/>
      <c r="P147" s="2650"/>
      <c r="Q147" s="2650"/>
      <c r="R147" s="2650"/>
      <c r="S147" s="2651"/>
      <c r="T147" s="2652" t="s">
        <v>1917</v>
      </c>
      <c r="U147" s="2650"/>
      <c r="V147" s="2650"/>
      <c r="W147" s="2650"/>
      <c r="X147" s="2650"/>
      <c r="Y147" s="2650"/>
      <c r="Z147" s="2650"/>
      <c r="AA147" s="2650"/>
      <c r="AB147" s="2646"/>
      <c r="AC147" s="2647"/>
      <c r="AD147" s="2647"/>
      <c r="AE147" s="2648"/>
      <c r="AF147" s="1513"/>
      <c r="AG147" s="1513"/>
      <c r="AH147" s="1513"/>
      <c r="AI147" s="1513"/>
      <c r="AJ147" s="1513"/>
      <c r="AK147" s="1513"/>
      <c r="AL147" s="1513"/>
      <c r="AM147" s="1513"/>
      <c r="AN147" s="1513"/>
      <c r="AO147" s="1513"/>
      <c r="AP147" s="1448"/>
    </row>
    <row r="148" spans="1:42">
      <c r="A148" s="1448"/>
      <c r="B148" s="1448"/>
      <c r="C148" s="1448"/>
      <c r="D148" s="1448"/>
      <c r="E148" s="1448"/>
      <c r="F148" s="2653" t="s">
        <v>3576</v>
      </c>
      <c r="G148" s="2654"/>
      <c r="H148" s="2654"/>
      <c r="I148" s="2654"/>
      <c r="J148" s="2654"/>
      <c r="K148" s="2655"/>
      <c r="L148" s="2656" t="s">
        <v>3600</v>
      </c>
      <c r="M148" s="2657"/>
      <c r="N148" s="2657"/>
      <c r="O148" s="2657"/>
      <c r="P148" s="2657"/>
      <c r="Q148" s="2657"/>
      <c r="R148" s="2657"/>
      <c r="S148" s="2658"/>
      <c r="T148" s="2659" t="s">
        <v>3604</v>
      </c>
      <c r="U148" s="2657"/>
      <c r="V148" s="2657"/>
      <c r="W148" s="2657"/>
      <c r="X148" s="2657"/>
      <c r="Y148" s="2657"/>
      <c r="Z148" s="2657"/>
      <c r="AA148" s="2657"/>
      <c r="AB148" s="2629" t="s">
        <v>3638</v>
      </c>
      <c r="AC148" s="2629"/>
      <c r="AD148" s="2629"/>
      <c r="AE148" s="2629"/>
      <c r="AF148" s="1513"/>
      <c r="AG148" s="1513"/>
      <c r="AH148" s="1513"/>
      <c r="AI148" s="1513"/>
      <c r="AJ148" s="1513"/>
      <c r="AK148" s="1513"/>
      <c r="AL148" s="1513"/>
      <c r="AM148" s="1513"/>
      <c r="AN148" s="1513"/>
      <c r="AO148" s="1513"/>
      <c r="AP148" s="1448"/>
    </row>
    <row r="149" spans="1:42">
      <c r="A149" s="1448"/>
      <c r="B149" s="1448"/>
      <c r="C149" s="1448"/>
      <c r="D149" s="1448"/>
      <c r="E149" s="1448"/>
      <c r="F149" s="2623" t="s">
        <v>3576</v>
      </c>
      <c r="G149" s="2624"/>
      <c r="H149" s="2624"/>
      <c r="I149" s="2624"/>
      <c r="J149" s="2624"/>
      <c r="K149" s="2625"/>
      <c r="L149" s="2637" t="s">
        <v>3574</v>
      </c>
      <c r="M149" s="2638"/>
      <c r="N149" s="2638"/>
      <c r="O149" s="2638"/>
      <c r="P149" s="2638"/>
      <c r="Q149" s="2638"/>
      <c r="R149" s="2638"/>
      <c r="S149" s="2639"/>
      <c r="T149" s="2617" t="s">
        <v>3575</v>
      </c>
      <c r="U149" s="2615"/>
      <c r="V149" s="2615"/>
      <c r="W149" s="2615"/>
      <c r="X149" s="2615"/>
      <c r="Y149" s="2615"/>
      <c r="Z149" s="2615"/>
      <c r="AA149" s="2615"/>
      <c r="AB149" s="2629" t="s">
        <v>3639</v>
      </c>
      <c r="AC149" s="2629"/>
      <c r="AD149" s="2629"/>
      <c r="AE149" s="2629"/>
      <c r="AF149" s="1513"/>
      <c r="AG149" s="1513"/>
      <c r="AH149" s="1513"/>
      <c r="AI149" s="1513"/>
      <c r="AJ149" s="1513"/>
      <c r="AK149" s="1513"/>
      <c r="AL149" s="1513"/>
      <c r="AM149" s="1513"/>
      <c r="AN149" s="1513"/>
      <c r="AO149" s="1513"/>
      <c r="AP149" s="1448"/>
    </row>
    <row r="150" spans="1:42">
      <c r="A150" s="1448"/>
      <c r="B150" s="1448"/>
      <c r="C150" s="1448"/>
      <c r="D150" s="1448"/>
      <c r="E150" s="1448"/>
      <c r="F150" s="2623" t="s">
        <v>3577</v>
      </c>
      <c r="G150" s="2624"/>
      <c r="H150" s="2624"/>
      <c r="I150" s="2624"/>
      <c r="J150" s="2624"/>
      <c r="K150" s="2640"/>
      <c r="L150" s="2637" t="s">
        <v>3602</v>
      </c>
      <c r="M150" s="2638"/>
      <c r="N150" s="2638"/>
      <c r="O150" s="2638"/>
      <c r="P150" s="2638"/>
      <c r="Q150" s="2638"/>
      <c r="R150" s="2638"/>
      <c r="S150" s="2639"/>
      <c r="T150" s="2617" t="s">
        <v>3601</v>
      </c>
      <c r="U150" s="2612"/>
      <c r="V150" s="2612"/>
      <c r="W150" s="2612"/>
      <c r="X150" s="2612"/>
      <c r="Y150" s="2612"/>
      <c r="Z150" s="2612"/>
      <c r="AA150" s="2612"/>
      <c r="AB150" s="2629" t="s">
        <v>3639</v>
      </c>
      <c r="AC150" s="2629"/>
      <c r="AD150" s="2629"/>
      <c r="AE150" s="2629"/>
      <c r="AF150" s="1513"/>
      <c r="AG150" s="1513"/>
      <c r="AH150" s="1513"/>
      <c r="AI150" s="1513"/>
      <c r="AJ150" s="1513"/>
      <c r="AK150" s="1513"/>
      <c r="AL150" s="1513"/>
      <c r="AM150" s="1513"/>
      <c r="AN150" s="1513"/>
      <c r="AO150" s="1513"/>
      <c r="AP150" s="1448"/>
    </row>
    <row r="151" spans="1:42">
      <c r="A151" s="1448"/>
      <c r="B151" s="1448"/>
      <c r="C151" s="1448"/>
      <c r="D151" s="1448"/>
      <c r="E151" s="1448"/>
      <c r="F151" s="2623" t="s">
        <v>3577</v>
      </c>
      <c r="G151" s="2624"/>
      <c r="H151" s="2624"/>
      <c r="I151" s="2624"/>
      <c r="J151" s="2624"/>
      <c r="K151" s="2625"/>
      <c r="L151" s="2634" t="s">
        <v>3599</v>
      </c>
      <c r="M151" s="2635"/>
      <c r="N151" s="2635"/>
      <c r="O151" s="2635"/>
      <c r="P151" s="2635"/>
      <c r="Q151" s="2635"/>
      <c r="R151" s="2635"/>
      <c r="S151" s="2636"/>
      <c r="T151" s="2617" t="s">
        <v>3603</v>
      </c>
      <c r="U151" s="2612"/>
      <c r="V151" s="2612"/>
      <c r="W151" s="2612"/>
      <c r="X151" s="2612"/>
      <c r="Y151" s="2612"/>
      <c r="Z151" s="2612"/>
      <c r="AA151" s="2612"/>
      <c r="AB151" s="2629" t="s">
        <v>3641</v>
      </c>
      <c r="AC151" s="2629"/>
      <c r="AD151" s="2629"/>
      <c r="AE151" s="2629"/>
      <c r="AF151" s="1513"/>
      <c r="AG151" s="1513"/>
      <c r="AH151" s="1513"/>
      <c r="AI151" s="1513"/>
      <c r="AJ151" s="1513"/>
      <c r="AK151" s="1513"/>
      <c r="AL151" s="1513"/>
      <c r="AM151" s="1513"/>
      <c r="AN151" s="1513"/>
      <c r="AO151" s="1513"/>
      <c r="AP151" s="1448"/>
    </row>
    <row r="152" spans="1:42">
      <c r="A152" s="1448"/>
      <c r="B152" s="1448"/>
      <c r="C152" s="1448"/>
      <c r="D152" s="1448"/>
      <c r="E152" s="1448"/>
      <c r="F152" s="2623" t="s">
        <v>3577</v>
      </c>
      <c r="G152" s="2624"/>
      <c r="H152" s="2624"/>
      <c r="I152" s="2624"/>
      <c r="J152" s="2624"/>
      <c r="K152" s="2625"/>
      <c r="L152" s="2626" t="s">
        <v>3640</v>
      </c>
      <c r="M152" s="2627"/>
      <c r="N152" s="2627"/>
      <c r="O152" s="2627"/>
      <c r="P152" s="2627"/>
      <c r="Q152" s="2627"/>
      <c r="R152" s="2627"/>
      <c r="S152" s="2628"/>
      <c r="T152" s="2617" t="s">
        <v>3575</v>
      </c>
      <c r="U152" s="2612"/>
      <c r="V152" s="2612"/>
      <c r="W152" s="2612"/>
      <c r="X152" s="2612"/>
      <c r="Y152" s="2612"/>
      <c r="Z152" s="2612"/>
      <c r="AA152" s="2612"/>
      <c r="AB152" s="2629" t="s">
        <v>3669</v>
      </c>
      <c r="AC152" s="2629"/>
      <c r="AD152" s="2629"/>
      <c r="AE152" s="2629"/>
      <c r="AF152" s="1513"/>
      <c r="AG152" s="1513"/>
      <c r="AH152" s="1513"/>
      <c r="AI152" s="1513"/>
      <c r="AJ152" s="1513"/>
      <c r="AK152" s="1513"/>
      <c r="AL152" s="1513"/>
      <c r="AM152" s="1513"/>
      <c r="AN152" s="1513"/>
      <c r="AO152" s="1513"/>
      <c r="AP152" s="1448"/>
    </row>
    <row r="153" spans="1:42">
      <c r="A153" s="1448"/>
      <c r="B153" s="1448"/>
      <c r="C153" s="1448"/>
      <c r="D153" s="1448"/>
      <c r="E153" s="1448"/>
      <c r="F153" s="2623" t="s">
        <v>3598</v>
      </c>
      <c r="G153" s="2624"/>
      <c r="H153" s="2624"/>
      <c r="I153" s="2624"/>
      <c r="J153" s="2624"/>
      <c r="K153" s="2625"/>
      <c r="L153" s="2626" t="s">
        <v>3578</v>
      </c>
      <c r="M153" s="2627"/>
      <c r="N153" s="2627"/>
      <c r="O153" s="2627"/>
      <c r="P153" s="2627"/>
      <c r="Q153" s="2627"/>
      <c r="R153" s="2627"/>
      <c r="S153" s="2628"/>
      <c r="T153" s="2617" t="s">
        <v>3642</v>
      </c>
      <c r="U153" s="2612"/>
      <c r="V153" s="2612"/>
      <c r="W153" s="2612"/>
      <c r="X153" s="2612"/>
      <c r="Y153" s="2612"/>
      <c r="Z153" s="2612"/>
      <c r="AA153" s="2612"/>
      <c r="AB153" s="2629" t="s">
        <v>3669</v>
      </c>
      <c r="AC153" s="2629"/>
      <c r="AD153" s="2629"/>
      <c r="AE153" s="2629"/>
      <c r="AF153" s="1513"/>
      <c r="AG153" s="1513"/>
      <c r="AH153" s="1513"/>
      <c r="AI153" s="1513"/>
      <c r="AJ153" s="1513"/>
      <c r="AK153" s="1513"/>
      <c r="AL153" s="1513"/>
      <c r="AM153" s="1513"/>
      <c r="AN153" s="1513"/>
      <c r="AO153" s="1513"/>
      <c r="AP153" s="1448"/>
    </row>
    <row r="154" spans="1:42">
      <c r="A154" s="1448"/>
      <c r="B154" s="1448"/>
      <c r="C154" s="1448"/>
      <c r="D154" s="1448"/>
      <c r="E154" s="1448"/>
      <c r="F154" s="2623" t="s">
        <v>3598</v>
      </c>
      <c r="G154" s="2624"/>
      <c r="H154" s="2624"/>
      <c r="I154" s="2624"/>
      <c r="J154" s="2624"/>
      <c r="K154" s="2625"/>
      <c r="L154" s="2626" t="s">
        <v>3643</v>
      </c>
      <c r="M154" s="2627"/>
      <c r="N154" s="2627"/>
      <c r="O154" s="2627"/>
      <c r="P154" s="2627"/>
      <c r="Q154" s="2627"/>
      <c r="R154" s="2627"/>
      <c r="S154" s="2628"/>
      <c r="T154" s="2617" t="s">
        <v>3575</v>
      </c>
      <c r="U154" s="2612"/>
      <c r="V154" s="2612"/>
      <c r="W154" s="2612"/>
      <c r="X154" s="2612"/>
      <c r="Y154" s="2612"/>
      <c r="Z154" s="2612"/>
      <c r="AA154" s="2612"/>
      <c r="AB154" s="2629" t="s">
        <v>3644</v>
      </c>
      <c r="AC154" s="2629"/>
      <c r="AD154" s="2629"/>
      <c r="AE154" s="2629"/>
      <c r="AF154" s="1513"/>
      <c r="AG154" s="1513"/>
      <c r="AH154" s="1513"/>
      <c r="AI154" s="1513"/>
      <c r="AJ154" s="1513"/>
      <c r="AK154" s="1513"/>
      <c r="AL154" s="1513"/>
      <c r="AM154" s="1513"/>
      <c r="AN154" s="1513"/>
      <c r="AO154" s="1513"/>
      <c r="AP154" s="1448"/>
    </row>
    <row r="155" spans="1:42">
      <c r="A155" s="1448"/>
      <c r="B155" s="1448"/>
      <c r="C155" s="1448"/>
      <c r="D155" s="1448"/>
      <c r="E155" s="1448"/>
      <c r="F155" s="2623" t="s">
        <v>3605</v>
      </c>
      <c r="G155" s="2624"/>
      <c r="H155" s="2624"/>
      <c r="I155" s="2624"/>
      <c r="J155" s="2624"/>
      <c r="K155" s="2625"/>
      <c r="L155" s="2626" t="s">
        <v>3578</v>
      </c>
      <c r="M155" s="2627"/>
      <c r="N155" s="2627"/>
      <c r="O155" s="2627"/>
      <c r="P155" s="2627"/>
      <c r="Q155" s="2627"/>
      <c r="R155" s="2627"/>
      <c r="S155" s="2628"/>
      <c r="T155" s="2617" t="s">
        <v>3607</v>
      </c>
      <c r="U155" s="2612"/>
      <c r="V155" s="2612"/>
      <c r="W155" s="2612"/>
      <c r="X155" s="2612"/>
      <c r="Y155" s="2612"/>
      <c r="Z155" s="2612"/>
      <c r="AA155" s="2612"/>
      <c r="AB155" s="2629" t="s">
        <v>3644</v>
      </c>
      <c r="AC155" s="2629"/>
      <c r="AD155" s="2629"/>
      <c r="AE155" s="2629"/>
      <c r="AF155" s="1513"/>
      <c r="AG155" s="1513"/>
      <c r="AH155" s="1513"/>
      <c r="AI155" s="1513"/>
      <c r="AJ155" s="1513"/>
      <c r="AK155" s="1513"/>
      <c r="AL155" s="1513"/>
      <c r="AM155" s="1513"/>
      <c r="AN155" s="1513"/>
      <c r="AO155" s="1513"/>
      <c r="AP155" s="1448"/>
    </row>
    <row r="156" spans="1:42">
      <c r="A156" s="1448"/>
      <c r="B156" s="1448"/>
      <c r="C156" s="1448"/>
      <c r="D156" s="1448"/>
      <c r="E156" s="1448"/>
      <c r="F156" s="2623" t="s">
        <v>3605</v>
      </c>
      <c r="G156" s="2624"/>
      <c r="H156" s="2624"/>
      <c r="I156" s="2624"/>
      <c r="J156" s="2624"/>
      <c r="K156" s="2625"/>
      <c r="L156" s="2626" t="s">
        <v>3606</v>
      </c>
      <c r="M156" s="2627"/>
      <c r="N156" s="2627"/>
      <c r="O156" s="2627"/>
      <c r="P156" s="2627"/>
      <c r="Q156" s="2627"/>
      <c r="R156" s="2627"/>
      <c r="S156" s="2628"/>
      <c r="T156" s="2617" t="s">
        <v>3575</v>
      </c>
      <c r="U156" s="2612"/>
      <c r="V156" s="2612"/>
      <c r="W156" s="2612"/>
      <c r="X156" s="2612"/>
      <c r="Y156" s="2612"/>
      <c r="Z156" s="2612"/>
      <c r="AA156" s="2612"/>
      <c r="AB156" s="2629" t="s">
        <v>3645</v>
      </c>
      <c r="AC156" s="2629"/>
      <c r="AD156" s="2629"/>
      <c r="AE156" s="2629"/>
      <c r="AF156" s="1513"/>
      <c r="AG156" s="1513"/>
      <c r="AH156" s="1513"/>
      <c r="AI156" s="1513"/>
      <c r="AJ156" s="1513"/>
      <c r="AK156" s="1513"/>
      <c r="AL156" s="1513"/>
      <c r="AM156" s="1513"/>
      <c r="AN156" s="1513"/>
      <c r="AO156" s="1513"/>
      <c r="AP156" s="1448"/>
    </row>
    <row r="157" spans="1:42">
      <c r="A157" s="1448"/>
      <c r="B157" s="1448"/>
      <c r="C157" s="1448"/>
      <c r="D157" s="1448"/>
      <c r="E157" s="1448"/>
      <c r="F157" s="2623" t="s">
        <v>3608</v>
      </c>
      <c r="G157" s="2624"/>
      <c r="H157" s="2624"/>
      <c r="I157" s="2624"/>
      <c r="J157" s="2624"/>
      <c r="K157" s="2625"/>
      <c r="L157" s="2626" t="s">
        <v>3578</v>
      </c>
      <c r="M157" s="2627"/>
      <c r="N157" s="2627"/>
      <c r="O157" s="2627"/>
      <c r="P157" s="2627"/>
      <c r="Q157" s="2627"/>
      <c r="R157" s="2627"/>
      <c r="S157" s="2628"/>
      <c r="T157" s="2617" t="s">
        <v>3646</v>
      </c>
      <c r="U157" s="2612"/>
      <c r="V157" s="2612"/>
      <c r="W157" s="2612"/>
      <c r="X157" s="2612"/>
      <c r="Y157" s="2612"/>
      <c r="Z157" s="2612"/>
      <c r="AA157" s="2612"/>
      <c r="AB157" s="2629" t="s">
        <v>3645</v>
      </c>
      <c r="AC157" s="2629"/>
      <c r="AD157" s="2629"/>
      <c r="AE157" s="2629"/>
      <c r="AF157" s="1513"/>
      <c r="AG157" s="1513"/>
      <c r="AH157" s="1513"/>
      <c r="AI157" s="1513"/>
      <c r="AJ157" s="1513"/>
      <c r="AK157" s="1513"/>
      <c r="AL157" s="1513"/>
      <c r="AM157" s="1513"/>
      <c r="AN157" s="1513"/>
      <c r="AO157" s="1513"/>
      <c r="AP157" s="1448"/>
    </row>
    <row r="158" spans="1:42">
      <c r="A158" s="1448"/>
      <c r="B158" s="1448"/>
      <c r="C158" s="1448"/>
      <c r="D158" s="1448"/>
      <c r="E158" s="1448"/>
      <c r="F158" s="2623" t="s">
        <v>3608</v>
      </c>
      <c r="G158" s="2624"/>
      <c r="H158" s="2624"/>
      <c r="I158" s="2624"/>
      <c r="J158" s="2624"/>
      <c r="K158" s="2625"/>
      <c r="L158" s="2626" t="s">
        <v>3647</v>
      </c>
      <c r="M158" s="2627"/>
      <c r="N158" s="2627"/>
      <c r="O158" s="2627"/>
      <c r="P158" s="2627"/>
      <c r="Q158" s="2627"/>
      <c r="R158" s="2627"/>
      <c r="S158" s="2628"/>
      <c r="T158" s="2617" t="s">
        <v>3575</v>
      </c>
      <c r="U158" s="2612"/>
      <c r="V158" s="2612"/>
      <c r="W158" s="2612"/>
      <c r="X158" s="2612"/>
      <c r="Y158" s="2612"/>
      <c r="Z158" s="2612"/>
      <c r="AA158" s="2612"/>
      <c r="AB158" s="2629" t="s">
        <v>3648</v>
      </c>
      <c r="AC158" s="2629"/>
      <c r="AD158" s="2629"/>
      <c r="AE158" s="2629"/>
      <c r="AF158" s="1513"/>
      <c r="AG158" s="1513"/>
      <c r="AH158" s="1513"/>
      <c r="AI158" s="1513"/>
      <c r="AJ158" s="1513"/>
      <c r="AK158" s="1513"/>
      <c r="AL158" s="1513"/>
      <c r="AM158" s="1513"/>
      <c r="AN158" s="1513"/>
      <c r="AO158" s="1513"/>
      <c r="AP158" s="1448"/>
    </row>
    <row r="159" spans="1:42">
      <c r="A159" s="1448"/>
      <c r="B159" s="1448"/>
      <c r="C159" s="1448"/>
      <c r="D159" s="1448"/>
      <c r="E159" s="1448"/>
      <c r="F159" s="2623" t="s">
        <v>3609</v>
      </c>
      <c r="G159" s="2624"/>
      <c r="H159" s="2624"/>
      <c r="I159" s="2624"/>
      <c r="J159" s="2624"/>
      <c r="K159" s="2625"/>
      <c r="L159" s="2626" t="s">
        <v>3578</v>
      </c>
      <c r="M159" s="2627"/>
      <c r="N159" s="2627"/>
      <c r="O159" s="2627"/>
      <c r="P159" s="2627"/>
      <c r="Q159" s="2627"/>
      <c r="R159" s="2627"/>
      <c r="S159" s="2628"/>
      <c r="T159" s="2617" t="s">
        <v>3610</v>
      </c>
      <c r="U159" s="2612"/>
      <c r="V159" s="2612"/>
      <c r="W159" s="2612"/>
      <c r="X159" s="2612"/>
      <c r="Y159" s="2612"/>
      <c r="Z159" s="2612"/>
      <c r="AA159" s="2612"/>
      <c r="AB159" s="2629" t="s">
        <v>3648</v>
      </c>
      <c r="AC159" s="2629"/>
      <c r="AD159" s="2629"/>
      <c r="AE159" s="2629"/>
      <c r="AF159" s="1513"/>
      <c r="AG159" s="1513"/>
      <c r="AH159" s="1513"/>
      <c r="AI159" s="1513"/>
      <c r="AJ159" s="1513"/>
      <c r="AK159" s="1513"/>
      <c r="AL159" s="1513"/>
      <c r="AM159" s="1513"/>
      <c r="AN159" s="1513"/>
      <c r="AO159" s="1513"/>
      <c r="AP159" s="1448"/>
    </row>
    <row r="160" spans="1:42">
      <c r="A160" s="1448"/>
      <c r="B160" s="1448"/>
      <c r="C160" s="1448"/>
      <c r="D160" s="1448"/>
      <c r="E160" s="1448"/>
      <c r="F160" s="2623" t="s">
        <v>3609</v>
      </c>
      <c r="G160" s="2624"/>
      <c r="H160" s="2624"/>
      <c r="I160" s="2624"/>
      <c r="J160" s="2624"/>
      <c r="K160" s="2625"/>
      <c r="L160" s="2626" t="s">
        <v>3610</v>
      </c>
      <c r="M160" s="2627"/>
      <c r="N160" s="2627"/>
      <c r="O160" s="2627"/>
      <c r="P160" s="2627"/>
      <c r="Q160" s="2627"/>
      <c r="R160" s="2627"/>
      <c r="S160" s="2628"/>
      <c r="T160" s="2617" t="s">
        <v>3575</v>
      </c>
      <c r="U160" s="2612"/>
      <c r="V160" s="2612"/>
      <c r="W160" s="2612"/>
      <c r="X160" s="2612"/>
      <c r="Y160" s="2612"/>
      <c r="Z160" s="2612"/>
      <c r="AA160" s="2612"/>
      <c r="AB160" s="2629" t="s">
        <v>3649</v>
      </c>
      <c r="AC160" s="2629"/>
      <c r="AD160" s="2629"/>
      <c r="AE160" s="2629"/>
      <c r="AF160" s="1513"/>
      <c r="AG160" s="1513"/>
      <c r="AH160" s="1513"/>
      <c r="AI160" s="1513"/>
      <c r="AJ160" s="1513"/>
      <c r="AK160" s="1513"/>
      <c r="AL160" s="1513"/>
      <c r="AM160" s="1513"/>
      <c r="AN160" s="1513"/>
      <c r="AO160" s="1513"/>
      <c r="AP160" s="1448"/>
    </row>
    <row r="161" spans="1:42">
      <c r="A161" s="1448"/>
      <c r="B161" s="1448"/>
      <c r="C161" s="1448"/>
      <c r="D161" s="1448"/>
      <c r="E161" s="1448"/>
      <c r="F161" s="2623" t="s">
        <v>3611</v>
      </c>
      <c r="G161" s="2624"/>
      <c r="H161" s="2624"/>
      <c r="I161" s="2624"/>
      <c r="J161" s="2624"/>
      <c r="K161" s="2625"/>
      <c r="L161" s="2626" t="s">
        <v>3578</v>
      </c>
      <c r="M161" s="2627"/>
      <c r="N161" s="2627"/>
      <c r="O161" s="2627"/>
      <c r="P161" s="2627"/>
      <c r="Q161" s="2627"/>
      <c r="R161" s="2627"/>
      <c r="S161" s="2628"/>
      <c r="T161" s="2617" t="s">
        <v>3650</v>
      </c>
      <c r="U161" s="2612"/>
      <c r="V161" s="2612"/>
      <c r="W161" s="2612"/>
      <c r="X161" s="2612"/>
      <c r="Y161" s="2612"/>
      <c r="Z161" s="2612"/>
      <c r="AA161" s="2612"/>
      <c r="AB161" s="2629" t="s">
        <v>3649</v>
      </c>
      <c r="AC161" s="2629"/>
      <c r="AD161" s="2629"/>
      <c r="AE161" s="2629"/>
      <c r="AF161" s="1513"/>
      <c r="AG161" s="1513"/>
      <c r="AH161" s="1513"/>
      <c r="AI161" s="1513"/>
      <c r="AJ161" s="1513"/>
      <c r="AK161" s="1513"/>
      <c r="AL161" s="1513"/>
      <c r="AM161" s="1513"/>
      <c r="AN161" s="1513"/>
      <c r="AO161" s="1513"/>
      <c r="AP161" s="1448"/>
    </row>
    <row r="162" spans="1:42">
      <c r="A162" s="1448"/>
      <c r="B162" s="1448"/>
      <c r="C162" s="1448"/>
      <c r="D162" s="1448"/>
      <c r="E162" s="1448"/>
      <c r="F162" s="2623" t="s">
        <v>3611</v>
      </c>
      <c r="G162" s="2624"/>
      <c r="H162" s="2624"/>
      <c r="I162" s="2624"/>
      <c r="J162" s="2624"/>
      <c r="K162" s="2625"/>
      <c r="L162" s="2626" t="s">
        <v>3651</v>
      </c>
      <c r="M162" s="2627"/>
      <c r="N162" s="2627"/>
      <c r="O162" s="2627"/>
      <c r="P162" s="2627"/>
      <c r="Q162" s="2627"/>
      <c r="R162" s="2627"/>
      <c r="S162" s="2628"/>
      <c r="T162" s="2617" t="s">
        <v>3575</v>
      </c>
      <c r="U162" s="2612"/>
      <c r="V162" s="2612"/>
      <c r="W162" s="2612"/>
      <c r="X162" s="2612"/>
      <c r="Y162" s="2612"/>
      <c r="Z162" s="2612"/>
      <c r="AA162" s="2612"/>
      <c r="AB162" s="2629" t="s">
        <v>3652</v>
      </c>
      <c r="AC162" s="2629"/>
      <c r="AD162" s="2629"/>
      <c r="AE162" s="2629"/>
      <c r="AF162" s="1513"/>
      <c r="AG162" s="1513"/>
      <c r="AH162" s="1513"/>
      <c r="AI162" s="1513"/>
      <c r="AJ162" s="1513"/>
      <c r="AK162" s="1513"/>
      <c r="AL162" s="1513"/>
      <c r="AM162" s="1513"/>
      <c r="AN162" s="1513"/>
      <c r="AO162" s="1513"/>
      <c r="AP162" s="1448"/>
    </row>
    <row r="163" spans="1:42">
      <c r="A163" s="1448"/>
      <c r="B163" s="1448"/>
      <c r="C163" s="1448"/>
      <c r="D163" s="1448"/>
      <c r="E163" s="1448"/>
      <c r="F163" s="2623" t="s">
        <v>3628</v>
      </c>
      <c r="G163" s="2624"/>
      <c r="H163" s="2624"/>
      <c r="I163" s="2624"/>
      <c r="J163" s="2624"/>
      <c r="K163" s="2625"/>
      <c r="L163" s="2626" t="s">
        <v>3578</v>
      </c>
      <c r="M163" s="2627"/>
      <c r="N163" s="2627"/>
      <c r="O163" s="2627"/>
      <c r="P163" s="2627"/>
      <c r="Q163" s="2627"/>
      <c r="R163" s="2627"/>
      <c r="S163" s="2628"/>
      <c r="T163" s="2617" t="s">
        <v>3601</v>
      </c>
      <c r="U163" s="2612"/>
      <c r="V163" s="2612"/>
      <c r="W163" s="2612"/>
      <c r="X163" s="2612"/>
      <c r="Y163" s="2612"/>
      <c r="Z163" s="2612"/>
      <c r="AA163" s="2612"/>
      <c r="AB163" s="2629" t="s">
        <v>3652</v>
      </c>
      <c r="AC163" s="2629"/>
      <c r="AD163" s="2629"/>
      <c r="AE163" s="2629"/>
      <c r="AF163" s="1513"/>
      <c r="AG163" s="1513"/>
      <c r="AH163" s="1513"/>
      <c r="AI163" s="1513"/>
      <c r="AJ163" s="1513"/>
      <c r="AK163" s="1513"/>
      <c r="AL163" s="1513"/>
      <c r="AM163" s="1513"/>
      <c r="AN163" s="1513"/>
      <c r="AO163" s="1513"/>
      <c r="AP163" s="1448"/>
    </row>
    <row r="164" spans="1:42">
      <c r="A164" s="1448"/>
      <c r="B164" s="1448"/>
      <c r="C164" s="1448"/>
      <c r="D164" s="1448"/>
      <c r="E164" s="1448"/>
      <c r="F164" s="2623" t="s">
        <v>3628</v>
      </c>
      <c r="G164" s="2624"/>
      <c r="H164" s="2624"/>
      <c r="I164" s="2624"/>
      <c r="J164" s="2624"/>
      <c r="K164" s="2625"/>
      <c r="L164" s="2626" t="s">
        <v>3599</v>
      </c>
      <c r="M164" s="2627"/>
      <c r="N164" s="2627"/>
      <c r="O164" s="2627"/>
      <c r="P164" s="2627"/>
      <c r="Q164" s="2627"/>
      <c r="R164" s="2627"/>
      <c r="S164" s="2628"/>
      <c r="T164" s="2617" t="s">
        <v>3653</v>
      </c>
      <c r="U164" s="2612"/>
      <c r="V164" s="2612"/>
      <c r="W164" s="2612"/>
      <c r="X164" s="2612"/>
      <c r="Y164" s="2612"/>
      <c r="Z164" s="2612"/>
      <c r="AA164" s="2612"/>
      <c r="AB164" s="2629" t="s">
        <v>3654</v>
      </c>
      <c r="AC164" s="2629"/>
      <c r="AD164" s="2629"/>
      <c r="AE164" s="2629"/>
      <c r="AF164" s="1513"/>
      <c r="AG164" s="1513"/>
      <c r="AH164" s="1513"/>
      <c r="AI164" s="1513"/>
      <c r="AJ164" s="1513"/>
      <c r="AK164" s="1513"/>
      <c r="AL164" s="1513"/>
      <c r="AM164" s="1513"/>
      <c r="AN164" s="1513"/>
      <c r="AO164" s="1513"/>
      <c r="AP164" s="1448"/>
    </row>
    <row r="165" spans="1:42">
      <c r="A165" s="1448"/>
      <c r="B165" s="1448"/>
      <c r="C165" s="1448"/>
      <c r="D165" s="1448"/>
      <c r="E165" s="1448"/>
      <c r="F165" s="2623" t="s">
        <v>3628</v>
      </c>
      <c r="G165" s="2624"/>
      <c r="H165" s="2624"/>
      <c r="I165" s="2624"/>
      <c r="J165" s="2624"/>
      <c r="K165" s="2625"/>
      <c r="L165" s="2626" t="s">
        <v>3633</v>
      </c>
      <c r="M165" s="2627"/>
      <c r="N165" s="2627"/>
      <c r="O165" s="2627"/>
      <c r="P165" s="2627"/>
      <c r="Q165" s="2627"/>
      <c r="R165" s="2627"/>
      <c r="S165" s="2628"/>
      <c r="T165" s="2617" t="s">
        <v>3575</v>
      </c>
      <c r="U165" s="2612"/>
      <c r="V165" s="2612"/>
      <c r="W165" s="2612"/>
      <c r="X165" s="2612"/>
      <c r="Y165" s="2612"/>
      <c r="Z165" s="2612"/>
      <c r="AA165" s="2612"/>
      <c r="AB165" s="2629" t="s">
        <v>3655</v>
      </c>
      <c r="AC165" s="2629"/>
      <c r="AD165" s="2629"/>
      <c r="AE165" s="2629"/>
      <c r="AF165" s="1513"/>
      <c r="AG165" s="1513"/>
      <c r="AH165" s="1513"/>
      <c r="AI165" s="1513"/>
      <c r="AJ165" s="1513"/>
      <c r="AK165" s="1513"/>
      <c r="AL165" s="1513"/>
      <c r="AM165" s="1513"/>
      <c r="AN165" s="1513"/>
      <c r="AO165" s="1513"/>
      <c r="AP165" s="1448"/>
    </row>
    <row r="166" spans="1:42" s="1518" customFormat="1">
      <c r="A166" s="1526"/>
      <c r="B166" s="1526"/>
      <c r="C166" s="1526"/>
      <c r="D166" s="1526"/>
      <c r="E166" s="1526"/>
      <c r="F166" s="2630" t="s">
        <v>3632</v>
      </c>
      <c r="G166" s="2631"/>
      <c r="H166" s="2631"/>
      <c r="I166" s="2631"/>
      <c r="J166" s="2631"/>
      <c r="K166" s="2632"/>
      <c r="L166" s="2626" t="s">
        <v>3578</v>
      </c>
      <c r="M166" s="2627"/>
      <c r="N166" s="2627"/>
      <c r="O166" s="2627"/>
      <c r="P166" s="2627"/>
      <c r="Q166" s="2627"/>
      <c r="R166" s="2627"/>
      <c r="S166" s="2628"/>
      <c r="T166" s="2633" t="s">
        <v>3656</v>
      </c>
      <c r="U166" s="2631"/>
      <c r="V166" s="2631"/>
      <c r="W166" s="2631"/>
      <c r="X166" s="2631"/>
      <c r="Y166" s="2631"/>
      <c r="Z166" s="2631"/>
      <c r="AA166" s="2631"/>
      <c r="AB166" s="2618" t="s">
        <v>3655</v>
      </c>
      <c r="AC166" s="2618"/>
      <c r="AD166" s="2618"/>
      <c r="AE166" s="2618"/>
      <c r="AF166" s="1527"/>
      <c r="AG166" s="1527"/>
      <c r="AH166" s="1527"/>
      <c r="AI166" s="1527"/>
      <c r="AJ166" s="1527"/>
      <c r="AK166" s="1527"/>
      <c r="AL166" s="1527"/>
      <c r="AM166" s="1527"/>
      <c r="AN166" s="1527"/>
      <c r="AO166" s="1527"/>
      <c r="AP166" s="1526"/>
    </row>
    <row r="167" spans="1:42">
      <c r="A167" s="1448"/>
      <c r="B167" s="1448"/>
      <c r="C167" s="1448"/>
      <c r="D167" s="1448"/>
      <c r="E167" s="1448"/>
      <c r="F167" s="2623" t="s">
        <v>3632</v>
      </c>
      <c r="G167" s="2624"/>
      <c r="H167" s="2624"/>
      <c r="I167" s="2624"/>
      <c r="J167" s="2624"/>
      <c r="K167" s="2625"/>
      <c r="L167" s="2626" t="s">
        <v>3657</v>
      </c>
      <c r="M167" s="2627"/>
      <c r="N167" s="2627"/>
      <c r="O167" s="2627"/>
      <c r="P167" s="2627"/>
      <c r="Q167" s="2627"/>
      <c r="R167" s="2627"/>
      <c r="S167" s="2628"/>
      <c r="T167" s="2617" t="s">
        <v>3575</v>
      </c>
      <c r="U167" s="2612"/>
      <c r="V167" s="2612"/>
      <c r="W167" s="2612"/>
      <c r="X167" s="2612"/>
      <c r="Y167" s="2612"/>
      <c r="Z167" s="2612"/>
      <c r="AA167" s="2612"/>
      <c r="AB167" s="2629" t="s">
        <v>3658</v>
      </c>
      <c r="AC167" s="2629"/>
      <c r="AD167" s="2629"/>
      <c r="AE167" s="2629"/>
      <c r="AF167" s="1513"/>
      <c r="AG167" s="1513"/>
      <c r="AH167" s="1513"/>
      <c r="AI167" s="1513"/>
      <c r="AJ167" s="1513"/>
      <c r="AK167" s="1513"/>
      <c r="AL167" s="1513"/>
      <c r="AM167" s="1513"/>
      <c r="AN167" s="1513"/>
      <c r="AO167" s="1513"/>
      <c r="AP167" s="1448"/>
    </row>
    <row r="168" spans="1:42" s="1518" customFormat="1">
      <c r="A168" s="1526"/>
      <c r="B168" s="1526"/>
      <c r="C168" s="1526"/>
      <c r="D168" s="1526"/>
      <c r="E168" s="1526"/>
      <c r="F168" s="2630" t="s">
        <v>3659</v>
      </c>
      <c r="G168" s="2631"/>
      <c r="H168" s="2631"/>
      <c r="I168" s="2631"/>
      <c r="J168" s="2631"/>
      <c r="K168" s="2632"/>
      <c r="L168" s="2626" t="s">
        <v>3578</v>
      </c>
      <c r="M168" s="2627"/>
      <c r="N168" s="2627"/>
      <c r="O168" s="2627"/>
      <c r="P168" s="2627"/>
      <c r="Q168" s="2627"/>
      <c r="R168" s="2627"/>
      <c r="S168" s="2628"/>
      <c r="T168" s="2633" t="s">
        <v>3635</v>
      </c>
      <c r="U168" s="2631"/>
      <c r="V168" s="2631"/>
      <c r="W168" s="2631"/>
      <c r="X168" s="2631"/>
      <c r="Y168" s="2631"/>
      <c r="Z168" s="2631"/>
      <c r="AA168" s="2631"/>
      <c r="AB168" s="2618" t="s">
        <v>3658</v>
      </c>
      <c r="AC168" s="2618"/>
      <c r="AD168" s="2618"/>
      <c r="AE168" s="2618"/>
      <c r="AF168" s="1527"/>
      <c r="AG168" s="1527"/>
      <c r="AH168" s="1527"/>
      <c r="AI168" s="1527"/>
      <c r="AJ168" s="1527"/>
      <c r="AK168" s="1527"/>
      <c r="AL168" s="1527"/>
      <c r="AM168" s="1527"/>
      <c r="AN168" s="1527"/>
      <c r="AO168" s="1527"/>
      <c r="AP168" s="1526"/>
    </row>
    <row r="169" spans="1:42">
      <c r="A169" s="1448"/>
      <c r="B169" s="1448"/>
      <c r="C169" s="1448"/>
      <c r="D169" s="1448"/>
      <c r="E169" s="1448"/>
      <c r="F169" s="2623" t="s">
        <v>3659</v>
      </c>
      <c r="G169" s="2624"/>
      <c r="H169" s="2624"/>
      <c r="I169" s="2624"/>
      <c r="J169" s="2624"/>
      <c r="K169" s="2625"/>
      <c r="L169" s="2626" t="s">
        <v>3660</v>
      </c>
      <c r="M169" s="2627"/>
      <c r="N169" s="2627"/>
      <c r="O169" s="2627"/>
      <c r="P169" s="2627"/>
      <c r="Q169" s="2627"/>
      <c r="R169" s="2627"/>
      <c r="S169" s="2628"/>
      <c r="T169" s="2617" t="s">
        <v>3661</v>
      </c>
      <c r="U169" s="2612"/>
      <c r="V169" s="2612"/>
      <c r="W169" s="2612"/>
      <c r="X169" s="2612"/>
      <c r="Y169" s="2612"/>
      <c r="Z169" s="2612"/>
      <c r="AA169" s="2612"/>
      <c r="AB169" s="2629" t="s">
        <v>3662</v>
      </c>
      <c r="AC169" s="2629"/>
      <c r="AD169" s="2629"/>
      <c r="AE169" s="2629"/>
      <c r="AF169" s="1513"/>
      <c r="AG169" s="1513"/>
      <c r="AH169" s="1513"/>
      <c r="AI169" s="1513"/>
      <c r="AJ169" s="1513"/>
      <c r="AK169" s="1513"/>
      <c r="AL169" s="1513"/>
      <c r="AM169" s="1513"/>
      <c r="AN169" s="1513"/>
      <c r="AO169" s="1513"/>
      <c r="AP169" s="1448"/>
    </row>
    <row r="170" spans="1:42">
      <c r="A170" s="1448"/>
      <c r="B170" s="1448"/>
      <c r="C170" s="1448"/>
      <c r="D170" s="1448"/>
      <c r="E170" s="1448"/>
      <c r="F170" s="2630" t="s">
        <v>3659</v>
      </c>
      <c r="G170" s="2631"/>
      <c r="H170" s="2631"/>
      <c r="I170" s="2631"/>
      <c r="J170" s="2631"/>
      <c r="K170" s="2632"/>
      <c r="L170" s="2626" t="s">
        <v>3664</v>
      </c>
      <c r="M170" s="2627"/>
      <c r="N170" s="2627"/>
      <c r="O170" s="2627"/>
      <c r="P170" s="2627"/>
      <c r="Q170" s="2627"/>
      <c r="R170" s="2627"/>
      <c r="S170" s="2628"/>
      <c r="T170" s="2633" t="s">
        <v>3575</v>
      </c>
      <c r="U170" s="2631"/>
      <c r="V170" s="2631"/>
      <c r="W170" s="2631"/>
      <c r="X170" s="2631"/>
      <c r="Y170" s="2631"/>
      <c r="Z170" s="2631"/>
      <c r="AA170" s="2631"/>
      <c r="AB170" s="2618" t="s">
        <v>3671</v>
      </c>
      <c r="AC170" s="2618"/>
      <c r="AD170" s="2618"/>
      <c r="AE170" s="2618"/>
      <c r="AF170" s="1513"/>
      <c r="AG170" s="1513"/>
      <c r="AH170" s="1513"/>
      <c r="AI170" s="1513"/>
      <c r="AJ170" s="1513"/>
      <c r="AK170" s="1513"/>
      <c r="AL170" s="1513"/>
      <c r="AM170" s="1513"/>
      <c r="AN170" s="1513"/>
      <c r="AO170" s="1513"/>
      <c r="AP170" s="1448"/>
    </row>
    <row r="171" spans="1:42">
      <c r="A171" s="1448"/>
      <c r="B171" s="1448"/>
      <c r="C171" s="1448"/>
      <c r="D171" s="1448"/>
      <c r="E171" s="1448"/>
      <c r="F171" s="2630" t="s">
        <v>3672</v>
      </c>
      <c r="G171" s="2631"/>
      <c r="H171" s="2631"/>
      <c r="I171" s="2631"/>
      <c r="J171" s="2631"/>
      <c r="K171" s="2632"/>
      <c r="L171" s="2626" t="s">
        <v>3578</v>
      </c>
      <c r="M171" s="2627"/>
      <c r="N171" s="2627"/>
      <c r="O171" s="2627"/>
      <c r="P171" s="2627"/>
      <c r="Q171" s="2627"/>
      <c r="R171" s="2627"/>
      <c r="S171" s="2628"/>
      <c r="T171" s="2633" t="s">
        <v>3673</v>
      </c>
      <c r="U171" s="2631"/>
      <c r="V171" s="2631"/>
      <c r="W171" s="2631"/>
      <c r="X171" s="2631"/>
      <c r="Y171" s="2631"/>
      <c r="Z171" s="2631"/>
      <c r="AA171" s="2631"/>
      <c r="AB171" s="2618" t="s">
        <v>3671</v>
      </c>
      <c r="AC171" s="2618"/>
      <c r="AD171" s="2618"/>
      <c r="AE171" s="2618"/>
      <c r="AF171" s="1513"/>
      <c r="AG171" s="1513"/>
      <c r="AH171" s="1513"/>
      <c r="AI171" s="1513"/>
      <c r="AJ171" s="1513"/>
      <c r="AK171" s="1513"/>
      <c r="AL171" s="1513"/>
      <c r="AM171" s="1513"/>
      <c r="AN171" s="1513"/>
      <c r="AO171" s="1513"/>
      <c r="AP171" s="1448"/>
    </row>
    <row r="172" spans="1:42">
      <c r="A172" s="1448"/>
      <c r="B172" s="1448"/>
      <c r="C172" s="1448"/>
      <c r="D172" s="1448"/>
      <c r="E172" s="1448"/>
      <c r="F172" s="2630" t="s">
        <v>3672</v>
      </c>
      <c r="G172" s="2631"/>
      <c r="H172" s="2631"/>
      <c r="I172" s="2631"/>
      <c r="J172" s="2631"/>
      <c r="K172" s="2632"/>
      <c r="L172" s="2626" t="s">
        <v>3674</v>
      </c>
      <c r="M172" s="2627"/>
      <c r="N172" s="2627"/>
      <c r="O172" s="2627"/>
      <c r="P172" s="2627"/>
      <c r="Q172" s="2627"/>
      <c r="R172" s="2627"/>
      <c r="S172" s="2628"/>
      <c r="T172" s="2633" t="s">
        <v>3575</v>
      </c>
      <c r="U172" s="2631"/>
      <c r="V172" s="2631"/>
      <c r="W172" s="2631"/>
      <c r="X172" s="2631"/>
      <c r="Y172" s="2631"/>
      <c r="Z172" s="2631"/>
      <c r="AA172" s="2631"/>
      <c r="AB172" s="2618" t="s">
        <v>3670</v>
      </c>
      <c r="AC172" s="2618"/>
      <c r="AD172" s="2618"/>
      <c r="AE172" s="2618"/>
      <c r="AF172" s="1513"/>
      <c r="AG172" s="1513"/>
      <c r="AH172" s="1513"/>
      <c r="AI172" s="1513"/>
      <c r="AJ172" s="1513"/>
      <c r="AK172" s="1513"/>
      <c r="AL172" s="1513"/>
      <c r="AM172" s="1513"/>
      <c r="AN172" s="1513"/>
      <c r="AO172" s="1513"/>
      <c r="AP172" s="1448"/>
    </row>
    <row r="173" spans="1:42">
      <c r="A173" s="1448"/>
      <c r="B173" s="1448"/>
      <c r="C173" s="1448"/>
      <c r="D173" s="1448"/>
      <c r="E173" s="1448"/>
      <c r="F173" s="2630" t="s">
        <v>3675</v>
      </c>
      <c r="G173" s="2631"/>
      <c r="H173" s="2631"/>
      <c r="I173" s="2631"/>
      <c r="J173" s="2631"/>
      <c r="K173" s="2632"/>
      <c r="L173" s="2626" t="s">
        <v>3578</v>
      </c>
      <c r="M173" s="2627"/>
      <c r="N173" s="2627"/>
      <c r="O173" s="2627"/>
      <c r="P173" s="2627"/>
      <c r="Q173" s="2627"/>
      <c r="R173" s="2627"/>
      <c r="S173" s="2628"/>
      <c r="T173" s="2633" t="s">
        <v>3676</v>
      </c>
      <c r="U173" s="2631"/>
      <c r="V173" s="2631"/>
      <c r="W173" s="2631"/>
      <c r="X173" s="2631"/>
      <c r="Y173" s="2631"/>
      <c r="Z173" s="2631"/>
      <c r="AA173" s="2631"/>
      <c r="AB173" s="2618" t="s">
        <v>3670</v>
      </c>
      <c r="AC173" s="2618"/>
      <c r="AD173" s="2618"/>
      <c r="AE173" s="2618"/>
      <c r="AF173" s="1513"/>
      <c r="AG173" s="1513"/>
      <c r="AH173" s="1513"/>
      <c r="AI173" s="1513"/>
      <c r="AJ173" s="1513"/>
      <c r="AK173" s="1513"/>
      <c r="AL173" s="1513"/>
      <c r="AM173" s="1513"/>
      <c r="AN173" s="1513"/>
      <c r="AO173" s="1513"/>
      <c r="AP173" s="1448"/>
    </row>
    <row r="174" spans="1:42">
      <c r="A174" s="1448"/>
      <c r="B174" s="1448"/>
      <c r="C174" s="1448"/>
      <c r="D174" s="1448"/>
      <c r="E174" s="1448"/>
      <c r="F174" s="2630" t="s">
        <v>3675</v>
      </c>
      <c r="G174" s="2631"/>
      <c r="H174" s="2631"/>
      <c r="I174" s="2631"/>
      <c r="J174" s="2631"/>
      <c r="K174" s="2632"/>
      <c r="L174" s="2626" t="s">
        <v>3686</v>
      </c>
      <c r="M174" s="2627"/>
      <c r="N174" s="2627"/>
      <c r="O174" s="2627"/>
      <c r="P174" s="2627"/>
      <c r="Q174" s="2627"/>
      <c r="R174" s="2627"/>
      <c r="S174" s="2628"/>
      <c r="T174" s="2633" t="s">
        <v>3575</v>
      </c>
      <c r="U174" s="2631"/>
      <c r="V174" s="2631"/>
      <c r="W174" s="2631"/>
      <c r="X174" s="2631"/>
      <c r="Y174" s="2631"/>
      <c r="Z174" s="2631"/>
      <c r="AA174" s="2631"/>
      <c r="AB174" s="2618" t="s">
        <v>3685</v>
      </c>
      <c r="AC174" s="2618"/>
      <c r="AD174" s="2618"/>
      <c r="AE174" s="2618"/>
      <c r="AF174" s="1513"/>
      <c r="AG174" s="1513"/>
      <c r="AH174" s="1513"/>
      <c r="AI174" s="1513"/>
      <c r="AJ174" s="1513"/>
      <c r="AK174" s="1513"/>
      <c r="AL174" s="1513"/>
      <c r="AM174" s="1513"/>
      <c r="AN174" s="1513"/>
      <c r="AO174" s="1513"/>
      <c r="AP174" s="1448"/>
    </row>
    <row r="175" spans="1:42">
      <c r="A175" s="1448"/>
      <c r="B175" s="1448"/>
      <c r="C175" s="1448"/>
      <c r="D175" s="1448"/>
      <c r="E175" s="1448"/>
      <c r="F175" s="2630" t="s">
        <v>3684</v>
      </c>
      <c r="G175" s="2631"/>
      <c r="H175" s="2631"/>
      <c r="I175" s="2631"/>
      <c r="J175" s="2631"/>
      <c r="K175" s="2632"/>
      <c r="L175" s="2626" t="s">
        <v>3578</v>
      </c>
      <c r="M175" s="2627"/>
      <c r="N175" s="2627"/>
      <c r="O175" s="2627"/>
      <c r="P175" s="2627"/>
      <c r="Q175" s="2627"/>
      <c r="R175" s="2627"/>
      <c r="S175" s="2628"/>
      <c r="T175" s="2633" t="s">
        <v>3688</v>
      </c>
      <c r="U175" s="2631"/>
      <c r="V175" s="2631"/>
      <c r="W175" s="2631"/>
      <c r="X175" s="2631"/>
      <c r="Y175" s="2631"/>
      <c r="Z175" s="2631"/>
      <c r="AA175" s="2631"/>
      <c r="AB175" s="2618" t="s">
        <v>3685</v>
      </c>
      <c r="AC175" s="2618"/>
      <c r="AD175" s="2618"/>
      <c r="AE175" s="2618"/>
      <c r="AF175" s="1513"/>
      <c r="AG175" s="1513"/>
      <c r="AH175" s="1513"/>
      <c r="AI175" s="1513"/>
      <c r="AJ175" s="1513"/>
      <c r="AK175" s="1513"/>
      <c r="AL175" s="1513"/>
      <c r="AM175" s="1513"/>
      <c r="AN175" s="1513"/>
      <c r="AO175" s="1513"/>
      <c r="AP175" s="1448"/>
    </row>
    <row r="176" spans="1:42">
      <c r="A176" s="1448"/>
      <c r="B176" s="1448"/>
      <c r="C176" s="1448"/>
      <c r="D176" s="1448"/>
      <c r="E176" s="1448"/>
      <c r="F176" s="2630" t="s">
        <v>3684</v>
      </c>
      <c r="G176" s="2631"/>
      <c r="H176" s="2631"/>
      <c r="I176" s="2631"/>
      <c r="J176" s="2631"/>
      <c r="K176" s="2632"/>
      <c r="L176" s="2626" t="s">
        <v>3604</v>
      </c>
      <c r="M176" s="2627"/>
      <c r="N176" s="2627"/>
      <c r="O176" s="2627"/>
      <c r="P176" s="2627"/>
      <c r="Q176" s="2627"/>
      <c r="R176" s="2627"/>
      <c r="S176" s="2628"/>
      <c r="T176" s="2633" t="s">
        <v>3690</v>
      </c>
      <c r="U176" s="2631"/>
      <c r="V176" s="2631"/>
      <c r="W176" s="2631"/>
      <c r="X176" s="2631"/>
      <c r="Y176" s="2631"/>
      <c r="Z176" s="2631"/>
      <c r="AA176" s="2631"/>
      <c r="AB176" s="2618" t="s">
        <v>3689</v>
      </c>
      <c r="AC176" s="2618"/>
      <c r="AD176" s="2618"/>
      <c r="AE176" s="2618"/>
      <c r="AF176" s="1513"/>
      <c r="AG176" s="1513"/>
      <c r="AH176" s="1513"/>
      <c r="AI176" s="1513"/>
      <c r="AJ176" s="1513"/>
      <c r="AK176" s="1513"/>
      <c r="AL176" s="1513"/>
      <c r="AM176" s="1513"/>
      <c r="AN176" s="1513"/>
      <c r="AO176" s="1513"/>
      <c r="AP176" s="1448"/>
    </row>
    <row r="177" spans="1:43">
      <c r="A177" s="1448"/>
      <c r="B177" s="1448"/>
      <c r="C177" s="1448"/>
      <c r="D177" s="1448"/>
      <c r="E177" s="1448"/>
      <c r="F177" s="2630" t="s">
        <v>3684</v>
      </c>
      <c r="G177" s="2631"/>
      <c r="H177" s="2631"/>
      <c r="I177" s="2631"/>
      <c r="J177" s="2631"/>
      <c r="K177" s="2632"/>
      <c r="L177" s="2626" t="s">
        <v>3701</v>
      </c>
      <c r="M177" s="2627"/>
      <c r="N177" s="2627"/>
      <c r="O177" s="2627"/>
      <c r="P177" s="2627"/>
      <c r="Q177" s="2627"/>
      <c r="R177" s="2627"/>
      <c r="S177" s="2628"/>
      <c r="T177" s="2633" t="s">
        <v>3575</v>
      </c>
      <c r="U177" s="2631"/>
      <c r="V177" s="2631"/>
      <c r="W177" s="2631"/>
      <c r="X177" s="2631"/>
      <c r="Y177" s="2631"/>
      <c r="Z177" s="2631"/>
      <c r="AA177" s="2631"/>
      <c r="AB177" s="2618" t="s">
        <v>3702</v>
      </c>
      <c r="AC177" s="2618"/>
      <c r="AD177" s="2618"/>
      <c r="AE177" s="2618"/>
      <c r="AF177" s="1513"/>
      <c r="AG177" s="1513"/>
      <c r="AH177" s="1513"/>
      <c r="AI177" s="1513"/>
      <c r="AJ177" s="1513"/>
      <c r="AK177" s="1513"/>
      <c r="AM177" s="1513"/>
      <c r="AN177" s="1513"/>
      <c r="AO177" s="1513"/>
      <c r="AP177" s="1513"/>
      <c r="AQ177" s="1513" t="s">
        <v>3705</v>
      </c>
    </row>
    <row r="178" spans="1:43">
      <c r="A178" s="1448"/>
      <c r="B178" s="1448"/>
      <c r="C178" s="1448"/>
      <c r="D178" s="1448"/>
      <c r="E178" s="1448"/>
      <c r="F178" s="2630" t="s">
        <v>3703</v>
      </c>
      <c r="G178" s="2631"/>
      <c r="H178" s="2631"/>
      <c r="I178" s="2631"/>
      <c r="J178" s="2631"/>
      <c r="K178" s="2632"/>
      <c r="L178" s="2626" t="s">
        <v>3578</v>
      </c>
      <c r="M178" s="2627"/>
      <c r="N178" s="2627"/>
      <c r="O178" s="2627"/>
      <c r="P178" s="2627"/>
      <c r="Q178" s="2627"/>
      <c r="R178" s="2627"/>
      <c r="S178" s="2628"/>
      <c r="T178" s="2633" t="s">
        <v>3704</v>
      </c>
      <c r="U178" s="2631"/>
      <c r="V178" s="2631"/>
      <c r="W178" s="2631"/>
      <c r="X178" s="2631"/>
      <c r="Y178" s="2631"/>
      <c r="Z178" s="2631"/>
      <c r="AA178" s="2631"/>
      <c r="AB178" s="2618" t="s">
        <v>3702</v>
      </c>
      <c r="AC178" s="2618"/>
      <c r="AD178" s="2618"/>
      <c r="AE178" s="2618"/>
      <c r="AF178" s="1513"/>
      <c r="AG178" s="1513"/>
      <c r="AH178" s="1513"/>
      <c r="AI178" s="1513"/>
      <c r="AJ178" s="1513"/>
      <c r="AM178" s="1513"/>
      <c r="AN178" s="1513"/>
      <c r="AO178" s="1513"/>
      <c r="AP178" s="1513"/>
      <c r="AQ178" s="1513" t="s">
        <v>3705</v>
      </c>
    </row>
    <row r="179" spans="1:43">
      <c r="A179" s="1448"/>
      <c r="B179" s="1448"/>
      <c r="C179" s="1448"/>
      <c r="D179" s="1448"/>
      <c r="E179" s="1448"/>
      <c r="F179" s="2630" t="s">
        <v>3703</v>
      </c>
      <c r="G179" s="2631"/>
      <c r="H179" s="2631"/>
      <c r="I179" s="2631"/>
      <c r="J179" s="2631"/>
      <c r="K179" s="2632"/>
      <c r="L179" s="2626" t="s">
        <v>3706</v>
      </c>
      <c r="M179" s="2627"/>
      <c r="N179" s="2627"/>
      <c r="O179" s="2627"/>
      <c r="P179" s="2627"/>
      <c r="Q179" s="2627"/>
      <c r="R179" s="2627"/>
      <c r="S179" s="2628"/>
      <c r="T179" s="2633" t="s">
        <v>3575</v>
      </c>
      <c r="U179" s="2631"/>
      <c r="V179" s="2631"/>
      <c r="W179" s="2631"/>
      <c r="X179" s="2631"/>
      <c r="Y179" s="2631"/>
      <c r="Z179" s="2631"/>
      <c r="AA179" s="2631"/>
      <c r="AB179" s="2618" t="s">
        <v>3707</v>
      </c>
      <c r="AC179" s="2618"/>
      <c r="AD179" s="2618"/>
      <c r="AE179" s="2618"/>
      <c r="AF179" s="1513"/>
      <c r="AG179" s="1513"/>
      <c r="AH179" s="1513"/>
      <c r="AI179" s="1513"/>
      <c r="AJ179" s="1513"/>
      <c r="AM179" s="1513"/>
      <c r="AN179" s="1513"/>
      <c r="AO179" s="1513"/>
      <c r="AP179" s="1513"/>
      <c r="AQ179" s="1513" t="s">
        <v>3705</v>
      </c>
    </row>
    <row r="180" spans="1:43">
      <c r="A180" s="1448"/>
      <c r="B180" s="1448"/>
      <c r="C180" s="1448"/>
      <c r="D180" s="1448"/>
      <c r="E180" s="1448"/>
      <c r="F180" s="2630" t="s">
        <v>4264</v>
      </c>
      <c r="G180" s="2631"/>
      <c r="H180" s="2631"/>
      <c r="I180" s="2631"/>
      <c r="J180" s="2631"/>
      <c r="K180" s="2632"/>
      <c r="L180" s="2626" t="s">
        <v>3600</v>
      </c>
      <c r="M180" s="2627"/>
      <c r="N180" s="2627"/>
      <c r="O180" s="2627"/>
      <c r="P180" s="2627"/>
      <c r="Q180" s="2627"/>
      <c r="R180" s="2627"/>
      <c r="S180" s="2628"/>
      <c r="T180" s="2633" t="s">
        <v>4265</v>
      </c>
      <c r="U180" s="2631"/>
      <c r="V180" s="2631"/>
      <c r="W180" s="2631"/>
      <c r="X180" s="2631"/>
      <c r="Y180" s="2631"/>
      <c r="Z180" s="2631"/>
      <c r="AA180" s="2631"/>
      <c r="AB180" s="2618" t="s">
        <v>4266</v>
      </c>
      <c r="AC180" s="2618"/>
      <c r="AD180" s="2618"/>
      <c r="AE180" s="2618"/>
      <c r="AF180" s="1513"/>
      <c r="AG180" s="1513"/>
      <c r="AH180" s="1513"/>
      <c r="AI180" s="1513"/>
      <c r="AJ180" s="1513"/>
      <c r="AM180" s="1513"/>
      <c r="AN180" s="1513"/>
      <c r="AO180" s="1513"/>
      <c r="AP180" s="1513"/>
      <c r="AQ180" s="1513"/>
    </row>
    <row r="181" spans="1:43">
      <c r="A181" s="1448"/>
      <c r="B181" s="1448"/>
      <c r="C181" s="1448"/>
      <c r="D181" s="1448"/>
      <c r="E181" s="1448"/>
      <c r="F181" s="2630" t="s">
        <v>4264</v>
      </c>
      <c r="G181" s="2631"/>
      <c r="H181" s="2631"/>
      <c r="I181" s="2631"/>
      <c r="J181" s="2631"/>
      <c r="K181" s="2632"/>
      <c r="L181" s="2626" t="s">
        <v>3600</v>
      </c>
      <c r="M181" s="2627"/>
      <c r="N181" s="2627"/>
      <c r="O181" s="2627"/>
      <c r="P181" s="2627"/>
      <c r="Q181" s="2627"/>
      <c r="R181" s="2627"/>
      <c r="S181" s="2628"/>
      <c r="T181" s="2633" t="s">
        <v>4265</v>
      </c>
      <c r="U181" s="2631"/>
      <c r="V181" s="2631"/>
      <c r="W181" s="2631"/>
      <c r="X181" s="2631"/>
      <c r="Y181" s="2631"/>
      <c r="Z181" s="2631"/>
      <c r="AA181" s="2631"/>
      <c r="AB181" s="2618" t="s">
        <v>4266</v>
      </c>
      <c r="AC181" s="2618"/>
      <c r="AD181" s="2618"/>
      <c r="AE181" s="2618"/>
      <c r="AF181" s="1513"/>
      <c r="AG181" s="1513"/>
      <c r="AH181" s="1513"/>
      <c r="AI181" s="1513"/>
      <c r="AJ181" s="1513"/>
      <c r="AM181" s="1513"/>
      <c r="AN181" s="1513"/>
      <c r="AO181" s="1513"/>
      <c r="AP181" s="1513"/>
      <c r="AQ181" s="1513"/>
    </row>
    <row r="182" spans="1:43">
      <c r="A182" s="1448"/>
      <c r="B182" s="1448"/>
      <c r="C182" s="1448"/>
      <c r="D182" s="1448"/>
      <c r="E182" s="1448"/>
      <c r="F182" s="2630" t="s">
        <v>4264</v>
      </c>
      <c r="G182" s="2631"/>
      <c r="H182" s="2631"/>
      <c r="I182" s="2631"/>
      <c r="J182" s="2631"/>
      <c r="K182" s="2632"/>
      <c r="L182" s="2626" t="s">
        <v>4265</v>
      </c>
      <c r="M182" s="2627"/>
      <c r="N182" s="2627"/>
      <c r="O182" s="2627"/>
      <c r="P182" s="2627"/>
      <c r="Q182" s="2627"/>
      <c r="R182" s="2627"/>
      <c r="S182" s="2628"/>
      <c r="T182" s="2633" t="s">
        <v>3575</v>
      </c>
      <c r="U182" s="2631"/>
      <c r="V182" s="2631"/>
      <c r="W182" s="2631"/>
      <c r="X182" s="2631"/>
      <c r="Y182" s="2631"/>
      <c r="Z182" s="2631"/>
      <c r="AA182" s="2631"/>
      <c r="AB182" s="2618" t="s">
        <v>4271</v>
      </c>
      <c r="AC182" s="2618"/>
      <c r="AD182" s="2618"/>
      <c r="AE182" s="2618"/>
      <c r="AF182" s="1513"/>
      <c r="AG182" s="1513"/>
      <c r="AH182" s="1513"/>
      <c r="AI182" s="1513"/>
      <c r="AJ182" s="1513"/>
      <c r="AM182" s="1513"/>
      <c r="AN182" s="1513"/>
      <c r="AO182" s="1513"/>
      <c r="AP182" s="1513"/>
      <c r="AQ182" s="1513"/>
    </row>
    <row r="183" spans="1:43">
      <c r="A183" s="1448"/>
      <c r="B183" s="1448"/>
      <c r="C183" s="1448"/>
      <c r="D183" s="1448"/>
      <c r="E183" s="1448"/>
      <c r="F183" s="2630" t="s">
        <v>4272</v>
      </c>
      <c r="G183" s="2631"/>
      <c r="H183" s="2631"/>
      <c r="I183" s="2631"/>
      <c r="J183" s="2631"/>
      <c r="K183" s="2632"/>
      <c r="L183" s="2626" t="s">
        <v>3600</v>
      </c>
      <c r="M183" s="2627"/>
      <c r="N183" s="2627"/>
      <c r="O183" s="2627"/>
      <c r="P183" s="2627"/>
      <c r="Q183" s="2627"/>
      <c r="R183" s="2627"/>
      <c r="S183" s="2628"/>
      <c r="T183" s="2633" t="s">
        <v>4275</v>
      </c>
      <c r="U183" s="2631"/>
      <c r="V183" s="2631"/>
      <c r="W183" s="2631"/>
      <c r="X183" s="2631"/>
      <c r="Y183" s="2631"/>
      <c r="Z183" s="2631"/>
      <c r="AA183" s="2631"/>
      <c r="AB183" s="2618" t="s">
        <v>4271</v>
      </c>
      <c r="AC183" s="2618"/>
      <c r="AD183" s="2618"/>
      <c r="AE183" s="2618"/>
      <c r="AF183" s="1513"/>
      <c r="AG183" s="1513"/>
      <c r="AH183" s="1513"/>
      <c r="AI183" s="1513"/>
      <c r="AJ183" s="1513"/>
      <c r="AM183" s="1513"/>
      <c r="AN183" s="1513"/>
      <c r="AO183" s="1513"/>
      <c r="AP183" s="1513"/>
      <c r="AQ183" s="1513"/>
    </row>
    <row r="184" spans="1:43">
      <c r="A184" s="1448"/>
      <c r="B184" s="1448"/>
      <c r="C184" s="1448"/>
      <c r="D184" s="1448"/>
      <c r="E184" s="1448"/>
      <c r="F184" s="2630" t="s">
        <v>4272</v>
      </c>
      <c r="G184" s="2631"/>
      <c r="H184" s="2631"/>
      <c r="I184" s="2631"/>
      <c r="J184" s="2631"/>
      <c r="K184" s="2632"/>
      <c r="L184" s="2626" t="s">
        <v>4274</v>
      </c>
      <c r="M184" s="2627"/>
      <c r="N184" s="2627"/>
      <c r="O184" s="2627"/>
      <c r="P184" s="2627"/>
      <c r="Q184" s="2627"/>
      <c r="R184" s="2627"/>
      <c r="S184" s="2628"/>
      <c r="T184" s="2633" t="s">
        <v>3575</v>
      </c>
      <c r="U184" s="2631"/>
      <c r="V184" s="2631"/>
      <c r="W184" s="2631"/>
      <c r="X184" s="2631"/>
      <c r="Y184" s="2631"/>
      <c r="Z184" s="2631"/>
      <c r="AA184" s="2631"/>
      <c r="AB184" s="2618" t="s">
        <v>4276</v>
      </c>
      <c r="AC184" s="2618"/>
      <c r="AD184" s="2618"/>
      <c r="AE184" s="2618"/>
      <c r="AF184" s="1513"/>
      <c r="AG184" s="1513"/>
      <c r="AH184" s="1513"/>
      <c r="AI184" s="1513"/>
      <c r="AJ184" s="1513"/>
      <c r="AM184" s="1513"/>
      <c r="AN184" s="1513"/>
      <c r="AO184" s="1513"/>
      <c r="AP184" s="1513"/>
      <c r="AQ184" s="1513"/>
    </row>
    <row r="185" spans="1:43">
      <c r="A185" s="1448"/>
      <c r="B185" s="1448"/>
      <c r="C185" s="1448"/>
      <c r="D185" s="1448"/>
      <c r="E185" s="1448"/>
      <c r="F185" s="2630" t="s">
        <v>4273</v>
      </c>
      <c r="G185" s="2631"/>
      <c r="H185" s="2631"/>
      <c r="I185" s="2631"/>
      <c r="J185" s="2631"/>
      <c r="K185" s="2632"/>
      <c r="L185" s="2626" t="s">
        <v>3600</v>
      </c>
      <c r="M185" s="2627"/>
      <c r="N185" s="2627"/>
      <c r="O185" s="2627"/>
      <c r="P185" s="2627"/>
      <c r="Q185" s="2627"/>
      <c r="R185" s="2627"/>
      <c r="S185" s="2628"/>
      <c r="T185" s="2633" t="s">
        <v>4296</v>
      </c>
      <c r="U185" s="2631"/>
      <c r="V185" s="2631"/>
      <c r="W185" s="2631"/>
      <c r="X185" s="2631"/>
      <c r="Y185" s="2631"/>
      <c r="Z185" s="2631"/>
      <c r="AA185" s="2631"/>
      <c r="AB185" s="2618" t="s">
        <v>4276</v>
      </c>
      <c r="AC185" s="2618"/>
      <c r="AD185" s="2618"/>
      <c r="AE185" s="2618"/>
      <c r="AF185" s="1513"/>
      <c r="AG185" s="1513"/>
      <c r="AH185" s="1513"/>
      <c r="AI185" s="1513"/>
      <c r="AJ185" s="1513"/>
      <c r="AM185" s="1513"/>
      <c r="AN185" s="1513"/>
      <c r="AO185" s="1513"/>
      <c r="AP185" s="1513"/>
      <c r="AQ185" s="1513"/>
    </row>
    <row r="186" spans="1:43">
      <c r="A186" s="1448"/>
      <c r="B186" s="1448"/>
      <c r="C186" s="1448"/>
      <c r="D186" s="1448"/>
      <c r="E186" s="1448"/>
      <c r="F186" s="2630" t="s">
        <v>4273</v>
      </c>
      <c r="G186" s="2631"/>
      <c r="H186" s="2631"/>
      <c r="I186" s="2631"/>
      <c r="J186" s="2631"/>
      <c r="K186" s="2632"/>
      <c r="L186" s="2626" t="s">
        <v>4297</v>
      </c>
      <c r="M186" s="2627"/>
      <c r="N186" s="2627"/>
      <c r="O186" s="2627"/>
      <c r="P186" s="2627"/>
      <c r="Q186" s="2627"/>
      <c r="R186" s="2627"/>
      <c r="S186" s="2628"/>
      <c r="T186" s="2633" t="s">
        <v>4298</v>
      </c>
      <c r="U186" s="2631"/>
      <c r="V186" s="2631"/>
      <c r="W186" s="2631"/>
      <c r="X186" s="2631"/>
      <c r="Y186" s="2631"/>
      <c r="Z186" s="2631"/>
      <c r="AA186" s="2631"/>
      <c r="AB186" s="2618" t="s">
        <v>4299</v>
      </c>
      <c r="AC186" s="2618"/>
      <c r="AD186" s="2618"/>
      <c r="AE186" s="2618"/>
      <c r="AF186" s="1513"/>
      <c r="AG186" s="1513"/>
      <c r="AH186" s="1513"/>
      <c r="AI186" s="1513"/>
      <c r="AJ186" s="1513"/>
      <c r="AM186" s="1513"/>
      <c r="AN186" s="1513"/>
      <c r="AO186" s="1513"/>
      <c r="AP186" s="1513"/>
      <c r="AQ186" s="1513"/>
    </row>
    <row r="187" spans="1:43">
      <c r="A187" s="1448"/>
      <c r="B187" s="1448"/>
      <c r="C187" s="1448"/>
      <c r="D187" s="1448"/>
      <c r="E187" s="1448"/>
      <c r="F187" s="2630" t="s">
        <v>4301</v>
      </c>
      <c r="G187" s="2631"/>
      <c r="H187" s="2631"/>
      <c r="I187" s="2631"/>
      <c r="J187" s="2631"/>
      <c r="K187" s="2632"/>
      <c r="L187" s="2626" t="s">
        <v>4302</v>
      </c>
      <c r="M187" s="2627"/>
      <c r="N187" s="2627"/>
      <c r="O187" s="2627"/>
      <c r="P187" s="2627"/>
      <c r="Q187" s="2627"/>
      <c r="R187" s="2627"/>
      <c r="S187" s="2628"/>
      <c r="T187" s="2633" t="s">
        <v>4303</v>
      </c>
      <c r="U187" s="2631"/>
      <c r="V187" s="2631"/>
      <c r="W187" s="2631"/>
      <c r="X187" s="2631"/>
      <c r="Y187" s="2631"/>
      <c r="Z187" s="2631"/>
      <c r="AA187" s="2631"/>
      <c r="AB187" s="2618" t="s">
        <v>4304</v>
      </c>
      <c r="AC187" s="2618"/>
      <c r="AD187" s="2618"/>
      <c r="AE187" s="2618"/>
      <c r="AF187" s="1513"/>
      <c r="AG187" s="1513"/>
      <c r="AH187" s="1513"/>
      <c r="AI187" s="1513"/>
      <c r="AJ187" s="1513"/>
      <c r="AM187" s="1513"/>
      <c r="AN187" s="1513"/>
      <c r="AO187" s="1513"/>
      <c r="AP187" s="1513">
        <v>934904114</v>
      </c>
      <c r="AQ187" s="1513"/>
    </row>
    <row r="188" spans="1:43">
      <c r="A188" s="1448"/>
      <c r="B188" s="1448"/>
      <c r="C188" s="1448"/>
      <c r="D188" s="1448"/>
      <c r="E188" s="1448"/>
      <c r="F188" s="2630" t="s">
        <v>4301</v>
      </c>
      <c r="G188" s="2631"/>
      <c r="H188" s="2631"/>
      <c r="I188" s="2631"/>
      <c r="J188" s="2631"/>
      <c r="K188" s="2632"/>
      <c r="L188" s="2626" t="s">
        <v>4305</v>
      </c>
      <c r="M188" s="2627"/>
      <c r="N188" s="2627"/>
      <c r="O188" s="2627"/>
      <c r="P188" s="2627"/>
      <c r="Q188" s="2627"/>
      <c r="R188" s="2627"/>
      <c r="S188" s="2628"/>
      <c r="T188" s="2633" t="s">
        <v>4306</v>
      </c>
      <c r="U188" s="2631"/>
      <c r="V188" s="2631"/>
      <c r="W188" s="2631"/>
      <c r="X188" s="2631"/>
      <c r="Y188" s="2631"/>
      <c r="Z188" s="2631"/>
      <c r="AA188" s="2631"/>
      <c r="AB188" s="2618" t="s">
        <v>4307</v>
      </c>
      <c r="AC188" s="2618"/>
      <c r="AD188" s="2618"/>
      <c r="AE188" s="2618"/>
      <c r="AF188" s="1513"/>
      <c r="AG188" s="1513"/>
      <c r="AH188" s="1513"/>
      <c r="AI188" s="1513"/>
      <c r="AJ188" s="1513"/>
      <c r="AM188" s="1513"/>
      <c r="AN188" s="1513"/>
      <c r="AO188" s="1513"/>
      <c r="AP188" s="1448"/>
    </row>
    <row r="189" spans="1:43">
      <c r="A189" s="1448"/>
      <c r="B189" s="1448"/>
      <c r="C189" s="1448"/>
      <c r="D189" s="1448"/>
      <c r="E189" s="1448"/>
      <c r="F189" s="2630" t="s">
        <v>4301</v>
      </c>
      <c r="G189" s="2631"/>
      <c r="H189" s="2631"/>
      <c r="I189" s="2631"/>
      <c r="J189" s="2631"/>
      <c r="K189" s="2632"/>
      <c r="L189" s="2626" t="s">
        <v>4320</v>
      </c>
      <c r="M189" s="2627"/>
      <c r="N189" s="2627"/>
      <c r="O189" s="2627"/>
      <c r="P189" s="2627"/>
      <c r="Q189" s="2627"/>
      <c r="R189" s="2627"/>
      <c r="S189" s="2628"/>
      <c r="T189" s="2633" t="s">
        <v>4321</v>
      </c>
      <c r="U189" s="2631"/>
      <c r="V189" s="2631"/>
      <c r="W189" s="2631"/>
      <c r="X189" s="2631"/>
      <c r="Y189" s="2631"/>
      <c r="Z189" s="2631"/>
      <c r="AA189" s="2631"/>
      <c r="AB189" s="2618" t="s">
        <v>4322</v>
      </c>
      <c r="AC189" s="2618"/>
      <c r="AD189" s="2618"/>
      <c r="AE189" s="2618"/>
      <c r="AF189" s="1513"/>
      <c r="AG189" s="1513"/>
      <c r="AH189" s="1513"/>
      <c r="AI189" s="1513"/>
      <c r="AJ189" s="1513"/>
      <c r="AM189" s="1513"/>
      <c r="AN189" s="1513"/>
      <c r="AO189" s="1513"/>
      <c r="AP189" s="1448"/>
    </row>
    <row r="190" spans="1:43">
      <c r="A190" s="1448"/>
      <c r="B190" s="1448"/>
      <c r="C190" s="1452"/>
      <c r="D190" s="1528"/>
      <c r="E190" s="1528"/>
      <c r="F190" s="2611" t="s">
        <v>4301</v>
      </c>
      <c r="G190" s="2612"/>
      <c r="H190" s="2612"/>
      <c r="I190" s="2612"/>
      <c r="J190" s="2612"/>
      <c r="K190" s="2613"/>
      <c r="L190" s="2614" t="s">
        <v>4321</v>
      </c>
      <c r="M190" s="2615"/>
      <c r="N190" s="2615"/>
      <c r="O190" s="2615"/>
      <c r="P190" s="2615"/>
      <c r="Q190" s="2615"/>
      <c r="R190" s="2615"/>
      <c r="S190" s="2616"/>
      <c r="T190" s="2617" t="s">
        <v>3575</v>
      </c>
      <c r="U190" s="2612"/>
      <c r="V190" s="2612"/>
      <c r="W190" s="2612"/>
      <c r="X190" s="2612"/>
      <c r="Y190" s="2612"/>
      <c r="Z190" s="2612"/>
      <c r="AA190" s="2612"/>
      <c r="AB190" s="2618" t="s">
        <v>4331</v>
      </c>
      <c r="AC190" s="2618"/>
      <c r="AD190" s="2618"/>
      <c r="AE190" s="2618"/>
      <c r="AF190" s="1528"/>
      <c r="AG190" s="1528"/>
      <c r="AH190" s="1528"/>
      <c r="AI190" s="1528"/>
      <c r="AJ190" s="1528"/>
      <c r="AK190" s="1528"/>
      <c r="AL190" s="1528"/>
      <c r="AM190" s="1528"/>
      <c r="AN190" s="1528"/>
      <c r="AO190" s="1528"/>
      <c r="AP190" s="1448"/>
    </row>
    <row r="191" spans="1:43">
      <c r="F191" s="2611" t="s">
        <v>4334</v>
      </c>
      <c r="G191" s="2612"/>
      <c r="H191" s="2612"/>
      <c r="I191" s="2612"/>
      <c r="J191" s="2612"/>
      <c r="K191" s="2613"/>
      <c r="L191" s="2614" t="s">
        <v>4302</v>
      </c>
      <c r="M191" s="2615"/>
      <c r="N191" s="2615"/>
      <c r="O191" s="2615"/>
      <c r="P191" s="2615"/>
      <c r="Q191" s="2615"/>
      <c r="R191" s="2615"/>
      <c r="S191" s="2616"/>
      <c r="T191" s="2617" t="s">
        <v>4342</v>
      </c>
      <c r="U191" s="2612"/>
      <c r="V191" s="2612"/>
      <c r="W191" s="2612"/>
      <c r="X191" s="2612"/>
      <c r="Y191" s="2612"/>
      <c r="Z191" s="2612"/>
      <c r="AA191" s="2612"/>
      <c r="AB191" s="2618" t="s">
        <v>4331</v>
      </c>
      <c r="AC191" s="2618"/>
      <c r="AD191" s="2618"/>
      <c r="AE191" s="2618"/>
    </row>
    <row r="192" spans="1:43">
      <c r="F192" s="2611" t="s">
        <v>4334</v>
      </c>
      <c r="G192" s="2612"/>
      <c r="H192" s="2612"/>
      <c r="I192" s="2612"/>
      <c r="J192" s="2612"/>
      <c r="K192" s="2613"/>
      <c r="L192" s="2614" t="s">
        <v>4343</v>
      </c>
      <c r="M192" s="2615"/>
      <c r="N192" s="2615"/>
      <c r="O192" s="2615"/>
      <c r="P192" s="2615"/>
      <c r="Q192" s="2615"/>
      <c r="R192" s="2615"/>
      <c r="S192" s="2616"/>
      <c r="T192" s="2617" t="s">
        <v>3575</v>
      </c>
      <c r="U192" s="2612"/>
      <c r="V192" s="2612"/>
      <c r="W192" s="2612"/>
      <c r="X192" s="2612"/>
      <c r="Y192" s="2612"/>
      <c r="Z192" s="2612"/>
      <c r="AA192" s="2612"/>
      <c r="AB192" s="2618" t="s">
        <v>4340</v>
      </c>
      <c r="AC192" s="2618"/>
      <c r="AD192" s="2618"/>
      <c r="AE192" s="2618"/>
    </row>
    <row r="193" spans="6:31">
      <c r="F193" s="2611" t="s">
        <v>4341</v>
      </c>
      <c r="G193" s="2612"/>
      <c r="H193" s="2612"/>
      <c r="I193" s="2612"/>
      <c r="J193" s="2612"/>
      <c r="K193" s="2613"/>
      <c r="L193" s="2614" t="s">
        <v>4302</v>
      </c>
      <c r="M193" s="2615"/>
      <c r="N193" s="2615"/>
      <c r="O193" s="2615"/>
      <c r="P193" s="2615"/>
      <c r="Q193" s="2615"/>
      <c r="R193" s="2615"/>
      <c r="S193" s="2616"/>
      <c r="T193" s="2617" t="s">
        <v>4361</v>
      </c>
      <c r="U193" s="2612"/>
      <c r="V193" s="2612"/>
      <c r="W193" s="2612"/>
      <c r="X193" s="2612"/>
      <c r="Y193" s="2612"/>
      <c r="Z193" s="2612"/>
      <c r="AA193" s="2612"/>
      <c r="AB193" s="2618" t="s">
        <v>4340</v>
      </c>
      <c r="AC193" s="2618"/>
      <c r="AD193" s="2618"/>
      <c r="AE193" s="2618"/>
    </row>
    <row r="194" spans="6:31">
      <c r="F194" s="2611" t="s">
        <v>4341</v>
      </c>
      <c r="G194" s="2612"/>
      <c r="H194" s="2612"/>
      <c r="I194" s="2612"/>
      <c r="J194" s="2612"/>
      <c r="K194" s="2613"/>
      <c r="L194" s="2614" t="s">
        <v>4360</v>
      </c>
      <c r="M194" s="2615"/>
      <c r="N194" s="2615"/>
      <c r="O194" s="2615"/>
      <c r="P194" s="2615"/>
      <c r="Q194" s="2615"/>
      <c r="R194" s="2615"/>
      <c r="S194" s="2616"/>
      <c r="T194" s="2617" t="s">
        <v>3575</v>
      </c>
      <c r="U194" s="2612"/>
      <c r="V194" s="2612"/>
      <c r="W194" s="2612"/>
      <c r="X194" s="2612"/>
      <c r="Y194" s="2612"/>
      <c r="Z194" s="2612"/>
      <c r="AA194" s="2612"/>
      <c r="AB194" s="2618" t="s">
        <v>4358</v>
      </c>
      <c r="AC194" s="2618"/>
      <c r="AD194" s="2618"/>
      <c r="AE194" s="2618"/>
    </row>
    <row r="195" spans="6:31">
      <c r="F195" s="2611" t="s">
        <v>4362</v>
      </c>
      <c r="G195" s="2612"/>
      <c r="H195" s="2612"/>
      <c r="I195" s="2612"/>
      <c r="J195" s="2612"/>
      <c r="K195" s="2613"/>
      <c r="L195" s="2614" t="s">
        <v>4302</v>
      </c>
      <c r="M195" s="2615"/>
      <c r="N195" s="2615"/>
      <c r="O195" s="2615"/>
      <c r="P195" s="2615"/>
      <c r="Q195" s="2615"/>
      <c r="R195" s="2615"/>
      <c r="S195" s="2616"/>
      <c r="T195" s="2617" t="s">
        <v>4363</v>
      </c>
      <c r="U195" s="2612"/>
      <c r="V195" s="2612"/>
      <c r="W195" s="2612"/>
      <c r="X195" s="2612"/>
      <c r="Y195" s="2612"/>
      <c r="Z195" s="2612"/>
      <c r="AA195" s="2612"/>
      <c r="AB195" s="2618" t="s">
        <v>4358</v>
      </c>
      <c r="AC195" s="2618"/>
      <c r="AD195" s="2618"/>
      <c r="AE195" s="2618"/>
    </row>
    <row r="196" spans="6:31">
      <c r="F196" s="2611" t="s">
        <v>4362</v>
      </c>
      <c r="G196" s="2612"/>
      <c r="H196" s="2612"/>
      <c r="I196" s="2612"/>
      <c r="J196" s="2612"/>
      <c r="K196" s="2613"/>
      <c r="L196" s="2614" t="s">
        <v>4296</v>
      </c>
      <c r="M196" s="2615"/>
      <c r="N196" s="2615"/>
      <c r="O196" s="2615"/>
      <c r="P196" s="2615"/>
      <c r="Q196" s="2615"/>
      <c r="R196" s="2615"/>
      <c r="S196" s="2616"/>
      <c r="T196" s="2617" t="s">
        <v>3575</v>
      </c>
      <c r="U196" s="2612"/>
      <c r="V196" s="2612"/>
      <c r="W196" s="2612"/>
      <c r="X196" s="2612"/>
      <c r="Y196" s="2612"/>
      <c r="Z196" s="2612"/>
      <c r="AA196" s="2612"/>
      <c r="AB196" s="2618" t="s">
        <v>4370</v>
      </c>
      <c r="AC196" s="2618"/>
      <c r="AD196" s="2618"/>
      <c r="AE196" s="2618"/>
    </row>
    <row r="197" spans="6:31">
      <c r="F197" s="2611" t="s">
        <v>4372</v>
      </c>
      <c r="G197" s="2612"/>
      <c r="H197" s="2612"/>
      <c r="I197" s="2612"/>
      <c r="J197" s="2612"/>
      <c r="K197" s="2613"/>
      <c r="L197" s="2614" t="s">
        <v>4302</v>
      </c>
      <c r="M197" s="2615"/>
      <c r="N197" s="2615"/>
      <c r="O197" s="2615"/>
      <c r="P197" s="2615"/>
      <c r="Q197" s="2615"/>
      <c r="R197" s="2615"/>
      <c r="S197" s="2616"/>
      <c r="T197" s="2617" t="s">
        <v>4371</v>
      </c>
      <c r="U197" s="2612"/>
      <c r="V197" s="2612"/>
      <c r="W197" s="2612"/>
      <c r="X197" s="2612"/>
      <c r="Y197" s="2612"/>
      <c r="Z197" s="2612"/>
      <c r="AA197" s="2612"/>
      <c r="AB197" s="2618" t="s">
        <v>4370</v>
      </c>
      <c r="AC197" s="2618"/>
      <c r="AD197" s="2618"/>
      <c r="AE197" s="2618"/>
    </row>
    <row r="198" spans="6:31">
      <c r="F198" s="2611" t="s">
        <v>4372</v>
      </c>
      <c r="G198" s="2612"/>
      <c r="H198" s="2612"/>
      <c r="I198" s="2612"/>
      <c r="J198" s="2612"/>
      <c r="K198" s="2613"/>
      <c r="L198" s="2614" t="s">
        <v>4374</v>
      </c>
      <c r="M198" s="2615"/>
      <c r="N198" s="2615"/>
      <c r="O198" s="2615"/>
      <c r="P198" s="2615"/>
      <c r="Q198" s="2615"/>
      <c r="R198" s="2615"/>
      <c r="S198" s="2616"/>
      <c r="T198" s="2617" t="s">
        <v>3575</v>
      </c>
      <c r="U198" s="2612"/>
      <c r="V198" s="2612"/>
      <c r="W198" s="2612"/>
      <c r="X198" s="2612"/>
      <c r="Y198" s="2612"/>
      <c r="Z198" s="2612"/>
      <c r="AA198" s="2612"/>
      <c r="AB198" s="2618" t="s">
        <v>4375</v>
      </c>
      <c r="AC198" s="2618"/>
      <c r="AD198" s="2618"/>
      <c r="AE198" s="2618"/>
    </row>
    <row r="199" spans="6:31">
      <c r="F199" s="2611" t="s">
        <v>4373</v>
      </c>
      <c r="G199" s="2612"/>
      <c r="H199" s="2612"/>
      <c r="I199" s="2612"/>
      <c r="J199" s="2612"/>
      <c r="K199" s="2613"/>
      <c r="L199" s="2614" t="s">
        <v>3600</v>
      </c>
      <c r="M199" s="2615"/>
      <c r="N199" s="2615"/>
      <c r="O199" s="2615"/>
      <c r="P199" s="2615"/>
      <c r="Q199" s="2615"/>
      <c r="R199" s="2615"/>
      <c r="S199" s="2616"/>
      <c r="T199" s="2617" t="s">
        <v>4377</v>
      </c>
      <c r="U199" s="2612"/>
      <c r="V199" s="2612"/>
      <c r="W199" s="2612"/>
      <c r="X199" s="2612"/>
      <c r="Y199" s="2612"/>
      <c r="Z199" s="2612"/>
      <c r="AA199" s="2612"/>
      <c r="AB199" s="2618" t="s">
        <v>4376</v>
      </c>
      <c r="AC199" s="2618"/>
      <c r="AD199" s="2618"/>
      <c r="AE199" s="2618"/>
    </row>
    <row r="200" spans="6:31">
      <c r="F200" s="2611" t="s">
        <v>4373</v>
      </c>
      <c r="G200" s="2612"/>
      <c r="H200" s="2612"/>
      <c r="I200" s="2612"/>
      <c r="J200" s="2612"/>
      <c r="K200" s="2613"/>
      <c r="L200" s="2614" t="s">
        <v>4393</v>
      </c>
      <c r="M200" s="2615"/>
      <c r="N200" s="2615"/>
      <c r="O200" s="2615"/>
      <c r="P200" s="2615"/>
      <c r="Q200" s="2615"/>
      <c r="R200" s="2615"/>
      <c r="S200" s="2616"/>
      <c r="T200" s="2617" t="s">
        <v>3575</v>
      </c>
      <c r="U200" s="2612"/>
      <c r="V200" s="2612"/>
      <c r="W200" s="2612"/>
      <c r="X200" s="2612"/>
      <c r="Y200" s="2612"/>
      <c r="Z200" s="2612"/>
      <c r="AA200" s="2612"/>
      <c r="AB200" s="2622" t="s">
        <v>4394</v>
      </c>
      <c r="AC200" s="2622"/>
      <c r="AD200" s="2622"/>
      <c r="AE200" s="2622"/>
    </row>
    <row r="201" spans="6:31">
      <c r="F201" s="2611" t="s">
        <v>4392</v>
      </c>
      <c r="G201" s="2612"/>
      <c r="H201" s="2612"/>
      <c r="I201" s="2612"/>
      <c r="J201" s="2612"/>
      <c r="K201" s="2613"/>
      <c r="L201" s="2614" t="s">
        <v>3600</v>
      </c>
      <c r="M201" s="2615"/>
      <c r="N201" s="2615"/>
      <c r="O201" s="2615"/>
      <c r="P201" s="2615"/>
      <c r="Q201" s="2615"/>
      <c r="R201" s="2615"/>
      <c r="S201" s="2616"/>
      <c r="T201" s="2617" t="s">
        <v>4393</v>
      </c>
      <c r="U201" s="2612"/>
      <c r="V201" s="2612"/>
      <c r="W201" s="2612"/>
      <c r="X201" s="2612"/>
      <c r="Y201" s="2612"/>
      <c r="Z201" s="2612"/>
      <c r="AA201" s="2612"/>
      <c r="AB201" s="2622" t="s">
        <v>4395</v>
      </c>
      <c r="AC201" s="2622"/>
      <c r="AD201" s="2622"/>
      <c r="AE201" s="2622"/>
    </row>
  </sheetData>
  <mergeCells count="783">
    <mergeCell ref="F189:K189"/>
    <mergeCell ref="L189:S189"/>
    <mergeCell ref="T189:AA189"/>
    <mergeCell ref="AB189:AE189"/>
    <mergeCell ref="F191:K191"/>
    <mergeCell ref="L191:S191"/>
    <mergeCell ref="T191:AA191"/>
    <mergeCell ref="AB191:AE191"/>
    <mergeCell ref="S95:W95"/>
    <mergeCell ref="F188:K188"/>
    <mergeCell ref="L188:S188"/>
    <mergeCell ref="T188:AA188"/>
    <mergeCell ref="AB188:AE188"/>
    <mergeCell ref="F187:K187"/>
    <mergeCell ref="L187:S187"/>
    <mergeCell ref="T187:AA187"/>
    <mergeCell ref="AB187:AE187"/>
    <mergeCell ref="F186:K186"/>
    <mergeCell ref="L186:S186"/>
    <mergeCell ref="T186:AA186"/>
    <mergeCell ref="AB186:AE186"/>
    <mergeCell ref="F183:K183"/>
    <mergeCell ref="L183:S183"/>
    <mergeCell ref="T183:AA183"/>
    <mergeCell ref="AB183:AE183"/>
    <mergeCell ref="F185:K185"/>
    <mergeCell ref="L185:S185"/>
    <mergeCell ref="T185:AA185"/>
    <mergeCell ref="AB185:AE185"/>
    <mergeCell ref="F182:K182"/>
    <mergeCell ref="L182:S182"/>
    <mergeCell ref="T182:AA182"/>
    <mergeCell ref="AB182:AE182"/>
    <mergeCell ref="F184:K184"/>
    <mergeCell ref="L184:S184"/>
    <mergeCell ref="T184:AA184"/>
    <mergeCell ref="AB184:AE184"/>
    <mergeCell ref="F181:K181"/>
    <mergeCell ref="L181:S181"/>
    <mergeCell ref="T181:AA181"/>
    <mergeCell ref="AB181:AE181"/>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M9:AO9"/>
    <mergeCell ref="M32:AN32"/>
    <mergeCell ref="F36:P36"/>
    <mergeCell ref="V36:AK36"/>
    <mergeCell ref="V37:X37"/>
    <mergeCell ref="Y37:AA37"/>
    <mergeCell ref="AB37:AD37"/>
    <mergeCell ref="AF37:AH37"/>
    <mergeCell ref="L19:W19"/>
    <mergeCell ref="AC19:AO19"/>
    <mergeCell ref="L21:W21"/>
    <mergeCell ref="L23:AO23"/>
    <mergeCell ref="M30:AO30"/>
    <mergeCell ref="F31:G31"/>
    <mergeCell ref="M31:AN31"/>
    <mergeCell ref="V38:X38"/>
    <mergeCell ref="Y38:AA38"/>
    <mergeCell ref="AB38:AD38"/>
    <mergeCell ref="AF38:AH38"/>
    <mergeCell ref="V39:X39"/>
    <mergeCell ref="Y39:AA39"/>
    <mergeCell ref="AB39:AD39"/>
    <mergeCell ref="AF39:AH39"/>
    <mergeCell ref="AI38:AK38"/>
    <mergeCell ref="AI39:AK39"/>
    <mergeCell ref="V40:X40"/>
    <mergeCell ref="Y40:AA40"/>
    <mergeCell ref="AF40:AH40"/>
    <mergeCell ref="V41:X41"/>
    <mergeCell ref="Y41:AA41"/>
    <mergeCell ref="AF41:AH41"/>
    <mergeCell ref="AI40:AK40"/>
    <mergeCell ref="AI41:AK41"/>
    <mergeCell ref="AB41:AD41"/>
    <mergeCell ref="V44:AH44"/>
    <mergeCell ref="Z46:AC46"/>
    <mergeCell ref="E49:L49"/>
    <mergeCell ref="M49:T49"/>
    <mergeCell ref="U49:AB49"/>
    <mergeCell ref="AC49:AK49"/>
    <mergeCell ref="V42:X42"/>
    <mergeCell ref="Y42:AA42"/>
    <mergeCell ref="AB42:AD42"/>
    <mergeCell ref="V43:X43"/>
    <mergeCell ref="Y43:AA43"/>
    <mergeCell ref="AF43:AH43"/>
    <mergeCell ref="AI43:AK43"/>
    <mergeCell ref="AB43:AD43"/>
    <mergeCell ref="AI44:AK44"/>
    <mergeCell ref="AF42:AH42"/>
    <mergeCell ref="AI42:AK42"/>
    <mergeCell ref="I57:U57"/>
    <mergeCell ref="V57:X57"/>
    <mergeCell ref="Z57:AC57"/>
    <mergeCell ref="AD57:AF57"/>
    <mergeCell ref="AG57:AI57"/>
    <mergeCell ref="AJ57:AO57"/>
    <mergeCell ref="E50:L50"/>
    <mergeCell ref="M50:T50"/>
    <mergeCell ref="U50:AB50"/>
    <mergeCell ref="AC50:AK50"/>
    <mergeCell ref="O51:V51"/>
    <mergeCell ref="G55:U55"/>
    <mergeCell ref="V55:X55"/>
    <mergeCell ref="AI55:AO55"/>
    <mergeCell ref="I61:U61"/>
    <mergeCell ref="V61:X61"/>
    <mergeCell ref="Z61:AC61"/>
    <mergeCell ref="AD61:AF61"/>
    <mergeCell ref="AG61:AI61"/>
    <mergeCell ref="AJ61:AO61"/>
    <mergeCell ref="I59:U59"/>
    <mergeCell ref="V59:X59"/>
    <mergeCell ref="Z59:AC59"/>
    <mergeCell ref="AD59:AF59"/>
    <mergeCell ref="AG59:AI59"/>
    <mergeCell ref="AJ59:AO59"/>
    <mergeCell ref="AJ63:AO63"/>
    <mergeCell ref="AG63:AI63"/>
    <mergeCell ref="I63:U63"/>
    <mergeCell ref="V63:X63"/>
    <mergeCell ref="Z63:AC63"/>
    <mergeCell ref="AD63:AF63"/>
    <mergeCell ref="G67:U67"/>
    <mergeCell ref="V67:X67"/>
    <mergeCell ref="G69:U69"/>
    <mergeCell ref="V69:X69"/>
    <mergeCell ref="I65:U65"/>
    <mergeCell ref="V65:X65"/>
    <mergeCell ref="Z65:AC65"/>
    <mergeCell ref="AD65:AF65"/>
    <mergeCell ref="AA80:AF80"/>
    <mergeCell ref="AG80:AH80"/>
    <mergeCell ref="AI80:AM80"/>
    <mergeCell ref="AN80:AO80"/>
    <mergeCell ref="C81:F81"/>
    <mergeCell ref="G81:K81"/>
    <mergeCell ref="L81:P81"/>
    <mergeCell ref="Q81:R81"/>
    <mergeCell ref="S81:X81"/>
    <mergeCell ref="Y81:Z81"/>
    <mergeCell ref="C79:F80"/>
    <mergeCell ref="G79:K80"/>
    <mergeCell ref="L79:R79"/>
    <mergeCell ref="S79:Z79"/>
    <mergeCell ref="AA79:AH79"/>
    <mergeCell ref="AI79:AO79"/>
    <mergeCell ref="L80:P80"/>
    <mergeCell ref="Q80:R80"/>
    <mergeCell ref="S80:X80"/>
    <mergeCell ref="Y80:Z80"/>
    <mergeCell ref="AA81:AF81"/>
    <mergeCell ref="AG81:AH81"/>
    <mergeCell ref="AI81:AM81"/>
    <mergeCell ref="AN81:AO81"/>
    <mergeCell ref="AN82:AO82"/>
    <mergeCell ref="C83:F83"/>
    <mergeCell ref="G83:K83"/>
    <mergeCell ref="L83:P83"/>
    <mergeCell ref="Q83:R83"/>
    <mergeCell ref="S83:X83"/>
    <mergeCell ref="Y83:Z83"/>
    <mergeCell ref="AA83:AF83"/>
    <mergeCell ref="AG83:AH83"/>
    <mergeCell ref="AI83:AM83"/>
    <mergeCell ref="AN83:AO83"/>
    <mergeCell ref="C82:F82"/>
    <mergeCell ref="G82:K82"/>
    <mergeCell ref="L82:P82"/>
    <mergeCell ref="Q82:R82"/>
    <mergeCell ref="S82:X82"/>
    <mergeCell ref="Y82:Z82"/>
    <mergeCell ref="AA82:AF82"/>
    <mergeCell ref="AG82:AH82"/>
    <mergeCell ref="AI82:AM82"/>
    <mergeCell ref="AN84:AO84"/>
    <mergeCell ref="C85:F85"/>
    <mergeCell ref="G85:K85"/>
    <mergeCell ref="L85:P85"/>
    <mergeCell ref="Q85:R85"/>
    <mergeCell ref="S85:X85"/>
    <mergeCell ref="Y85:Z85"/>
    <mergeCell ref="AA85:AF85"/>
    <mergeCell ref="AG85:AH85"/>
    <mergeCell ref="AI85:AM85"/>
    <mergeCell ref="AN85:AO85"/>
    <mergeCell ref="C84:F84"/>
    <mergeCell ref="G84:K84"/>
    <mergeCell ref="L84:P84"/>
    <mergeCell ref="Q84:R84"/>
    <mergeCell ref="S84:X84"/>
    <mergeCell ref="Y84:Z84"/>
    <mergeCell ref="AA84:AF84"/>
    <mergeCell ref="AG84:AH84"/>
    <mergeCell ref="AI84:AM84"/>
    <mergeCell ref="AN86:AO86"/>
    <mergeCell ref="C87:F87"/>
    <mergeCell ref="G87:K87"/>
    <mergeCell ref="L87:P87"/>
    <mergeCell ref="Q87:R87"/>
    <mergeCell ref="S87:X87"/>
    <mergeCell ref="Y87:Z87"/>
    <mergeCell ref="AA87:AF87"/>
    <mergeCell ref="AG87:AH87"/>
    <mergeCell ref="AI87:AM87"/>
    <mergeCell ref="AN87:AO87"/>
    <mergeCell ref="C86:F86"/>
    <mergeCell ref="G86:K86"/>
    <mergeCell ref="L86:P86"/>
    <mergeCell ref="Q86:R86"/>
    <mergeCell ref="S86:X86"/>
    <mergeCell ref="Y86:Z86"/>
    <mergeCell ref="AA86:AF86"/>
    <mergeCell ref="AG86:AH86"/>
    <mergeCell ref="AI86:AM86"/>
    <mergeCell ref="AN88:AO88"/>
    <mergeCell ref="C89:F89"/>
    <mergeCell ref="G89:K89"/>
    <mergeCell ref="L89:P89"/>
    <mergeCell ref="Q89:R89"/>
    <mergeCell ref="S89:X89"/>
    <mergeCell ref="Y89:Z89"/>
    <mergeCell ref="AA89:AF89"/>
    <mergeCell ref="AG89:AH89"/>
    <mergeCell ref="AI89:AM89"/>
    <mergeCell ref="AN89:AO89"/>
    <mergeCell ref="C88:F88"/>
    <mergeCell ref="G88:K88"/>
    <mergeCell ref="L88:P88"/>
    <mergeCell ref="Q88:R88"/>
    <mergeCell ref="S88:X88"/>
    <mergeCell ref="Y88:Z88"/>
    <mergeCell ref="AA88:AF88"/>
    <mergeCell ref="AG88:AH88"/>
    <mergeCell ref="AI88:AM88"/>
    <mergeCell ref="AN90:AO90"/>
    <mergeCell ref="C91:F91"/>
    <mergeCell ref="G91:K91"/>
    <mergeCell ref="L91:P91"/>
    <mergeCell ref="Q91:R91"/>
    <mergeCell ref="S91:W91"/>
    <mergeCell ref="Y91:Z91"/>
    <mergeCell ref="AA91:AF91"/>
    <mergeCell ref="AG91:AH91"/>
    <mergeCell ref="AI91:AM91"/>
    <mergeCell ref="AN91:AO91"/>
    <mergeCell ref="C90:F90"/>
    <mergeCell ref="G90:K90"/>
    <mergeCell ref="L90:P90"/>
    <mergeCell ref="Q90:R90"/>
    <mergeCell ref="S90:X90"/>
    <mergeCell ref="Y90:Z90"/>
    <mergeCell ref="AA90:AF90"/>
    <mergeCell ref="AG90:AH90"/>
    <mergeCell ref="AI90:AM90"/>
    <mergeCell ref="AN92:AO92"/>
    <mergeCell ref="C93:F93"/>
    <mergeCell ref="G93:K93"/>
    <mergeCell ref="L93:P93"/>
    <mergeCell ref="Q93:R93"/>
    <mergeCell ref="S93:W93"/>
    <mergeCell ref="Y93:Z93"/>
    <mergeCell ref="AA93:AF93"/>
    <mergeCell ref="AG93:AH93"/>
    <mergeCell ref="AI93:AM93"/>
    <mergeCell ref="AN93:AO93"/>
    <mergeCell ref="C92:F92"/>
    <mergeCell ref="G92:K92"/>
    <mergeCell ref="L92:P92"/>
    <mergeCell ref="Q92:R92"/>
    <mergeCell ref="S92:W92"/>
    <mergeCell ref="Y92:Z92"/>
    <mergeCell ref="AA92:AF92"/>
    <mergeCell ref="AG92:AH92"/>
    <mergeCell ref="AI92:AM92"/>
    <mergeCell ref="C94:F94"/>
    <mergeCell ref="G94:K94"/>
    <mergeCell ref="L94:P94"/>
    <mergeCell ref="Q94:R94"/>
    <mergeCell ref="Y94:Z94"/>
    <mergeCell ref="AA94:AF94"/>
    <mergeCell ref="AG94:AH94"/>
    <mergeCell ref="AI94:AM94"/>
    <mergeCell ref="S94:W94"/>
    <mergeCell ref="AN94:AO94"/>
    <mergeCell ref="C95:F95"/>
    <mergeCell ref="G95:K95"/>
    <mergeCell ref="L95:P95"/>
    <mergeCell ref="Q95:R95"/>
    <mergeCell ref="Y95:Z95"/>
    <mergeCell ref="S100:X100"/>
    <mergeCell ref="Y100:Z100"/>
    <mergeCell ref="AA96:AF96"/>
    <mergeCell ref="AG96:AH96"/>
    <mergeCell ref="AI96:AM96"/>
    <mergeCell ref="AN96:AO96"/>
    <mergeCell ref="Y97:Z97"/>
    <mergeCell ref="C98:AO98"/>
    <mergeCell ref="AA95:AF95"/>
    <mergeCell ref="AG95:AH95"/>
    <mergeCell ref="AI95:AM95"/>
    <mergeCell ref="AN95:AO95"/>
    <mergeCell ref="C96:F96"/>
    <mergeCell ref="G96:K96"/>
    <mergeCell ref="L96:P96"/>
    <mergeCell ref="Q96:R96"/>
    <mergeCell ref="S96:X96"/>
    <mergeCell ref="Y96:Z96"/>
    <mergeCell ref="AA101:AF101"/>
    <mergeCell ref="AG101:AH101"/>
    <mergeCell ref="AI101:AM101"/>
    <mergeCell ref="AN101:AO101"/>
    <mergeCell ref="C102:F102"/>
    <mergeCell ref="G102:K102"/>
    <mergeCell ref="AA100:AF100"/>
    <mergeCell ref="AG100:AH100"/>
    <mergeCell ref="AI100:AM100"/>
    <mergeCell ref="AN100:AO100"/>
    <mergeCell ref="C101:F101"/>
    <mergeCell ref="G101:K101"/>
    <mergeCell ref="L101:P101"/>
    <mergeCell ref="Q101:R101"/>
    <mergeCell ref="Y101:Z101"/>
    <mergeCell ref="C99:F100"/>
    <mergeCell ref="G99:K100"/>
    <mergeCell ref="L99:R99"/>
    <mergeCell ref="S99:Z99"/>
    <mergeCell ref="AA99:AH99"/>
    <mergeCell ref="AI99:AO99"/>
    <mergeCell ref="L100:P100"/>
    <mergeCell ref="Q100:R100"/>
    <mergeCell ref="AA103:AF103"/>
    <mergeCell ref="AG103:AH103"/>
    <mergeCell ref="AI103:AM103"/>
    <mergeCell ref="AN103:AO103"/>
    <mergeCell ref="C104:F104"/>
    <mergeCell ref="G104:K104"/>
    <mergeCell ref="L104:P104"/>
    <mergeCell ref="Q104:R104"/>
    <mergeCell ref="S104:X104"/>
    <mergeCell ref="Y104:Z104"/>
    <mergeCell ref="C103:F103"/>
    <mergeCell ref="G103:K103"/>
    <mergeCell ref="L103:P103"/>
    <mergeCell ref="Q103:R103"/>
    <mergeCell ref="S103:X103"/>
    <mergeCell ref="Y103:Z103"/>
    <mergeCell ref="AA104:AF104"/>
    <mergeCell ref="AG104:AH104"/>
    <mergeCell ref="AI104:AM104"/>
    <mergeCell ref="AN104:AO104"/>
    <mergeCell ref="C106:AO106"/>
    <mergeCell ref="C107:F108"/>
    <mergeCell ref="G107:K108"/>
    <mergeCell ref="L107:R107"/>
    <mergeCell ref="S107:Z107"/>
    <mergeCell ref="AA107:AH107"/>
    <mergeCell ref="AI107:AO107"/>
    <mergeCell ref="L108:P108"/>
    <mergeCell ref="Q108:R108"/>
    <mergeCell ref="S108:X108"/>
    <mergeCell ref="Y108:Z108"/>
    <mergeCell ref="AA108:AF108"/>
    <mergeCell ref="AG108:AH108"/>
    <mergeCell ref="AI108:AM108"/>
    <mergeCell ref="AN108:AO108"/>
    <mergeCell ref="AA109:AF109"/>
    <mergeCell ref="AG109:AH109"/>
    <mergeCell ref="AI109:AM109"/>
    <mergeCell ref="AN109:AO109"/>
    <mergeCell ref="C110:F110"/>
    <mergeCell ref="G110:K110"/>
    <mergeCell ref="L110:P110"/>
    <mergeCell ref="Q110:R110"/>
    <mergeCell ref="S110:X110"/>
    <mergeCell ref="Y110:Z110"/>
    <mergeCell ref="C109:F109"/>
    <mergeCell ref="G109:K109"/>
    <mergeCell ref="L109:P109"/>
    <mergeCell ref="Q109:R109"/>
    <mergeCell ref="S109:X109"/>
    <mergeCell ref="Y109:Z109"/>
    <mergeCell ref="AA110:AF110"/>
    <mergeCell ref="AG110:AH110"/>
    <mergeCell ref="AI110:AM110"/>
    <mergeCell ref="AN110:AO110"/>
    <mergeCell ref="AN111:AO111"/>
    <mergeCell ref="C112:F112"/>
    <mergeCell ref="G112:K112"/>
    <mergeCell ref="L112:P112"/>
    <mergeCell ref="Q112:R112"/>
    <mergeCell ref="S112:X112"/>
    <mergeCell ref="Y112:Z112"/>
    <mergeCell ref="AA112:AF112"/>
    <mergeCell ref="AG112:AH112"/>
    <mergeCell ref="AI112:AM112"/>
    <mergeCell ref="AN112:AO112"/>
    <mergeCell ref="C111:F111"/>
    <mergeCell ref="G111:K111"/>
    <mergeCell ref="L111:P111"/>
    <mergeCell ref="Q111:R111"/>
    <mergeCell ref="S111:X111"/>
    <mergeCell ref="Y111:Z111"/>
    <mergeCell ref="AA111:AF111"/>
    <mergeCell ref="AG111:AH111"/>
    <mergeCell ref="AI111:AM111"/>
    <mergeCell ref="C114:AO114"/>
    <mergeCell ref="C115:F116"/>
    <mergeCell ref="G115:K116"/>
    <mergeCell ref="L115:R115"/>
    <mergeCell ref="S115:Z115"/>
    <mergeCell ref="AA115:AH115"/>
    <mergeCell ref="AI115:AO115"/>
    <mergeCell ref="L116:P116"/>
    <mergeCell ref="Q116:R116"/>
    <mergeCell ref="S116:X116"/>
    <mergeCell ref="Y116:Z116"/>
    <mergeCell ref="AA116:AF116"/>
    <mergeCell ref="AG116:AH116"/>
    <mergeCell ref="AI116:AM116"/>
    <mergeCell ref="AN116:AO116"/>
    <mergeCell ref="AA117:AF117"/>
    <mergeCell ref="AG117:AH117"/>
    <mergeCell ref="AI117:AM117"/>
    <mergeCell ref="AN117:AO117"/>
    <mergeCell ref="D121:AG121"/>
    <mergeCell ref="D122:E123"/>
    <mergeCell ref="F122:K122"/>
    <mergeCell ref="L122:T122"/>
    <mergeCell ref="U122:AC122"/>
    <mergeCell ref="AD122:AG123"/>
    <mergeCell ref="C117:F117"/>
    <mergeCell ref="G117:K117"/>
    <mergeCell ref="L117:P117"/>
    <mergeCell ref="Q117:R117"/>
    <mergeCell ref="S117:X117"/>
    <mergeCell ref="Y117:Z117"/>
    <mergeCell ref="D124:E124"/>
    <mergeCell ref="F124:H124"/>
    <mergeCell ref="I124:K124"/>
    <mergeCell ref="L124:N124"/>
    <mergeCell ref="O124:Q124"/>
    <mergeCell ref="R124:T124"/>
    <mergeCell ref="F123:H123"/>
    <mergeCell ref="I123:K123"/>
    <mergeCell ref="L123:N123"/>
    <mergeCell ref="O123:Q123"/>
    <mergeCell ref="R123:T123"/>
    <mergeCell ref="U124:W124"/>
    <mergeCell ref="X124:Z124"/>
    <mergeCell ref="AA124:AC124"/>
    <mergeCell ref="AD124:AG124"/>
    <mergeCell ref="AH124:AJ124"/>
    <mergeCell ref="AK124:AM124"/>
    <mergeCell ref="X123:Z123"/>
    <mergeCell ref="AA123:AC123"/>
    <mergeCell ref="AH123:AJ123"/>
    <mergeCell ref="AK123:AM123"/>
    <mergeCell ref="U123:W123"/>
    <mergeCell ref="D126:E126"/>
    <mergeCell ref="F126:H126"/>
    <mergeCell ref="I126:K126"/>
    <mergeCell ref="L126:N126"/>
    <mergeCell ref="O126:Q126"/>
    <mergeCell ref="R126:T126"/>
    <mergeCell ref="D125:E125"/>
    <mergeCell ref="F125:H125"/>
    <mergeCell ref="I125:K125"/>
    <mergeCell ref="L125:N125"/>
    <mergeCell ref="O125:Q125"/>
    <mergeCell ref="R125:T125"/>
    <mergeCell ref="U126:W126"/>
    <mergeCell ref="X126:Z126"/>
    <mergeCell ref="AA126:AC126"/>
    <mergeCell ref="AD126:AG126"/>
    <mergeCell ref="AH126:AJ126"/>
    <mergeCell ref="AK126:AM126"/>
    <mergeCell ref="U125:W125"/>
    <mergeCell ref="X125:Z125"/>
    <mergeCell ref="AA125:AC125"/>
    <mergeCell ref="AD125:AG125"/>
    <mergeCell ref="U127:W127"/>
    <mergeCell ref="X127:Z127"/>
    <mergeCell ref="AA127:AC127"/>
    <mergeCell ref="AD127:AG127"/>
    <mergeCell ref="AH127:AJ127"/>
    <mergeCell ref="AK127:AM127"/>
    <mergeCell ref="D127:E127"/>
    <mergeCell ref="F127:H127"/>
    <mergeCell ref="I127:K127"/>
    <mergeCell ref="L127:N127"/>
    <mergeCell ref="O127:Q127"/>
    <mergeCell ref="R127:T127"/>
    <mergeCell ref="U128:W128"/>
    <mergeCell ref="X128:Z128"/>
    <mergeCell ref="AA128:AC128"/>
    <mergeCell ref="AD128:AG128"/>
    <mergeCell ref="AH128:AJ128"/>
    <mergeCell ref="AK128:AM128"/>
    <mergeCell ref="D128:E128"/>
    <mergeCell ref="F128:H128"/>
    <mergeCell ref="I128:K128"/>
    <mergeCell ref="L128:N128"/>
    <mergeCell ref="O128:Q128"/>
    <mergeCell ref="R128:T128"/>
    <mergeCell ref="AA129:AC129"/>
    <mergeCell ref="AD129:AG129"/>
    <mergeCell ref="C131:F132"/>
    <mergeCell ref="G131:K132"/>
    <mergeCell ref="L131:R131"/>
    <mergeCell ref="S131:Z131"/>
    <mergeCell ref="AA131:AH131"/>
    <mergeCell ref="D129:K129"/>
    <mergeCell ref="L129:N129"/>
    <mergeCell ref="O129:Q129"/>
    <mergeCell ref="R129:T129"/>
    <mergeCell ref="U129:W129"/>
    <mergeCell ref="X129:Z129"/>
    <mergeCell ref="AI131:AO131"/>
    <mergeCell ref="L132:P132"/>
    <mergeCell ref="Q132:R132"/>
    <mergeCell ref="S132:X132"/>
    <mergeCell ref="Y132:Z132"/>
    <mergeCell ref="AA132:AF132"/>
    <mergeCell ref="AG132:AH132"/>
    <mergeCell ref="AI132:AM132"/>
    <mergeCell ref="AN132:AO132"/>
    <mergeCell ref="AI134:AM134"/>
    <mergeCell ref="AN134:AO134"/>
    <mergeCell ref="X135:Z135"/>
    <mergeCell ref="AA133:AF133"/>
    <mergeCell ref="AG133:AH133"/>
    <mergeCell ref="AI133:AM133"/>
    <mergeCell ref="AN133:AO133"/>
    <mergeCell ref="C134:F134"/>
    <mergeCell ref="L134:P134"/>
    <mergeCell ref="Q134:R134"/>
    <mergeCell ref="S134:X134"/>
    <mergeCell ref="Y134:Z134"/>
    <mergeCell ref="AA134:AF134"/>
    <mergeCell ref="C133:F133"/>
    <mergeCell ref="L133:P133"/>
    <mergeCell ref="Q133:R133"/>
    <mergeCell ref="S133:X133"/>
    <mergeCell ref="Y133:Z133"/>
    <mergeCell ref="G133:K133"/>
    <mergeCell ref="L146:AA146"/>
    <mergeCell ref="AB146:AE147"/>
    <mergeCell ref="L147:S147"/>
    <mergeCell ref="T147:AA147"/>
    <mergeCell ref="F148:K148"/>
    <mergeCell ref="L148:S148"/>
    <mergeCell ref="T148:AA148"/>
    <mergeCell ref="AB148:AE148"/>
    <mergeCell ref="AG134:AH134"/>
    <mergeCell ref="S139:X139"/>
    <mergeCell ref="Y139:Z139"/>
    <mergeCell ref="AA139:AF139"/>
    <mergeCell ref="AG139:AH139"/>
    <mergeCell ref="AG140:AH140"/>
    <mergeCell ref="L140:P140"/>
    <mergeCell ref="Q140:R140"/>
    <mergeCell ref="S140:X140"/>
    <mergeCell ref="Y140:Z140"/>
    <mergeCell ref="AA140:AF140"/>
    <mergeCell ref="D143:AO143"/>
    <mergeCell ref="AI140:AM140"/>
    <mergeCell ref="AN140:AO140"/>
    <mergeCell ref="C136:AO136"/>
    <mergeCell ref="C137:F138"/>
    <mergeCell ref="F151:K151"/>
    <mergeCell ref="L151:S151"/>
    <mergeCell ref="T151:AA151"/>
    <mergeCell ref="AB151:AE151"/>
    <mergeCell ref="F152:K152"/>
    <mergeCell ref="L152:S152"/>
    <mergeCell ref="T152:AA152"/>
    <mergeCell ref="AB152:AE152"/>
    <mergeCell ref="F149:K149"/>
    <mergeCell ref="L149:S149"/>
    <mergeCell ref="T149:AA149"/>
    <mergeCell ref="AB149:AE149"/>
    <mergeCell ref="F150:K150"/>
    <mergeCell ref="L150:S150"/>
    <mergeCell ref="T150:AA150"/>
    <mergeCell ref="AB150:AE150"/>
    <mergeCell ref="F155:K155"/>
    <mergeCell ref="L155:S155"/>
    <mergeCell ref="T155:AA155"/>
    <mergeCell ref="AB155:AE155"/>
    <mergeCell ref="F156:K156"/>
    <mergeCell ref="L156:S156"/>
    <mergeCell ref="T156:AA156"/>
    <mergeCell ref="AB156:AE156"/>
    <mergeCell ref="F153:K153"/>
    <mergeCell ref="L153:S153"/>
    <mergeCell ref="T153:AA153"/>
    <mergeCell ref="AB153:AE153"/>
    <mergeCell ref="F154:K154"/>
    <mergeCell ref="L154:S154"/>
    <mergeCell ref="T154:AA154"/>
    <mergeCell ref="AB154:AE154"/>
    <mergeCell ref="L159:S159"/>
    <mergeCell ref="T159:AA159"/>
    <mergeCell ref="AB159:AE159"/>
    <mergeCell ref="F160:K160"/>
    <mergeCell ref="L160:S160"/>
    <mergeCell ref="T160:AA160"/>
    <mergeCell ref="AB160:AE160"/>
    <mergeCell ref="F157:K157"/>
    <mergeCell ref="L157:S157"/>
    <mergeCell ref="T157:AA157"/>
    <mergeCell ref="AB157:AE157"/>
    <mergeCell ref="F158:K158"/>
    <mergeCell ref="L158:S158"/>
    <mergeCell ref="T158:AA158"/>
    <mergeCell ref="AB158:AE158"/>
    <mergeCell ref="F159:K159"/>
    <mergeCell ref="T175:AA175"/>
    <mergeCell ref="AB175:AE175"/>
    <mergeCell ref="F172:K172"/>
    <mergeCell ref="L172:S172"/>
    <mergeCell ref="T172:AA172"/>
    <mergeCell ref="AB172:AE172"/>
    <mergeCell ref="L165:S165"/>
    <mergeCell ref="T165:AA165"/>
    <mergeCell ref="AB165:AE165"/>
    <mergeCell ref="F166:K166"/>
    <mergeCell ref="L166:S166"/>
    <mergeCell ref="T166:AA166"/>
    <mergeCell ref="AB166:AE166"/>
    <mergeCell ref="T171:AA171"/>
    <mergeCell ref="AB171:AE171"/>
    <mergeCell ref="L167:S167"/>
    <mergeCell ref="T167:AA167"/>
    <mergeCell ref="AB167:AE167"/>
    <mergeCell ref="F168:K168"/>
    <mergeCell ref="L168:S168"/>
    <mergeCell ref="T168:AA168"/>
    <mergeCell ref="AB168:AE168"/>
    <mergeCell ref="F165:K165"/>
    <mergeCell ref="F167:K167"/>
    <mergeCell ref="F180:K180"/>
    <mergeCell ref="L180:S180"/>
    <mergeCell ref="T180:AA180"/>
    <mergeCell ref="AB180:AE180"/>
    <mergeCell ref="F179:K179"/>
    <mergeCell ref="L179:S179"/>
    <mergeCell ref="T179:AA179"/>
    <mergeCell ref="AB179:AE179"/>
    <mergeCell ref="F177:K177"/>
    <mergeCell ref="L177:S177"/>
    <mergeCell ref="T177:AA177"/>
    <mergeCell ref="AB177:AE177"/>
    <mergeCell ref="F178:K178"/>
    <mergeCell ref="L178:S178"/>
    <mergeCell ref="T178:AA178"/>
    <mergeCell ref="AB178:AE178"/>
    <mergeCell ref="F176:K176"/>
    <mergeCell ref="T176:AA176"/>
    <mergeCell ref="AB176:AE176"/>
    <mergeCell ref="F173:K173"/>
    <mergeCell ref="L176:S176"/>
    <mergeCell ref="F169:K169"/>
    <mergeCell ref="L169:S169"/>
    <mergeCell ref="T169:AA169"/>
    <mergeCell ref="AB169:AE169"/>
    <mergeCell ref="F170:K170"/>
    <mergeCell ref="L170:S170"/>
    <mergeCell ref="T170:AA170"/>
    <mergeCell ref="AB170:AE170"/>
    <mergeCell ref="F175:K175"/>
    <mergeCell ref="L175:S175"/>
    <mergeCell ref="L173:S173"/>
    <mergeCell ref="T173:AA173"/>
    <mergeCell ref="AB173:AE173"/>
    <mergeCell ref="F174:K174"/>
    <mergeCell ref="L174:S174"/>
    <mergeCell ref="T174:AA174"/>
    <mergeCell ref="AB174:AE174"/>
    <mergeCell ref="F171:K171"/>
    <mergeCell ref="L171:S171"/>
    <mergeCell ref="F163:K163"/>
    <mergeCell ref="L163:S163"/>
    <mergeCell ref="T163:AA163"/>
    <mergeCell ref="AB163:AE163"/>
    <mergeCell ref="F164:K164"/>
    <mergeCell ref="F161:K161"/>
    <mergeCell ref="L161:S161"/>
    <mergeCell ref="T161:AA161"/>
    <mergeCell ref="AB161:AE161"/>
    <mergeCell ref="F162:K162"/>
    <mergeCell ref="L162:S162"/>
    <mergeCell ref="T162:AA162"/>
    <mergeCell ref="AB162:AE162"/>
    <mergeCell ref="L164:S164"/>
    <mergeCell ref="T164:AA164"/>
    <mergeCell ref="AB164:AE164"/>
    <mergeCell ref="T192:AA192"/>
    <mergeCell ref="AB192:AE192"/>
    <mergeCell ref="F190:K190"/>
    <mergeCell ref="L190:S190"/>
    <mergeCell ref="T190:AA190"/>
    <mergeCell ref="AB190:AE190"/>
    <mergeCell ref="F193:K193"/>
    <mergeCell ref="L193:S193"/>
    <mergeCell ref="T193:AA193"/>
    <mergeCell ref="AB193:AE193"/>
    <mergeCell ref="AI139:AM139"/>
    <mergeCell ref="L137:R137"/>
    <mergeCell ref="S137:Z137"/>
    <mergeCell ref="AA137:AH137"/>
    <mergeCell ref="AI137:AO137"/>
    <mergeCell ref="L138:P138"/>
    <mergeCell ref="Q138:R138"/>
    <mergeCell ref="S138:X138"/>
    <mergeCell ref="Y138:Z138"/>
    <mergeCell ref="AA138:AF138"/>
    <mergeCell ref="AG138:AH138"/>
    <mergeCell ref="AI138:AM138"/>
    <mergeCell ref="AN138:AO138"/>
    <mergeCell ref="AN139:AO139"/>
    <mergeCell ref="F201:K201"/>
    <mergeCell ref="L201:S201"/>
    <mergeCell ref="T201:AA201"/>
    <mergeCell ref="AB201:AE201"/>
    <mergeCell ref="F198:K198"/>
    <mergeCell ref="L198:S198"/>
    <mergeCell ref="T198:AA198"/>
    <mergeCell ref="AB198:AE198"/>
    <mergeCell ref="F199:K199"/>
    <mergeCell ref="L199:S199"/>
    <mergeCell ref="T199:AA199"/>
    <mergeCell ref="AB199:AE199"/>
    <mergeCell ref="F200:K200"/>
    <mergeCell ref="L200:S200"/>
    <mergeCell ref="T200:AA200"/>
    <mergeCell ref="AB200:AE200"/>
    <mergeCell ref="G137:K138"/>
    <mergeCell ref="C139:F139"/>
    <mergeCell ref="L139:P139"/>
    <mergeCell ref="F196:K196"/>
    <mergeCell ref="L196:S196"/>
    <mergeCell ref="T196:AA196"/>
    <mergeCell ref="AB196:AE196"/>
    <mergeCell ref="F197:K197"/>
    <mergeCell ref="L197:S197"/>
    <mergeCell ref="T197:AA197"/>
    <mergeCell ref="AB197:AE197"/>
    <mergeCell ref="F195:K195"/>
    <mergeCell ref="L195:S195"/>
    <mergeCell ref="T195:AA195"/>
    <mergeCell ref="AB195:AE195"/>
    <mergeCell ref="Q139:R139"/>
    <mergeCell ref="G139:K139"/>
    <mergeCell ref="C140:F140"/>
    <mergeCell ref="F194:K194"/>
    <mergeCell ref="L194:S194"/>
    <mergeCell ref="T194:AA194"/>
    <mergeCell ref="AB194:AE194"/>
    <mergeCell ref="F192:K192"/>
    <mergeCell ref="L192:S192"/>
  </mergeCells>
  <phoneticPr fontId="200" type="noConversion"/>
  <pageMargins left="0.23622047244094491" right="0.23622047244094491" top="0.74803149606299213" bottom="0.74803149606299213" header="0.31496062992125984" footer="0.31496062992125984"/>
  <pageSetup paperSize="9" scale="67" fitToHeight="0" orientation="landscape" r:id="rId1"/>
  <rowBreaks count="6" manualBreakCount="6">
    <brk id="44" max="40" man="1"/>
    <brk id="76" max="40" man="1"/>
    <brk id="97" max="40" man="1"/>
    <brk id="118" max="40" man="1"/>
    <brk id="141" max="40" man="1"/>
    <brk id="143" max="40" man="1"/>
  </rowBreaks>
  <colBreaks count="1" manualBreakCount="1">
    <brk id="42" max="1048575" man="1"/>
  </colBreaks>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B1:AJ614"/>
  <sheetViews>
    <sheetView view="pageBreakPreview" zoomScaleNormal="85" zoomScaleSheetLayoutView="100" workbookViewId="0">
      <selection activeCell="D113" sqref="D113"/>
    </sheetView>
  </sheetViews>
  <sheetFormatPr baseColWidth="10" defaultRowHeight="13.5"/>
  <cols>
    <col min="1" max="1" width="11.5703125" style="1215"/>
    <col min="2" max="2" width="2.5703125" style="2100" customWidth="1"/>
    <col min="3" max="3" width="13.42578125" style="1215" customWidth="1"/>
    <col min="4" max="4" width="64.42578125" style="1225" customWidth="1"/>
    <col min="5" max="5" width="10.5703125" style="1218" customWidth="1"/>
    <col min="6" max="6" width="10.85546875" style="2272"/>
    <col min="7" max="7" width="2.140625" style="2250" customWidth="1"/>
    <col min="8" max="228" width="10.85546875" style="1215"/>
    <col min="229" max="229" width="8.5703125" style="1215" customWidth="1"/>
    <col min="230" max="230" width="50" style="1215" customWidth="1"/>
    <col min="231" max="231" width="6.42578125" style="1215" bestFit="1" customWidth="1"/>
    <col min="232" max="233" width="8.5703125" style="1215" customWidth="1"/>
    <col min="234" max="234" width="11.42578125" style="1215" bestFit="1" customWidth="1"/>
    <col min="235" max="235" width="7.5703125" style="1215" bestFit="1" customWidth="1"/>
    <col min="236" max="236" width="11.5703125" style="1215" bestFit="1" customWidth="1"/>
    <col min="237" max="237" width="8" style="1215" bestFit="1" customWidth="1"/>
    <col min="238" max="238" width="11.5703125" style="1215" bestFit="1" customWidth="1"/>
    <col min="239" max="239" width="8.42578125" style="1215" bestFit="1" customWidth="1"/>
    <col min="240" max="240" width="11.5703125" style="1215" bestFit="1" customWidth="1"/>
    <col min="241" max="241" width="8.42578125" style="1215" customWidth="1"/>
    <col min="242" max="242" width="7.42578125" style="1215" bestFit="1" customWidth="1"/>
    <col min="243" max="243" width="11.5703125" style="1215" bestFit="1" customWidth="1"/>
    <col min="244" max="244" width="8.42578125" style="1215" customWidth="1"/>
    <col min="245" max="245" width="13" style="1215" bestFit="1" customWidth="1"/>
    <col min="246" max="484" width="10.85546875" style="1215"/>
    <col min="485" max="485" width="8.5703125" style="1215" customWidth="1"/>
    <col min="486" max="486" width="50" style="1215" customWidth="1"/>
    <col min="487" max="487" width="6.42578125" style="1215" bestFit="1" customWidth="1"/>
    <col min="488" max="489" width="8.5703125" style="1215" customWidth="1"/>
    <col min="490" max="490" width="11.42578125" style="1215" bestFit="1" customWidth="1"/>
    <col min="491" max="491" width="7.5703125" style="1215" bestFit="1" customWidth="1"/>
    <col min="492" max="492" width="11.5703125" style="1215" bestFit="1" customWidth="1"/>
    <col min="493" max="493" width="8" style="1215" bestFit="1" customWidth="1"/>
    <col min="494" max="494" width="11.5703125" style="1215" bestFit="1" customWidth="1"/>
    <col min="495" max="495" width="8.42578125" style="1215" bestFit="1" customWidth="1"/>
    <col min="496" max="496" width="11.5703125" style="1215" bestFit="1" customWidth="1"/>
    <col min="497" max="497" width="8.42578125" style="1215" customWidth="1"/>
    <col min="498" max="498" width="7.42578125" style="1215" bestFit="1" customWidth="1"/>
    <col min="499" max="499" width="11.5703125" style="1215" bestFit="1" customWidth="1"/>
    <col min="500" max="500" width="8.42578125" style="1215" customWidth="1"/>
    <col min="501" max="501" width="13" style="1215" bestFit="1" customWidth="1"/>
    <col min="502" max="740" width="10.85546875" style="1215"/>
    <col min="741" max="741" width="8.5703125" style="1215" customWidth="1"/>
    <col min="742" max="742" width="50" style="1215" customWidth="1"/>
    <col min="743" max="743" width="6.42578125" style="1215" bestFit="1" customWidth="1"/>
    <col min="744" max="745" width="8.5703125" style="1215" customWidth="1"/>
    <col min="746" max="746" width="11.42578125" style="1215" bestFit="1" customWidth="1"/>
    <col min="747" max="747" width="7.5703125" style="1215" bestFit="1" customWidth="1"/>
    <col min="748" max="748" width="11.5703125" style="1215" bestFit="1" customWidth="1"/>
    <col min="749" max="749" width="8" style="1215" bestFit="1" customWidth="1"/>
    <col min="750" max="750" width="11.5703125" style="1215" bestFit="1" customWidth="1"/>
    <col min="751" max="751" width="8.42578125" style="1215" bestFit="1" customWidth="1"/>
    <col min="752" max="752" width="11.5703125" style="1215" bestFit="1" customWidth="1"/>
    <col min="753" max="753" width="8.42578125" style="1215" customWidth="1"/>
    <col min="754" max="754" width="7.42578125" style="1215" bestFit="1" customWidth="1"/>
    <col min="755" max="755" width="11.5703125" style="1215" bestFit="1" customWidth="1"/>
    <col min="756" max="756" width="8.42578125" style="1215" customWidth="1"/>
    <col min="757" max="757" width="13" style="1215" bestFit="1" customWidth="1"/>
    <col min="758" max="996" width="10.85546875" style="1215"/>
    <col min="997" max="997" width="8.5703125" style="1215" customWidth="1"/>
    <col min="998" max="998" width="50" style="1215" customWidth="1"/>
    <col min="999" max="999" width="6.42578125" style="1215" bestFit="1" customWidth="1"/>
    <col min="1000" max="1001" width="8.5703125" style="1215" customWidth="1"/>
    <col min="1002" max="1002" width="11.42578125" style="1215" bestFit="1" customWidth="1"/>
    <col min="1003" max="1003" width="7.5703125" style="1215" bestFit="1" customWidth="1"/>
    <col min="1004" max="1004" width="11.5703125" style="1215" bestFit="1" customWidth="1"/>
    <col min="1005" max="1005" width="8" style="1215" bestFit="1" customWidth="1"/>
    <col min="1006" max="1006" width="11.5703125" style="1215" bestFit="1" customWidth="1"/>
    <col min="1007" max="1007" width="8.42578125" style="1215" bestFit="1" customWidth="1"/>
    <col min="1008" max="1008" width="11.5703125" style="1215" bestFit="1" customWidth="1"/>
    <col min="1009" max="1009" width="8.42578125" style="1215" customWidth="1"/>
    <col min="1010" max="1010" width="7.42578125" style="1215" bestFit="1" customWidth="1"/>
    <col min="1011" max="1011" width="11.5703125" style="1215" bestFit="1" customWidth="1"/>
    <col min="1012" max="1012" width="8.42578125" style="1215" customWidth="1"/>
    <col min="1013" max="1013" width="13" style="1215" bestFit="1" customWidth="1"/>
    <col min="1014" max="1252" width="10.85546875" style="1215"/>
    <col min="1253" max="1253" width="8.5703125" style="1215" customWidth="1"/>
    <col min="1254" max="1254" width="50" style="1215" customWidth="1"/>
    <col min="1255" max="1255" width="6.42578125" style="1215" bestFit="1" customWidth="1"/>
    <col min="1256" max="1257" width="8.5703125" style="1215" customWidth="1"/>
    <col min="1258" max="1258" width="11.42578125" style="1215" bestFit="1" customWidth="1"/>
    <col min="1259" max="1259" width="7.5703125" style="1215" bestFit="1" customWidth="1"/>
    <col min="1260" max="1260" width="11.5703125" style="1215" bestFit="1" customWidth="1"/>
    <col min="1261" max="1261" width="8" style="1215" bestFit="1" customWidth="1"/>
    <col min="1262" max="1262" width="11.5703125" style="1215" bestFit="1" customWidth="1"/>
    <col min="1263" max="1263" width="8.42578125" style="1215" bestFit="1" customWidth="1"/>
    <col min="1264" max="1264" width="11.5703125" style="1215" bestFit="1" customWidth="1"/>
    <col min="1265" max="1265" width="8.42578125" style="1215" customWidth="1"/>
    <col min="1266" max="1266" width="7.42578125" style="1215" bestFit="1" customWidth="1"/>
    <col min="1267" max="1267" width="11.5703125" style="1215" bestFit="1" customWidth="1"/>
    <col min="1268" max="1268" width="8.42578125" style="1215" customWidth="1"/>
    <col min="1269" max="1269" width="13" style="1215" bestFit="1" customWidth="1"/>
    <col min="1270" max="1508" width="10.85546875" style="1215"/>
    <col min="1509" max="1509" width="8.5703125" style="1215" customWidth="1"/>
    <col min="1510" max="1510" width="50" style="1215" customWidth="1"/>
    <col min="1511" max="1511" width="6.42578125" style="1215" bestFit="1" customWidth="1"/>
    <col min="1512" max="1513" width="8.5703125" style="1215" customWidth="1"/>
    <col min="1514" max="1514" width="11.42578125" style="1215" bestFit="1" customWidth="1"/>
    <col min="1515" max="1515" width="7.5703125" style="1215" bestFit="1" customWidth="1"/>
    <col min="1516" max="1516" width="11.5703125" style="1215" bestFit="1" customWidth="1"/>
    <col min="1517" max="1517" width="8" style="1215" bestFit="1" customWidth="1"/>
    <col min="1518" max="1518" width="11.5703125" style="1215" bestFit="1" customWidth="1"/>
    <col min="1519" max="1519" width="8.42578125" style="1215" bestFit="1" customWidth="1"/>
    <col min="1520" max="1520" width="11.5703125" style="1215" bestFit="1" customWidth="1"/>
    <col min="1521" max="1521" width="8.42578125" style="1215" customWidth="1"/>
    <col min="1522" max="1522" width="7.42578125" style="1215" bestFit="1" customWidth="1"/>
    <col min="1523" max="1523" width="11.5703125" style="1215" bestFit="1" customWidth="1"/>
    <col min="1524" max="1524" width="8.42578125" style="1215" customWidth="1"/>
    <col min="1525" max="1525" width="13" style="1215" bestFit="1" customWidth="1"/>
    <col min="1526" max="1764" width="10.85546875" style="1215"/>
    <col min="1765" max="1765" width="8.5703125" style="1215" customWidth="1"/>
    <col min="1766" max="1766" width="50" style="1215" customWidth="1"/>
    <col min="1767" max="1767" width="6.42578125" style="1215" bestFit="1" customWidth="1"/>
    <col min="1768" max="1769" width="8.5703125" style="1215" customWidth="1"/>
    <col min="1770" max="1770" width="11.42578125" style="1215" bestFit="1" customWidth="1"/>
    <col min="1771" max="1771" width="7.5703125" style="1215" bestFit="1" customWidth="1"/>
    <col min="1772" max="1772" width="11.5703125" style="1215" bestFit="1" customWidth="1"/>
    <col min="1773" max="1773" width="8" style="1215" bestFit="1" customWidth="1"/>
    <col min="1774" max="1774" width="11.5703125" style="1215" bestFit="1" customWidth="1"/>
    <col min="1775" max="1775" width="8.42578125" style="1215" bestFit="1" customWidth="1"/>
    <col min="1776" max="1776" width="11.5703125" style="1215" bestFit="1" customWidth="1"/>
    <col min="1777" max="1777" width="8.42578125" style="1215" customWidth="1"/>
    <col min="1778" max="1778" width="7.42578125" style="1215" bestFit="1" customWidth="1"/>
    <col min="1779" max="1779" width="11.5703125" style="1215" bestFit="1" customWidth="1"/>
    <col min="1780" max="1780" width="8.42578125" style="1215" customWidth="1"/>
    <col min="1781" max="1781" width="13" style="1215" bestFit="1" customWidth="1"/>
    <col min="1782" max="2020" width="10.85546875" style="1215"/>
    <col min="2021" max="2021" width="8.5703125" style="1215" customWidth="1"/>
    <col min="2022" max="2022" width="50" style="1215" customWidth="1"/>
    <col min="2023" max="2023" width="6.42578125" style="1215" bestFit="1" customWidth="1"/>
    <col min="2024" max="2025" width="8.5703125" style="1215" customWidth="1"/>
    <col min="2026" max="2026" width="11.42578125" style="1215" bestFit="1" customWidth="1"/>
    <col min="2027" max="2027" width="7.5703125" style="1215" bestFit="1" customWidth="1"/>
    <col min="2028" max="2028" width="11.5703125" style="1215" bestFit="1" customWidth="1"/>
    <col min="2029" max="2029" width="8" style="1215" bestFit="1" customWidth="1"/>
    <col min="2030" max="2030" width="11.5703125" style="1215" bestFit="1" customWidth="1"/>
    <col min="2031" max="2031" width="8.42578125" style="1215" bestFit="1" customWidth="1"/>
    <col min="2032" max="2032" width="11.5703125" style="1215" bestFit="1" customWidth="1"/>
    <col min="2033" max="2033" width="8.42578125" style="1215" customWidth="1"/>
    <col min="2034" max="2034" width="7.42578125" style="1215" bestFit="1" customWidth="1"/>
    <col min="2035" max="2035" width="11.5703125" style="1215" bestFit="1" customWidth="1"/>
    <col min="2036" max="2036" width="8.42578125" style="1215" customWidth="1"/>
    <col min="2037" max="2037" width="13" style="1215" bestFit="1" customWidth="1"/>
    <col min="2038" max="2276" width="10.85546875" style="1215"/>
    <col min="2277" max="2277" width="8.5703125" style="1215" customWidth="1"/>
    <col min="2278" max="2278" width="50" style="1215" customWidth="1"/>
    <col min="2279" max="2279" width="6.42578125" style="1215" bestFit="1" customWidth="1"/>
    <col min="2280" max="2281" width="8.5703125" style="1215" customWidth="1"/>
    <col min="2282" max="2282" width="11.42578125" style="1215" bestFit="1" customWidth="1"/>
    <col min="2283" max="2283" width="7.5703125" style="1215" bestFit="1" customWidth="1"/>
    <col min="2284" max="2284" width="11.5703125" style="1215" bestFit="1" customWidth="1"/>
    <col min="2285" max="2285" width="8" style="1215" bestFit="1" customWidth="1"/>
    <col min="2286" max="2286" width="11.5703125" style="1215" bestFit="1" customWidth="1"/>
    <col min="2287" max="2287" width="8.42578125" style="1215" bestFit="1" customWidth="1"/>
    <col min="2288" max="2288" width="11.5703125" style="1215" bestFit="1" customWidth="1"/>
    <col min="2289" max="2289" width="8.42578125" style="1215" customWidth="1"/>
    <col min="2290" max="2290" width="7.42578125" style="1215" bestFit="1" customWidth="1"/>
    <col min="2291" max="2291" width="11.5703125" style="1215" bestFit="1" customWidth="1"/>
    <col min="2292" max="2292" width="8.42578125" style="1215" customWidth="1"/>
    <col min="2293" max="2293" width="13" style="1215" bestFit="1" customWidth="1"/>
    <col min="2294" max="2532" width="10.85546875" style="1215"/>
    <col min="2533" max="2533" width="8.5703125" style="1215" customWidth="1"/>
    <col min="2534" max="2534" width="50" style="1215" customWidth="1"/>
    <col min="2535" max="2535" width="6.42578125" style="1215" bestFit="1" customWidth="1"/>
    <col min="2536" max="2537" width="8.5703125" style="1215" customWidth="1"/>
    <col min="2538" max="2538" width="11.42578125" style="1215" bestFit="1" customWidth="1"/>
    <col min="2539" max="2539" width="7.5703125" style="1215" bestFit="1" customWidth="1"/>
    <col min="2540" max="2540" width="11.5703125" style="1215" bestFit="1" customWidth="1"/>
    <col min="2541" max="2541" width="8" style="1215" bestFit="1" customWidth="1"/>
    <col min="2542" max="2542" width="11.5703125" style="1215" bestFit="1" customWidth="1"/>
    <col min="2543" max="2543" width="8.42578125" style="1215" bestFit="1" customWidth="1"/>
    <col min="2544" max="2544" width="11.5703125" style="1215" bestFit="1" customWidth="1"/>
    <col min="2545" max="2545" width="8.42578125" style="1215" customWidth="1"/>
    <col min="2546" max="2546" width="7.42578125" style="1215" bestFit="1" customWidth="1"/>
    <col min="2547" max="2547" width="11.5703125" style="1215" bestFit="1" customWidth="1"/>
    <col min="2548" max="2548" width="8.42578125" style="1215" customWidth="1"/>
    <col min="2549" max="2549" width="13" style="1215" bestFit="1" customWidth="1"/>
    <col min="2550" max="2788" width="10.85546875" style="1215"/>
    <col min="2789" max="2789" width="8.5703125" style="1215" customWidth="1"/>
    <col min="2790" max="2790" width="50" style="1215" customWidth="1"/>
    <col min="2791" max="2791" width="6.42578125" style="1215" bestFit="1" customWidth="1"/>
    <col min="2792" max="2793" width="8.5703125" style="1215" customWidth="1"/>
    <col min="2794" max="2794" width="11.42578125" style="1215" bestFit="1" customWidth="1"/>
    <col min="2795" max="2795" width="7.5703125" style="1215" bestFit="1" customWidth="1"/>
    <col min="2796" max="2796" width="11.5703125" style="1215" bestFit="1" customWidth="1"/>
    <col min="2797" max="2797" width="8" style="1215" bestFit="1" customWidth="1"/>
    <col min="2798" max="2798" width="11.5703125" style="1215" bestFit="1" customWidth="1"/>
    <col min="2799" max="2799" width="8.42578125" style="1215" bestFit="1" customWidth="1"/>
    <col min="2800" max="2800" width="11.5703125" style="1215" bestFit="1" customWidth="1"/>
    <col min="2801" max="2801" width="8.42578125" style="1215" customWidth="1"/>
    <col min="2802" max="2802" width="7.42578125" style="1215" bestFit="1" customWidth="1"/>
    <col min="2803" max="2803" width="11.5703125" style="1215" bestFit="1" customWidth="1"/>
    <col min="2804" max="2804" width="8.42578125" style="1215" customWidth="1"/>
    <col min="2805" max="2805" width="13" style="1215" bestFit="1" customWidth="1"/>
    <col min="2806" max="3044" width="10.85546875" style="1215"/>
    <col min="3045" max="3045" width="8.5703125" style="1215" customWidth="1"/>
    <col min="3046" max="3046" width="50" style="1215" customWidth="1"/>
    <col min="3047" max="3047" width="6.42578125" style="1215" bestFit="1" customWidth="1"/>
    <col min="3048" max="3049" width="8.5703125" style="1215" customWidth="1"/>
    <col min="3050" max="3050" width="11.42578125" style="1215" bestFit="1" customWidth="1"/>
    <col min="3051" max="3051" width="7.5703125" style="1215" bestFit="1" customWidth="1"/>
    <col min="3052" max="3052" width="11.5703125" style="1215" bestFit="1" customWidth="1"/>
    <col min="3053" max="3053" width="8" style="1215" bestFit="1" customWidth="1"/>
    <col min="3054" max="3054" width="11.5703125" style="1215" bestFit="1" customWidth="1"/>
    <col min="3055" max="3055" width="8.42578125" style="1215" bestFit="1" customWidth="1"/>
    <col min="3056" max="3056" width="11.5703125" style="1215" bestFit="1" customWidth="1"/>
    <col min="3057" max="3057" width="8.42578125" style="1215" customWidth="1"/>
    <col min="3058" max="3058" width="7.42578125" style="1215" bestFit="1" customWidth="1"/>
    <col min="3059" max="3059" width="11.5703125" style="1215" bestFit="1" customWidth="1"/>
    <col min="3060" max="3060" width="8.42578125" style="1215" customWidth="1"/>
    <col min="3061" max="3061" width="13" style="1215" bestFit="1" customWidth="1"/>
    <col min="3062" max="3300" width="10.85546875" style="1215"/>
    <col min="3301" max="3301" width="8.5703125" style="1215" customWidth="1"/>
    <col min="3302" max="3302" width="50" style="1215" customWidth="1"/>
    <col min="3303" max="3303" width="6.42578125" style="1215" bestFit="1" customWidth="1"/>
    <col min="3304" max="3305" width="8.5703125" style="1215" customWidth="1"/>
    <col min="3306" max="3306" width="11.42578125" style="1215" bestFit="1" customWidth="1"/>
    <col min="3307" max="3307" width="7.5703125" style="1215" bestFit="1" customWidth="1"/>
    <col min="3308" max="3308" width="11.5703125" style="1215" bestFit="1" customWidth="1"/>
    <col min="3309" max="3309" width="8" style="1215" bestFit="1" customWidth="1"/>
    <col min="3310" max="3310" width="11.5703125" style="1215" bestFit="1" customWidth="1"/>
    <col min="3311" max="3311" width="8.42578125" style="1215" bestFit="1" customWidth="1"/>
    <col min="3312" max="3312" width="11.5703125" style="1215" bestFit="1" customWidth="1"/>
    <col min="3313" max="3313" width="8.42578125" style="1215" customWidth="1"/>
    <col min="3314" max="3314" width="7.42578125" style="1215" bestFit="1" customWidth="1"/>
    <col min="3315" max="3315" width="11.5703125" style="1215" bestFit="1" customWidth="1"/>
    <col min="3316" max="3316" width="8.42578125" style="1215" customWidth="1"/>
    <col min="3317" max="3317" width="13" style="1215" bestFit="1" customWidth="1"/>
    <col min="3318" max="3556" width="10.85546875" style="1215"/>
    <col min="3557" max="3557" width="8.5703125" style="1215" customWidth="1"/>
    <col min="3558" max="3558" width="50" style="1215" customWidth="1"/>
    <col min="3559" max="3559" width="6.42578125" style="1215" bestFit="1" customWidth="1"/>
    <col min="3560" max="3561" width="8.5703125" style="1215" customWidth="1"/>
    <col min="3562" max="3562" width="11.42578125" style="1215" bestFit="1" customWidth="1"/>
    <col min="3563" max="3563" width="7.5703125" style="1215" bestFit="1" customWidth="1"/>
    <col min="3564" max="3564" width="11.5703125" style="1215" bestFit="1" customWidth="1"/>
    <col min="3565" max="3565" width="8" style="1215" bestFit="1" customWidth="1"/>
    <col min="3566" max="3566" width="11.5703125" style="1215" bestFit="1" customWidth="1"/>
    <col min="3567" max="3567" width="8.42578125" style="1215" bestFit="1" customWidth="1"/>
    <col min="3568" max="3568" width="11.5703125" style="1215" bestFit="1" customWidth="1"/>
    <col min="3569" max="3569" width="8.42578125" style="1215" customWidth="1"/>
    <col min="3570" max="3570" width="7.42578125" style="1215" bestFit="1" customWidth="1"/>
    <col min="3571" max="3571" width="11.5703125" style="1215" bestFit="1" customWidth="1"/>
    <col min="3572" max="3572" width="8.42578125" style="1215" customWidth="1"/>
    <col min="3573" max="3573" width="13" style="1215" bestFit="1" customWidth="1"/>
    <col min="3574" max="3812" width="10.85546875" style="1215"/>
    <col min="3813" max="3813" width="8.5703125" style="1215" customWidth="1"/>
    <col min="3814" max="3814" width="50" style="1215" customWidth="1"/>
    <col min="3815" max="3815" width="6.42578125" style="1215" bestFit="1" customWidth="1"/>
    <col min="3816" max="3817" width="8.5703125" style="1215" customWidth="1"/>
    <col min="3818" max="3818" width="11.42578125" style="1215" bestFit="1" customWidth="1"/>
    <col min="3819" max="3819" width="7.5703125" style="1215" bestFit="1" customWidth="1"/>
    <col min="3820" max="3820" width="11.5703125" style="1215" bestFit="1" customWidth="1"/>
    <col min="3821" max="3821" width="8" style="1215" bestFit="1" customWidth="1"/>
    <col min="3822" max="3822" width="11.5703125" style="1215" bestFit="1" customWidth="1"/>
    <col min="3823" max="3823" width="8.42578125" style="1215" bestFit="1" customWidth="1"/>
    <col min="3824" max="3824" width="11.5703125" style="1215" bestFit="1" customWidth="1"/>
    <col min="3825" max="3825" width="8.42578125" style="1215" customWidth="1"/>
    <col min="3826" max="3826" width="7.42578125" style="1215" bestFit="1" customWidth="1"/>
    <col min="3827" max="3827" width="11.5703125" style="1215" bestFit="1" customWidth="1"/>
    <col min="3828" max="3828" width="8.42578125" style="1215" customWidth="1"/>
    <col min="3829" max="3829" width="13" style="1215" bestFit="1" customWidth="1"/>
    <col min="3830" max="4068" width="10.85546875" style="1215"/>
    <col min="4069" max="4069" width="8.5703125" style="1215" customWidth="1"/>
    <col min="4070" max="4070" width="50" style="1215" customWidth="1"/>
    <col min="4071" max="4071" width="6.42578125" style="1215" bestFit="1" customWidth="1"/>
    <col min="4072" max="4073" width="8.5703125" style="1215" customWidth="1"/>
    <col min="4074" max="4074" width="11.42578125" style="1215" bestFit="1" customWidth="1"/>
    <col min="4075" max="4075" width="7.5703125" style="1215" bestFit="1" customWidth="1"/>
    <col min="4076" max="4076" width="11.5703125" style="1215" bestFit="1" customWidth="1"/>
    <col min="4077" max="4077" width="8" style="1215" bestFit="1" customWidth="1"/>
    <col min="4078" max="4078" width="11.5703125" style="1215" bestFit="1" customWidth="1"/>
    <col min="4079" max="4079" width="8.42578125" style="1215" bestFit="1" customWidth="1"/>
    <col min="4080" max="4080" width="11.5703125" style="1215" bestFit="1" customWidth="1"/>
    <col min="4081" max="4081" width="8.42578125" style="1215" customWidth="1"/>
    <col min="4082" max="4082" width="7.42578125" style="1215" bestFit="1" customWidth="1"/>
    <col min="4083" max="4083" width="11.5703125" style="1215" bestFit="1" customWidth="1"/>
    <col min="4084" max="4084" width="8.42578125" style="1215" customWidth="1"/>
    <col min="4085" max="4085" width="13" style="1215" bestFit="1" customWidth="1"/>
    <col min="4086" max="4324" width="10.85546875" style="1215"/>
    <col min="4325" max="4325" width="8.5703125" style="1215" customWidth="1"/>
    <col min="4326" max="4326" width="50" style="1215" customWidth="1"/>
    <col min="4327" max="4327" width="6.42578125" style="1215" bestFit="1" customWidth="1"/>
    <col min="4328" max="4329" width="8.5703125" style="1215" customWidth="1"/>
    <col min="4330" max="4330" width="11.42578125" style="1215" bestFit="1" customWidth="1"/>
    <col min="4331" max="4331" width="7.5703125" style="1215" bestFit="1" customWidth="1"/>
    <col min="4332" max="4332" width="11.5703125" style="1215" bestFit="1" customWidth="1"/>
    <col min="4333" max="4333" width="8" style="1215" bestFit="1" customWidth="1"/>
    <col min="4334" max="4334" width="11.5703125" style="1215" bestFit="1" customWidth="1"/>
    <col min="4335" max="4335" width="8.42578125" style="1215" bestFit="1" customWidth="1"/>
    <col min="4336" max="4336" width="11.5703125" style="1215" bestFit="1" customWidth="1"/>
    <col min="4337" max="4337" width="8.42578125" style="1215" customWidth="1"/>
    <col min="4338" max="4338" width="7.42578125" style="1215" bestFit="1" customWidth="1"/>
    <col min="4339" max="4339" width="11.5703125" style="1215" bestFit="1" customWidth="1"/>
    <col min="4340" max="4340" width="8.42578125" style="1215" customWidth="1"/>
    <col min="4341" max="4341" width="13" style="1215" bestFit="1" customWidth="1"/>
    <col min="4342" max="4580" width="10.85546875" style="1215"/>
    <col min="4581" max="4581" width="8.5703125" style="1215" customWidth="1"/>
    <col min="4582" max="4582" width="50" style="1215" customWidth="1"/>
    <col min="4583" max="4583" width="6.42578125" style="1215" bestFit="1" customWidth="1"/>
    <col min="4584" max="4585" width="8.5703125" style="1215" customWidth="1"/>
    <col min="4586" max="4586" width="11.42578125" style="1215" bestFit="1" customWidth="1"/>
    <col min="4587" max="4587" width="7.5703125" style="1215" bestFit="1" customWidth="1"/>
    <col min="4588" max="4588" width="11.5703125" style="1215" bestFit="1" customWidth="1"/>
    <col min="4589" max="4589" width="8" style="1215" bestFit="1" customWidth="1"/>
    <col min="4590" max="4590" width="11.5703125" style="1215" bestFit="1" customWidth="1"/>
    <col min="4591" max="4591" width="8.42578125" style="1215" bestFit="1" customWidth="1"/>
    <col min="4592" max="4592" width="11.5703125" style="1215" bestFit="1" customWidth="1"/>
    <col min="4593" max="4593" width="8.42578125" style="1215" customWidth="1"/>
    <col min="4594" max="4594" width="7.42578125" style="1215" bestFit="1" customWidth="1"/>
    <col min="4595" max="4595" width="11.5703125" style="1215" bestFit="1" customWidth="1"/>
    <col min="4596" max="4596" width="8.42578125" style="1215" customWidth="1"/>
    <col min="4597" max="4597" width="13" style="1215" bestFit="1" customWidth="1"/>
    <col min="4598" max="4836" width="10.85546875" style="1215"/>
    <col min="4837" max="4837" width="8.5703125" style="1215" customWidth="1"/>
    <col min="4838" max="4838" width="50" style="1215" customWidth="1"/>
    <col min="4839" max="4839" width="6.42578125" style="1215" bestFit="1" customWidth="1"/>
    <col min="4840" max="4841" width="8.5703125" style="1215" customWidth="1"/>
    <col min="4842" max="4842" width="11.42578125" style="1215" bestFit="1" customWidth="1"/>
    <col min="4843" max="4843" width="7.5703125" style="1215" bestFit="1" customWidth="1"/>
    <col min="4844" max="4844" width="11.5703125" style="1215" bestFit="1" customWidth="1"/>
    <col min="4845" max="4845" width="8" style="1215" bestFit="1" customWidth="1"/>
    <col min="4846" max="4846" width="11.5703125" style="1215" bestFit="1" customWidth="1"/>
    <col min="4847" max="4847" width="8.42578125" style="1215" bestFit="1" customWidth="1"/>
    <col min="4848" max="4848" width="11.5703125" style="1215" bestFit="1" customWidth="1"/>
    <col min="4849" max="4849" width="8.42578125" style="1215" customWidth="1"/>
    <col min="4850" max="4850" width="7.42578125" style="1215" bestFit="1" customWidth="1"/>
    <col min="4851" max="4851" width="11.5703125" style="1215" bestFit="1" customWidth="1"/>
    <col min="4852" max="4852" width="8.42578125" style="1215" customWidth="1"/>
    <col min="4853" max="4853" width="13" style="1215" bestFit="1" customWidth="1"/>
    <col min="4854" max="5092" width="10.85546875" style="1215"/>
    <col min="5093" max="5093" width="8.5703125" style="1215" customWidth="1"/>
    <col min="5094" max="5094" width="50" style="1215" customWidth="1"/>
    <col min="5095" max="5095" width="6.42578125" style="1215" bestFit="1" customWidth="1"/>
    <col min="5096" max="5097" width="8.5703125" style="1215" customWidth="1"/>
    <col min="5098" max="5098" width="11.42578125" style="1215" bestFit="1" customWidth="1"/>
    <col min="5099" max="5099" width="7.5703125" style="1215" bestFit="1" customWidth="1"/>
    <col min="5100" max="5100" width="11.5703125" style="1215" bestFit="1" customWidth="1"/>
    <col min="5101" max="5101" width="8" style="1215" bestFit="1" customWidth="1"/>
    <col min="5102" max="5102" width="11.5703125" style="1215" bestFit="1" customWidth="1"/>
    <col min="5103" max="5103" width="8.42578125" style="1215" bestFit="1" customWidth="1"/>
    <col min="5104" max="5104" width="11.5703125" style="1215" bestFit="1" customWidth="1"/>
    <col min="5105" max="5105" width="8.42578125" style="1215" customWidth="1"/>
    <col min="5106" max="5106" width="7.42578125" style="1215" bestFit="1" customWidth="1"/>
    <col min="5107" max="5107" width="11.5703125" style="1215" bestFit="1" customWidth="1"/>
    <col min="5108" max="5108" width="8.42578125" style="1215" customWidth="1"/>
    <col min="5109" max="5109" width="13" style="1215" bestFit="1" customWidth="1"/>
    <col min="5110" max="5348" width="10.85546875" style="1215"/>
    <col min="5349" max="5349" width="8.5703125" style="1215" customWidth="1"/>
    <col min="5350" max="5350" width="50" style="1215" customWidth="1"/>
    <col min="5351" max="5351" width="6.42578125" style="1215" bestFit="1" customWidth="1"/>
    <col min="5352" max="5353" width="8.5703125" style="1215" customWidth="1"/>
    <col min="5354" max="5354" width="11.42578125" style="1215" bestFit="1" customWidth="1"/>
    <col min="5355" max="5355" width="7.5703125" style="1215" bestFit="1" customWidth="1"/>
    <col min="5356" max="5356" width="11.5703125" style="1215" bestFit="1" customWidth="1"/>
    <col min="5357" max="5357" width="8" style="1215" bestFit="1" customWidth="1"/>
    <col min="5358" max="5358" width="11.5703125" style="1215" bestFit="1" customWidth="1"/>
    <col min="5359" max="5359" width="8.42578125" style="1215" bestFit="1" customWidth="1"/>
    <col min="5360" max="5360" width="11.5703125" style="1215" bestFit="1" customWidth="1"/>
    <col min="5361" max="5361" width="8.42578125" style="1215" customWidth="1"/>
    <col min="5362" max="5362" width="7.42578125" style="1215" bestFit="1" customWidth="1"/>
    <col min="5363" max="5363" width="11.5703125" style="1215" bestFit="1" customWidth="1"/>
    <col min="5364" max="5364" width="8.42578125" style="1215" customWidth="1"/>
    <col min="5365" max="5365" width="13" style="1215" bestFit="1" customWidth="1"/>
    <col min="5366" max="5604" width="10.85546875" style="1215"/>
    <col min="5605" max="5605" width="8.5703125" style="1215" customWidth="1"/>
    <col min="5606" max="5606" width="50" style="1215" customWidth="1"/>
    <col min="5607" max="5607" width="6.42578125" style="1215" bestFit="1" customWidth="1"/>
    <col min="5608" max="5609" width="8.5703125" style="1215" customWidth="1"/>
    <col min="5610" max="5610" width="11.42578125" style="1215" bestFit="1" customWidth="1"/>
    <col min="5611" max="5611" width="7.5703125" style="1215" bestFit="1" customWidth="1"/>
    <col min="5612" max="5612" width="11.5703125" style="1215" bestFit="1" customWidth="1"/>
    <col min="5613" max="5613" width="8" style="1215" bestFit="1" customWidth="1"/>
    <col min="5614" max="5614" width="11.5703125" style="1215" bestFit="1" customWidth="1"/>
    <col min="5615" max="5615" width="8.42578125" style="1215" bestFit="1" customWidth="1"/>
    <col min="5616" max="5616" width="11.5703125" style="1215" bestFit="1" customWidth="1"/>
    <col min="5617" max="5617" width="8.42578125" style="1215" customWidth="1"/>
    <col min="5618" max="5618" width="7.42578125" style="1215" bestFit="1" customWidth="1"/>
    <col min="5619" max="5619" width="11.5703125" style="1215" bestFit="1" customWidth="1"/>
    <col min="5620" max="5620" width="8.42578125" style="1215" customWidth="1"/>
    <col min="5621" max="5621" width="13" style="1215" bestFit="1" customWidth="1"/>
    <col min="5622" max="5860" width="10.85546875" style="1215"/>
    <col min="5861" max="5861" width="8.5703125" style="1215" customWidth="1"/>
    <col min="5862" max="5862" width="50" style="1215" customWidth="1"/>
    <col min="5863" max="5863" width="6.42578125" style="1215" bestFit="1" customWidth="1"/>
    <col min="5864" max="5865" width="8.5703125" style="1215" customWidth="1"/>
    <col min="5866" max="5866" width="11.42578125" style="1215" bestFit="1" customWidth="1"/>
    <col min="5867" max="5867" width="7.5703125" style="1215" bestFit="1" customWidth="1"/>
    <col min="5868" max="5868" width="11.5703125" style="1215" bestFit="1" customWidth="1"/>
    <col min="5869" max="5869" width="8" style="1215" bestFit="1" customWidth="1"/>
    <col min="5870" max="5870" width="11.5703125" style="1215" bestFit="1" customWidth="1"/>
    <col min="5871" max="5871" width="8.42578125" style="1215" bestFit="1" customWidth="1"/>
    <col min="5872" max="5872" width="11.5703125" style="1215" bestFit="1" customWidth="1"/>
    <col min="5873" max="5873" width="8.42578125" style="1215" customWidth="1"/>
    <col min="5874" max="5874" width="7.42578125" style="1215" bestFit="1" customWidth="1"/>
    <col min="5875" max="5875" width="11.5703125" style="1215" bestFit="1" customWidth="1"/>
    <col min="5876" max="5876" width="8.42578125" style="1215" customWidth="1"/>
    <col min="5877" max="5877" width="13" style="1215" bestFit="1" customWidth="1"/>
    <col min="5878" max="6116" width="10.85546875" style="1215"/>
    <col min="6117" max="6117" width="8.5703125" style="1215" customWidth="1"/>
    <col min="6118" max="6118" width="50" style="1215" customWidth="1"/>
    <col min="6119" max="6119" width="6.42578125" style="1215" bestFit="1" customWidth="1"/>
    <col min="6120" max="6121" width="8.5703125" style="1215" customWidth="1"/>
    <col min="6122" max="6122" width="11.42578125" style="1215" bestFit="1" customWidth="1"/>
    <col min="6123" max="6123" width="7.5703125" style="1215" bestFit="1" customWidth="1"/>
    <col min="6124" max="6124" width="11.5703125" style="1215" bestFit="1" customWidth="1"/>
    <col min="6125" max="6125" width="8" style="1215" bestFit="1" customWidth="1"/>
    <col min="6126" max="6126" width="11.5703125" style="1215" bestFit="1" customWidth="1"/>
    <col min="6127" max="6127" width="8.42578125" style="1215" bestFit="1" customWidth="1"/>
    <col min="6128" max="6128" width="11.5703125" style="1215" bestFit="1" customWidth="1"/>
    <col min="6129" max="6129" width="8.42578125" style="1215" customWidth="1"/>
    <col min="6130" max="6130" width="7.42578125" style="1215" bestFit="1" customWidth="1"/>
    <col min="6131" max="6131" width="11.5703125" style="1215" bestFit="1" customWidth="1"/>
    <col min="6132" max="6132" width="8.42578125" style="1215" customWidth="1"/>
    <col min="6133" max="6133" width="13" style="1215" bestFit="1" customWidth="1"/>
    <col min="6134" max="6372" width="10.85546875" style="1215"/>
    <col min="6373" max="6373" width="8.5703125" style="1215" customWidth="1"/>
    <col min="6374" max="6374" width="50" style="1215" customWidth="1"/>
    <col min="6375" max="6375" width="6.42578125" style="1215" bestFit="1" customWidth="1"/>
    <col min="6376" max="6377" width="8.5703125" style="1215" customWidth="1"/>
    <col min="6378" max="6378" width="11.42578125" style="1215" bestFit="1" customWidth="1"/>
    <col min="6379" max="6379" width="7.5703125" style="1215" bestFit="1" customWidth="1"/>
    <col min="6380" max="6380" width="11.5703125" style="1215" bestFit="1" customWidth="1"/>
    <col min="6381" max="6381" width="8" style="1215" bestFit="1" customWidth="1"/>
    <col min="6382" max="6382" width="11.5703125" style="1215" bestFit="1" customWidth="1"/>
    <col min="6383" max="6383" width="8.42578125" style="1215" bestFit="1" customWidth="1"/>
    <col min="6384" max="6384" width="11.5703125" style="1215" bestFit="1" customWidth="1"/>
    <col min="6385" max="6385" width="8.42578125" style="1215" customWidth="1"/>
    <col min="6386" max="6386" width="7.42578125" style="1215" bestFit="1" customWidth="1"/>
    <col min="6387" max="6387" width="11.5703125" style="1215" bestFit="1" customWidth="1"/>
    <col min="6388" max="6388" width="8.42578125" style="1215" customWidth="1"/>
    <col min="6389" max="6389" width="13" style="1215" bestFit="1" customWidth="1"/>
    <col min="6390" max="6628" width="10.85546875" style="1215"/>
    <col min="6629" max="6629" width="8.5703125" style="1215" customWidth="1"/>
    <col min="6630" max="6630" width="50" style="1215" customWidth="1"/>
    <col min="6631" max="6631" width="6.42578125" style="1215" bestFit="1" customWidth="1"/>
    <col min="6632" max="6633" width="8.5703125" style="1215" customWidth="1"/>
    <col min="6634" max="6634" width="11.42578125" style="1215" bestFit="1" customWidth="1"/>
    <col min="6635" max="6635" width="7.5703125" style="1215" bestFit="1" customWidth="1"/>
    <col min="6636" max="6636" width="11.5703125" style="1215" bestFit="1" customWidth="1"/>
    <col min="6637" max="6637" width="8" style="1215" bestFit="1" customWidth="1"/>
    <col min="6638" max="6638" width="11.5703125" style="1215" bestFit="1" customWidth="1"/>
    <col min="6639" max="6639" width="8.42578125" style="1215" bestFit="1" customWidth="1"/>
    <col min="6640" max="6640" width="11.5703125" style="1215" bestFit="1" customWidth="1"/>
    <col min="6641" max="6641" width="8.42578125" style="1215" customWidth="1"/>
    <col min="6642" max="6642" width="7.42578125" style="1215" bestFit="1" customWidth="1"/>
    <col min="6643" max="6643" width="11.5703125" style="1215" bestFit="1" customWidth="1"/>
    <col min="6644" max="6644" width="8.42578125" style="1215" customWidth="1"/>
    <col min="6645" max="6645" width="13" style="1215" bestFit="1" customWidth="1"/>
    <col min="6646" max="6884" width="10.85546875" style="1215"/>
    <col min="6885" max="6885" width="8.5703125" style="1215" customWidth="1"/>
    <col min="6886" max="6886" width="50" style="1215" customWidth="1"/>
    <col min="6887" max="6887" width="6.42578125" style="1215" bestFit="1" customWidth="1"/>
    <col min="6888" max="6889" width="8.5703125" style="1215" customWidth="1"/>
    <col min="6890" max="6890" width="11.42578125" style="1215" bestFit="1" customWidth="1"/>
    <col min="6891" max="6891" width="7.5703125" style="1215" bestFit="1" customWidth="1"/>
    <col min="6892" max="6892" width="11.5703125" style="1215" bestFit="1" customWidth="1"/>
    <col min="6893" max="6893" width="8" style="1215" bestFit="1" customWidth="1"/>
    <col min="6894" max="6894" width="11.5703125" style="1215" bestFit="1" customWidth="1"/>
    <col min="6895" max="6895" width="8.42578125" style="1215" bestFit="1" customWidth="1"/>
    <col min="6896" max="6896" width="11.5703125" style="1215" bestFit="1" customWidth="1"/>
    <col min="6897" max="6897" width="8.42578125" style="1215" customWidth="1"/>
    <col min="6898" max="6898" width="7.42578125" style="1215" bestFit="1" customWidth="1"/>
    <col min="6899" max="6899" width="11.5703125" style="1215" bestFit="1" customWidth="1"/>
    <col min="6900" max="6900" width="8.42578125" style="1215" customWidth="1"/>
    <col min="6901" max="6901" width="13" style="1215" bestFit="1" customWidth="1"/>
    <col min="6902" max="7140" width="10.85546875" style="1215"/>
    <col min="7141" max="7141" width="8.5703125" style="1215" customWidth="1"/>
    <col min="7142" max="7142" width="50" style="1215" customWidth="1"/>
    <col min="7143" max="7143" width="6.42578125" style="1215" bestFit="1" customWidth="1"/>
    <col min="7144" max="7145" width="8.5703125" style="1215" customWidth="1"/>
    <col min="7146" max="7146" width="11.42578125" style="1215" bestFit="1" customWidth="1"/>
    <col min="7147" max="7147" width="7.5703125" style="1215" bestFit="1" customWidth="1"/>
    <col min="7148" max="7148" width="11.5703125" style="1215" bestFit="1" customWidth="1"/>
    <col min="7149" max="7149" width="8" style="1215" bestFit="1" customWidth="1"/>
    <col min="7150" max="7150" width="11.5703125" style="1215" bestFit="1" customWidth="1"/>
    <col min="7151" max="7151" width="8.42578125" style="1215" bestFit="1" customWidth="1"/>
    <col min="7152" max="7152" width="11.5703125" style="1215" bestFit="1" customWidth="1"/>
    <col min="7153" max="7153" width="8.42578125" style="1215" customWidth="1"/>
    <col min="7154" max="7154" width="7.42578125" style="1215" bestFit="1" customWidth="1"/>
    <col min="7155" max="7155" width="11.5703125" style="1215" bestFit="1" customWidth="1"/>
    <col min="7156" max="7156" width="8.42578125" style="1215" customWidth="1"/>
    <col min="7157" max="7157" width="13" style="1215" bestFit="1" customWidth="1"/>
    <col min="7158" max="7396" width="10.85546875" style="1215"/>
    <col min="7397" max="7397" width="8.5703125" style="1215" customWidth="1"/>
    <col min="7398" max="7398" width="50" style="1215" customWidth="1"/>
    <col min="7399" max="7399" width="6.42578125" style="1215" bestFit="1" customWidth="1"/>
    <col min="7400" max="7401" width="8.5703125" style="1215" customWidth="1"/>
    <col min="7402" max="7402" width="11.42578125" style="1215" bestFit="1" customWidth="1"/>
    <col min="7403" max="7403" width="7.5703125" style="1215" bestFit="1" customWidth="1"/>
    <col min="7404" max="7404" width="11.5703125" style="1215" bestFit="1" customWidth="1"/>
    <col min="7405" max="7405" width="8" style="1215" bestFit="1" customWidth="1"/>
    <col min="7406" max="7406" width="11.5703125" style="1215" bestFit="1" customWidth="1"/>
    <col min="7407" max="7407" width="8.42578125" style="1215" bestFit="1" customWidth="1"/>
    <col min="7408" max="7408" width="11.5703125" style="1215" bestFit="1" customWidth="1"/>
    <col min="7409" max="7409" width="8.42578125" style="1215" customWidth="1"/>
    <col min="7410" max="7410" width="7.42578125" style="1215" bestFit="1" customWidth="1"/>
    <col min="7411" max="7411" width="11.5703125" style="1215" bestFit="1" customWidth="1"/>
    <col min="7412" max="7412" width="8.42578125" style="1215" customWidth="1"/>
    <col min="7413" max="7413" width="13" style="1215" bestFit="1" customWidth="1"/>
    <col min="7414" max="7652" width="10.85546875" style="1215"/>
    <col min="7653" max="7653" width="8.5703125" style="1215" customWidth="1"/>
    <col min="7654" max="7654" width="50" style="1215" customWidth="1"/>
    <col min="7655" max="7655" width="6.42578125" style="1215" bestFit="1" customWidth="1"/>
    <col min="7656" max="7657" width="8.5703125" style="1215" customWidth="1"/>
    <col min="7658" max="7658" width="11.42578125" style="1215" bestFit="1" customWidth="1"/>
    <col min="7659" max="7659" width="7.5703125" style="1215" bestFit="1" customWidth="1"/>
    <col min="7660" max="7660" width="11.5703125" style="1215" bestFit="1" customWidth="1"/>
    <col min="7661" max="7661" width="8" style="1215" bestFit="1" customWidth="1"/>
    <col min="7662" max="7662" width="11.5703125" style="1215" bestFit="1" customWidth="1"/>
    <col min="7663" max="7663" width="8.42578125" style="1215" bestFit="1" customWidth="1"/>
    <col min="7664" max="7664" width="11.5703125" style="1215" bestFit="1" customWidth="1"/>
    <col min="7665" max="7665" width="8.42578125" style="1215" customWidth="1"/>
    <col min="7666" max="7666" width="7.42578125" style="1215" bestFit="1" customWidth="1"/>
    <col min="7667" max="7667" width="11.5703125" style="1215" bestFit="1" customWidth="1"/>
    <col min="7668" max="7668" width="8.42578125" style="1215" customWidth="1"/>
    <col min="7669" max="7669" width="13" style="1215" bestFit="1" customWidth="1"/>
    <col min="7670" max="7908" width="10.85546875" style="1215"/>
    <col min="7909" max="7909" width="8.5703125" style="1215" customWidth="1"/>
    <col min="7910" max="7910" width="50" style="1215" customWidth="1"/>
    <col min="7911" max="7911" width="6.42578125" style="1215" bestFit="1" customWidth="1"/>
    <col min="7912" max="7913" width="8.5703125" style="1215" customWidth="1"/>
    <col min="7914" max="7914" width="11.42578125" style="1215" bestFit="1" customWidth="1"/>
    <col min="7915" max="7915" width="7.5703125" style="1215" bestFit="1" customWidth="1"/>
    <col min="7916" max="7916" width="11.5703125" style="1215" bestFit="1" customWidth="1"/>
    <col min="7917" max="7917" width="8" style="1215" bestFit="1" customWidth="1"/>
    <col min="7918" max="7918" width="11.5703125" style="1215" bestFit="1" customWidth="1"/>
    <col min="7919" max="7919" width="8.42578125" style="1215" bestFit="1" customWidth="1"/>
    <col min="7920" max="7920" width="11.5703125" style="1215" bestFit="1" customWidth="1"/>
    <col min="7921" max="7921" width="8.42578125" style="1215" customWidth="1"/>
    <col min="7922" max="7922" width="7.42578125" style="1215" bestFit="1" customWidth="1"/>
    <col min="7923" max="7923" width="11.5703125" style="1215" bestFit="1" customWidth="1"/>
    <col min="7924" max="7924" width="8.42578125" style="1215" customWidth="1"/>
    <col min="7925" max="7925" width="13" style="1215" bestFit="1" customWidth="1"/>
    <col min="7926" max="8164" width="10.85546875" style="1215"/>
    <col min="8165" max="8165" width="8.5703125" style="1215" customWidth="1"/>
    <col min="8166" max="8166" width="50" style="1215" customWidth="1"/>
    <col min="8167" max="8167" width="6.42578125" style="1215" bestFit="1" customWidth="1"/>
    <col min="8168" max="8169" width="8.5703125" style="1215" customWidth="1"/>
    <col min="8170" max="8170" width="11.42578125" style="1215" bestFit="1" customWidth="1"/>
    <col min="8171" max="8171" width="7.5703125" style="1215" bestFit="1" customWidth="1"/>
    <col min="8172" max="8172" width="11.5703125" style="1215" bestFit="1" customWidth="1"/>
    <col min="8173" max="8173" width="8" style="1215" bestFit="1" customWidth="1"/>
    <col min="8174" max="8174" width="11.5703125" style="1215" bestFit="1" customWidth="1"/>
    <col min="8175" max="8175" width="8.42578125" style="1215" bestFit="1" customWidth="1"/>
    <col min="8176" max="8176" width="11.5703125" style="1215" bestFit="1" customWidth="1"/>
    <col min="8177" max="8177" width="8.42578125" style="1215" customWidth="1"/>
    <col min="8178" max="8178" width="7.42578125" style="1215" bestFit="1" customWidth="1"/>
    <col min="8179" max="8179" width="11.5703125" style="1215" bestFit="1" customWidth="1"/>
    <col min="8180" max="8180" width="8.42578125" style="1215" customWidth="1"/>
    <col min="8181" max="8181" width="13" style="1215" bestFit="1" customWidth="1"/>
    <col min="8182" max="8420" width="10.85546875" style="1215"/>
    <col min="8421" max="8421" width="8.5703125" style="1215" customWidth="1"/>
    <col min="8422" max="8422" width="50" style="1215" customWidth="1"/>
    <col min="8423" max="8423" width="6.42578125" style="1215" bestFit="1" customWidth="1"/>
    <col min="8424" max="8425" width="8.5703125" style="1215" customWidth="1"/>
    <col min="8426" max="8426" width="11.42578125" style="1215" bestFit="1" customWidth="1"/>
    <col min="8427" max="8427" width="7.5703125" style="1215" bestFit="1" customWidth="1"/>
    <col min="8428" max="8428" width="11.5703125" style="1215" bestFit="1" customWidth="1"/>
    <col min="8429" max="8429" width="8" style="1215" bestFit="1" customWidth="1"/>
    <col min="8430" max="8430" width="11.5703125" style="1215" bestFit="1" customWidth="1"/>
    <col min="8431" max="8431" width="8.42578125" style="1215" bestFit="1" customWidth="1"/>
    <col min="8432" max="8432" width="11.5703125" style="1215" bestFit="1" customWidth="1"/>
    <col min="8433" max="8433" width="8.42578125" style="1215" customWidth="1"/>
    <col min="8434" max="8434" width="7.42578125" style="1215" bestFit="1" customWidth="1"/>
    <col min="8435" max="8435" width="11.5703125" style="1215" bestFit="1" customWidth="1"/>
    <col min="8436" max="8436" width="8.42578125" style="1215" customWidth="1"/>
    <col min="8437" max="8437" width="13" style="1215" bestFit="1" customWidth="1"/>
    <col min="8438" max="8676" width="10.85546875" style="1215"/>
    <col min="8677" max="8677" width="8.5703125" style="1215" customWidth="1"/>
    <col min="8678" max="8678" width="50" style="1215" customWidth="1"/>
    <col min="8679" max="8679" width="6.42578125" style="1215" bestFit="1" customWidth="1"/>
    <col min="8680" max="8681" width="8.5703125" style="1215" customWidth="1"/>
    <col min="8682" max="8682" width="11.42578125" style="1215" bestFit="1" customWidth="1"/>
    <col min="8683" max="8683" width="7.5703125" style="1215" bestFit="1" customWidth="1"/>
    <col min="8684" max="8684" width="11.5703125" style="1215" bestFit="1" customWidth="1"/>
    <col min="8685" max="8685" width="8" style="1215" bestFit="1" customWidth="1"/>
    <col min="8686" max="8686" width="11.5703125" style="1215" bestFit="1" customWidth="1"/>
    <col min="8687" max="8687" width="8.42578125" style="1215" bestFit="1" customWidth="1"/>
    <col min="8688" max="8688" width="11.5703125" style="1215" bestFit="1" customWidth="1"/>
    <col min="8689" max="8689" width="8.42578125" style="1215" customWidth="1"/>
    <col min="8690" max="8690" width="7.42578125" style="1215" bestFit="1" customWidth="1"/>
    <col min="8691" max="8691" width="11.5703125" style="1215" bestFit="1" customWidth="1"/>
    <col min="8692" max="8692" width="8.42578125" style="1215" customWidth="1"/>
    <col min="8693" max="8693" width="13" style="1215" bestFit="1" customWidth="1"/>
    <col min="8694" max="8932" width="10.85546875" style="1215"/>
    <col min="8933" max="8933" width="8.5703125" style="1215" customWidth="1"/>
    <col min="8934" max="8934" width="50" style="1215" customWidth="1"/>
    <col min="8935" max="8935" width="6.42578125" style="1215" bestFit="1" customWidth="1"/>
    <col min="8936" max="8937" width="8.5703125" style="1215" customWidth="1"/>
    <col min="8938" max="8938" width="11.42578125" style="1215" bestFit="1" customWidth="1"/>
    <col min="8939" max="8939" width="7.5703125" style="1215" bestFit="1" customWidth="1"/>
    <col min="8940" max="8940" width="11.5703125" style="1215" bestFit="1" customWidth="1"/>
    <col min="8941" max="8941" width="8" style="1215" bestFit="1" customWidth="1"/>
    <col min="8942" max="8942" width="11.5703125" style="1215" bestFit="1" customWidth="1"/>
    <col min="8943" max="8943" width="8.42578125" style="1215" bestFit="1" customWidth="1"/>
    <col min="8944" max="8944" width="11.5703125" style="1215" bestFit="1" customWidth="1"/>
    <col min="8945" max="8945" width="8.42578125" style="1215" customWidth="1"/>
    <col min="8946" max="8946" width="7.42578125" style="1215" bestFit="1" customWidth="1"/>
    <col min="8947" max="8947" width="11.5703125" style="1215" bestFit="1" customWidth="1"/>
    <col min="8948" max="8948" width="8.42578125" style="1215" customWidth="1"/>
    <col min="8949" max="8949" width="13" style="1215" bestFit="1" customWidth="1"/>
    <col min="8950" max="9188" width="10.85546875" style="1215"/>
    <col min="9189" max="9189" width="8.5703125" style="1215" customWidth="1"/>
    <col min="9190" max="9190" width="50" style="1215" customWidth="1"/>
    <col min="9191" max="9191" width="6.42578125" style="1215" bestFit="1" customWidth="1"/>
    <col min="9192" max="9193" width="8.5703125" style="1215" customWidth="1"/>
    <col min="9194" max="9194" width="11.42578125" style="1215" bestFit="1" customWidth="1"/>
    <col min="9195" max="9195" width="7.5703125" style="1215" bestFit="1" customWidth="1"/>
    <col min="9196" max="9196" width="11.5703125" style="1215" bestFit="1" customWidth="1"/>
    <col min="9197" max="9197" width="8" style="1215" bestFit="1" customWidth="1"/>
    <col min="9198" max="9198" width="11.5703125" style="1215" bestFit="1" customWidth="1"/>
    <col min="9199" max="9199" width="8.42578125" style="1215" bestFit="1" customWidth="1"/>
    <col min="9200" max="9200" width="11.5703125" style="1215" bestFit="1" customWidth="1"/>
    <col min="9201" max="9201" width="8.42578125" style="1215" customWidth="1"/>
    <col min="9202" max="9202" width="7.42578125" style="1215" bestFit="1" customWidth="1"/>
    <col min="9203" max="9203" width="11.5703125" style="1215" bestFit="1" customWidth="1"/>
    <col min="9204" max="9204" width="8.42578125" style="1215" customWidth="1"/>
    <col min="9205" max="9205" width="13" style="1215" bestFit="1" customWidth="1"/>
    <col min="9206" max="9444" width="10.85546875" style="1215"/>
    <col min="9445" max="9445" width="8.5703125" style="1215" customWidth="1"/>
    <col min="9446" max="9446" width="50" style="1215" customWidth="1"/>
    <col min="9447" max="9447" width="6.42578125" style="1215" bestFit="1" customWidth="1"/>
    <col min="9448" max="9449" width="8.5703125" style="1215" customWidth="1"/>
    <col min="9450" max="9450" width="11.42578125" style="1215" bestFit="1" customWidth="1"/>
    <col min="9451" max="9451" width="7.5703125" style="1215" bestFit="1" customWidth="1"/>
    <col min="9452" max="9452" width="11.5703125" style="1215" bestFit="1" customWidth="1"/>
    <col min="9453" max="9453" width="8" style="1215" bestFit="1" customWidth="1"/>
    <col min="9454" max="9454" width="11.5703125" style="1215" bestFit="1" customWidth="1"/>
    <col min="9455" max="9455" width="8.42578125" style="1215" bestFit="1" customWidth="1"/>
    <col min="9456" max="9456" width="11.5703125" style="1215" bestFit="1" customWidth="1"/>
    <col min="9457" max="9457" width="8.42578125" style="1215" customWidth="1"/>
    <col min="9458" max="9458" width="7.42578125" style="1215" bestFit="1" customWidth="1"/>
    <col min="9459" max="9459" width="11.5703125" style="1215" bestFit="1" customWidth="1"/>
    <col min="9460" max="9460" width="8.42578125" style="1215" customWidth="1"/>
    <col min="9461" max="9461" width="13" style="1215" bestFit="1" customWidth="1"/>
    <col min="9462" max="9700" width="10.85546875" style="1215"/>
    <col min="9701" max="9701" width="8.5703125" style="1215" customWidth="1"/>
    <col min="9702" max="9702" width="50" style="1215" customWidth="1"/>
    <col min="9703" max="9703" width="6.42578125" style="1215" bestFit="1" customWidth="1"/>
    <col min="9704" max="9705" width="8.5703125" style="1215" customWidth="1"/>
    <col min="9706" max="9706" width="11.42578125" style="1215" bestFit="1" customWidth="1"/>
    <col min="9707" max="9707" width="7.5703125" style="1215" bestFit="1" customWidth="1"/>
    <col min="9708" max="9708" width="11.5703125" style="1215" bestFit="1" customWidth="1"/>
    <col min="9709" max="9709" width="8" style="1215" bestFit="1" customWidth="1"/>
    <col min="9710" max="9710" width="11.5703125" style="1215" bestFit="1" customWidth="1"/>
    <col min="9711" max="9711" width="8.42578125" style="1215" bestFit="1" customWidth="1"/>
    <col min="9712" max="9712" width="11.5703125" style="1215" bestFit="1" customWidth="1"/>
    <col min="9713" max="9713" width="8.42578125" style="1215" customWidth="1"/>
    <col min="9714" max="9714" width="7.42578125" style="1215" bestFit="1" customWidth="1"/>
    <col min="9715" max="9715" width="11.5703125" style="1215" bestFit="1" customWidth="1"/>
    <col min="9716" max="9716" width="8.42578125" style="1215" customWidth="1"/>
    <col min="9717" max="9717" width="13" style="1215" bestFit="1" customWidth="1"/>
    <col min="9718" max="9956" width="10.85546875" style="1215"/>
    <col min="9957" max="9957" width="8.5703125" style="1215" customWidth="1"/>
    <col min="9958" max="9958" width="50" style="1215" customWidth="1"/>
    <col min="9959" max="9959" width="6.42578125" style="1215" bestFit="1" customWidth="1"/>
    <col min="9960" max="9961" width="8.5703125" style="1215" customWidth="1"/>
    <col min="9962" max="9962" width="11.42578125" style="1215" bestFit="1" customWidth="1"/>
    <col min="9963" max="9963" width="7.5703125" style="1215" bestFit="1" customWidth="1"/>
    <col min="9964" max="9964" width="11.5703125" style="1215" bestFit="1" customWidth="1"/>
    <col min="9965" max="9965" width="8" style="1215" bestFit="1" customWidth="1"/>
    <col min="9966" max="9966" width="11.5703125" style="1215" bestFit="1" customWidth="1"/>
    <col min="9967" max="9967" width="8.42578125" style="1215" bestFit="1" customWidth="1"/>
    <col min="9968" max="9968" width="11.5703125" style="1215" bestFit="1" customWidth="1"/>
    <col min="9969" max="9969" width="8.42578125" style="1215" customWidth="1"/>
    <col min="9970" max="9970" width="7.42578125" style="1215" bestFit="1" customWidth="1"/>
    <col min="9971" max="9971" width="11.5703125" style="1215" bestFit="1" customWidth="1"/>
    <col min="9972" max="9972" width="8.42578125" style="1215" customWidth="1"/>
    <col min="9973" max="9973" width="13" style="1215" bestFit="1" customWidth="1"/>
    <col min="9974" max="10212" width="10.85546875" style="1215"/>
    <col min="10213" max="10213" width="8.5703125" style="1215" customWidth="1"/>
    <col min="10214" max="10214" width="50" style="1215" customWidth="1"/>
    <col min="10215" max="10215" width="6.42578125" style="1215" bestFit="1" customWidth="1"/>
    <col min="10216" max="10217" width="8.5703125" style="1215" customWidth="1"/>
    <col min="10218" max="10218" width="11.42578125" style="1215" bestFit="1" customWidth="1"/>
    <col min="10219" max="10219" width="7.5703125" style="1215" bestFit="1" customWidth="1"/>
    <col min="10220" max="10220" width="11.5703125" style="1215" bestFit="1" customWidth="1"/>
    <col min="10221" max="10221" width="8" style="1215" bestFit="1" customWidth="1"/>
    <col min="10222" max="10222" width="11.5703125" style="1215" bestFit="1" customWidth="1"/>
    <col min="10223" max="10223" width="8.42578125" style="1215" bestFit="1" customWidth="1"/>
    <col min="10224" max="10224" width="11.5703125" style="1215" bestFit="1" customWidth="1"/>
    <col min="10225" max="10225" width="8.42578125" style="1215" customWidth="1"/>
    <col min="10226" max="10226" width="7.42578125" style="1215" bestFit="1" customWidth="1"/>
    <col min="10227" max="10227" width="11.5703125" style="1215" bestFit="1" customWidth="1"/>
    <col min="10228" max="10228" width="8.42578125" style="1215" customWidth="1"/>
    <col min="10229" max="10229" width="13" style="1215" bestFit="1" customWidth="1"/>
    <col min="10230" max="10468" width="10.85546875" style="1215"/>
    <col min="10469" max="10469" width="8.5703125" style="1215" customWidth="1"/>
    <col min="10470" max="10470" width="50" style="1215" customWidth="1"/>
    <col min="10471" max="10471" width="6.42578125" style="1215" bestFit="1" customWidth="1"/>
    <col min="10472" max="10473" width="8.5703125" style="1215" customWidth="1"/>
    <col min="10474" max="10474" width="11.42578125" style="1215" bestFit="1" customWidth="1"/>
    <col min="10475" max="10475" width="7.5703125" style="1215" bestFit="1" customWidth="1"/>
    <col min="10476" max="10476" width="11.5703125" style="1215" bestFit="1" customWidth="1"/>
    <col min="10477" max="10477" width="8" style="1215" bestFit="1" customWidth="1"/>
    <col min="10478" max="10478" width="11.5703125" style="1215" bestFit="1" customWidth="1"/>
    <col min="10479" max="10479" width="8.42578125" style="1215" bestFit="1" customWidth="1"/>
    <col min="10480" max="10480" width="11.5703125" style="1215" bestFit="1" customWidth="1"/>
    <col min="10481" max="10481" width="8.42578125" style="1215" customWidth="1"/>
    <col min="10482" max="10482" width="7.42578125" style="1215" bestFit="1" customWidth="1"/>
    <col min="10483" max="10483" width="11.5703125" style="1215" bestFit="1" customWidth="1"/>
    <col min="10484" max="10484" width="8.42578125" style="1215" customWidth="1"/>
    <col min="10485" max="10485" width="13" style="1215" bestFit="1" customWidth="1"/>
    <col min="10486" max="10724" width="10.85546875" style="1215"/>
    <col min="10725" max="10725" width="8.5703125" style="1215" customWidth="1"/>
    <col min="10726" max="10726" width="50" style="1215" customWidth="1"/>
    <col min="10727" max="10727" width="6.42578125" style="1215" bestFit="1" customWidth="1"/>
    <col min="10728" max="10729" width="8.5703125" style="1215" customWidth="1"/>
    <col min="10730" max="10730" width="11.42578125" style="1215" bestFit="1" customWidth="1"/>
    <col min="10731" max="10731" width="7.5703125" style="1215" bestFit="1" customWidth="1"/>
    <col min="10732" max="10732" width="11.5703125" style="1215" bestFit="1" customWidth="1"/>
    <col min="10733" max="10733" width="8" style="1215" bestFit="1" customWidth="1"/>
    <col min="10734" max="10734" width="11.5703125" style="1215" bestFit="1" customWidth="1"/>
    <col min="10735" max="10735" width="8.42578125" style="1215" bestFit="1" customWidth="1"/>
    <col min="10736" max="10736" width="11.5703125" style="1215" bestFit="1" customWidth="1"/>
    <col min="10737" max="10737" width="8.42578125" style="1215" customWidth="1"/>
    <col min="10738" max="10738" width="7.42578125" style="1215" bestFit="1" customWidth="1"/>
    <col min="10739" max="10739" width="11.5703125" style="1215" bestFit="1" customWidth="1"/>
    <col min="10740" max="10740" width="8.42578125" style="1215" customWidth="1"/>
    <col min="10741" max="10741" width="13" style="1215" bestFit="1" customWidth="1"/>
    <col min="10742" max="10980" width="10.85546875" style="1215"/>
    <col min="10981" max="10981" width="8.5703125" style="1215" customWidth="1"/>
    <col min="10982" max="10982" width="50" style="1215" customWidth="1"/>
    <col min="10983" max="10983" width="6.42578125" style="1215" bestFit="1" customWidth="1"/>
    <col min="10984" max="10985" width="8.5703125" style="1215" customWidth="1"/>
    <col min="10986" max="10986" width="11.42578125" style="1215" bestFit="1" customWidth="1"/>
    <col min="10987" max="10987" width="7.5703125" style="1215" bestFit="1" customWidth="1"/>
    <col min="10988" max="10988" width="11.5703125" style="1215" bestFit="1" customWidth="1"/>
    <col min="10989" max="10989" width="8" style="1215" bestFit="1" customWidth="1"/>
    <col min="10990" max="10990" width="11.5703125" style="1215" bestFit="1" customWidth="1"/>
    <col min="10991" max="10991" width="8.42578125" style="1215" bestFit="1" customWidth="1"/>
    <col min="10992" max="10992" width="11.5703125" style="1215" bestFit="1" customWidth="1"/>
    <col min="10993" max="10993" width="8.42578125" style="1215" customWidth="1"/>
    <col min="10994" max="10994" width="7.42578125" style="1215" bestFit="1" customWidth="1"/>
    <col min="10995" max="10995" width="11.5703125" style="1215" bestFit="1" customWidth="1"/>
    <col min="10996" max="10996" width="8.42578125" style="1215" customWidth="1"/>
    <col min="10997" max="10997" width="13" style="1215" bestFit="1" customWidth="1"/>
    <col min="10998" max="11236" width="10.85546875" style="1215"/>
    <col min="11237" max="11237" width="8.5703125" style="1215" customWidth="1"/>
    <col min="11238" max="11238" width="50" style="1215" customWidth="1"/>
    <col min="11239" max="11239" width="6.42578125" style="1215" bestFit="1" customWidth="1"/>
    <col min="11240" max="11241" width="8.5703125" style="1215" customWidth="1"/>
    <col min="11242" max="11242" width="11.42578125" style="1215" bestFit="1" customWidth="1"/>
    <col min="11243" max="11243" width="7.5703125" style="1215" bestFit="1" customWidth="1"/>
    <col min="11244" max="11244" width="11.5703125" style="1215" bestFit="1" customWidth="1"/>
    <col min="11245" max="11245" width="8" style="1215" bestFit="1" customWidth="1"/>
    <col min="11246" max="11246" width="11.5703125" style="1215" bestFit="1" customWidth="1"/>
    <col min="11247" max="11247" width="8.42578125" style="1215" bestFit="1" customWidth="1"/>
    <col min="11248" max="11248" width="11.5703125" style="1215" bestFit="1" customWidth="1"/>
    <col min="11249" max="11249" width="8.42578125" style="1215" customWidth="1"/>
    <col min="11250" max="11250" width="7.42578125" style="1215" bestFit="1" customWidth="1"/>
    <col min="11251" max="11251" width="11.5703125" style="1215" bestFit="1" customWidth="1"/>
    <col min="11252" max="11252" width="8.42578125" style="1215" customWidth="1"/>
    <col min="11253" max="11253" width="13" style="1215" bestFit="1" customWidth="1"/>
    <col min="11254" max="11492" width="10.85546875" style="1215"/>
    <col min="11493" max="11493" width="8.5703125" style="1215" customWidth="1"/>
    <col min="11494" max="11494" width="50" style="1215" customWidth="1"/>
    <col min="11495" max="11495" width="6.42578125" style="1215" bestFit="1" customWidth="1"/>
    <col min="11496" max="11497" width="8.5703125" style="1215" customWidth="1"/>
    <col min="11498" max="11498" width="11.42578125" style="1215" bestFit="1" customWidth="1"/>
    <col min="11499" max="11499" width="7.5703125" style="1215" bestFit="1" customWidth="1"/>
    <col min="11500" max="11500" width="11.5703125" style="1215" bestFit="1" customWidth="1"/>
    <col min="11501" max="11501" width="8" style="1215" bestFit="1" customWidth="1"/>
    <col min="11502" max="11502" width="11.5703125" style="1215" bestFit="1" customWidth="1"/>
    <col min="11503" max="11503" width="8.42578125" style="1215" bestFit="1" customWidth="1"/>
    <col min="11504" max="11504" width="11.5703125" style="1215" bestFit="1" customWidth="1"/>
    <col min="11505" max="11505" width="8.42578125" style="1215" customWidth="1"/>
    <col min="11506" max="11506" width="7.42578125" style="1215" bestFit="1" customWidth="1"/>
    <col min="11507" max="11507" width="11.5703125" style="1215" bestFit="1" customWidth="1"/>
    <col min="11508" max="11508" width="8.42578125" style="1215" customWidth="1"/>
    <col min="11509" max="11509" width="13" style="1215" bestFit="1" customWidth="1"/>
    <col min="11510" max="11748" width="10.85546875" style="1215"/>
    <col min="11749" max="11749" width="8.5703125" style="1215" customWidth="1"/>
    <col min="11750" max="11750" width="50" style="1215" customWidth="1"/>
    <col min="11751" max="11751" width="6.42578125" style="1215" bestFit="1" customWidth="1"/>
    <col min="11752" max="11753" width="8.5703125" style="1215" customWidth="1"/>
    <col min="11754" max="11754" width="11.42578125" style="1215" bestFit="1" customWidth="1"/>
    <col min="11755" max="11755" width="7.5703125" style="1215" bestFit="1" customWidth="1"/>
    <col min="11756" max="11756" width="11.5703125" style="1215" bestFit="1" customWidth="1"/>
    <col min="11757" max="11757" width="8" style="1215" bestFit="1" customWidth="1"/>
    <col min="11758" max="11758" width="11.5703125" style="1215" bestFit="1" customWidth="1"/>
    <col min="11759" max="11759" width="8.42578125" style="1215" bestFit="1" customWidth="1"/>
    <col min="11760" max="11760" width="11.5703125" style="1215" bestFit="1" customWidth="1"/>
    <col min="11761" max="11761" width="8.42578125" style="1215" customWidth="1"/>
    <col min="11762" max="11762" width="7.42578125" style="1215" bestFit="1" customWidth="1"/>
    <col min="11763" max="11763" width="11.5703125" style="1215" bestFit="1" customWidth="1"/>
    <col min="11764" max="11764" width="8.42578125" style="1215" customWidth="1"/>
    <col min="11765" max="11765" width="13" style="1215" bestFit="1" customWidth="1"/>
    <col min="11766" max="12004" width="10.85546875" style="1215"/>
    <col min="12005" max="12005" width="8.5703125" style="1215" customWidth="1"/>
    <col min="12006" max="12006" width="50" style="1215" customWidth="1"/>
    <col min="12007" max="12007" width="6.42578125" style="1215" bestFit="1" customWidth="1"/>
    <col min="12008" max="12009" width="8.5703125" style="1215" customWidth="1"/>
    <col min="12010" max="12010" width="11.42578125" style="1215" bestFit="1" customWidth="1"/>
    <col min="12011" max="12011" width="7.5703125" style="1215" bestFit="1" customWidth="1"/>
    <col min="12012" max="12012" width="11.5703125" style="1215" bestFit="1" customWidth="1"/>
    <col min="12013" max="12013" width="8" style="1215" bestFit="1" customWidth="1"/>
    <col min="12014" max="12014" width="11.5703125" style="1215" bestFit="1" customWidth="1"/>
    <col min="12015" max="12015" width="8.42578125" style="1215" bestFit="1" customWidth="1"/>
    <col min="12016" max="12016" width="11.5703125" style="1215" bestFit="1" customWidth="1"/>
    <col min="12017" max="12017" width="8.42578125" style="1215" customWidth="1"/>
    <col min="12018" max="12018" width="7.42578125" style="1215" bestFit="1" customWidth="1"/>
    <col min="12019" max="12019" width="11.5703125" style="1215" bestFit="1" customWidth="1"/>
    <col min="12020" max="12020" width="8.42578125" style="1215" customWidth="1"/>
    <col min="12021" max="12021" width="13" style="1215" bestFit="1" customWidth="1"/>
    <col min="12022" max="12260" width="10.85546875" style="1215"/>
    <col min="12261" max="12261" width="8.5703125" style="1215" customWidth="1"/>
    <col min="12262" max="12262" width="50" style="1215" customWidth="1"/>
    <col min="12263" max="12263" width="6.42578125" style="1215" bestFit="1" customWidth="1"/>
    <col min="12264" max="12265" width="8.5703125" style="1215" customWidth="1"/>
    <col min="12266" max="12266" width="11.42578125" style="1215" bestFit="1" customWidth="1"/>
    <col min="12267" max="12267" width="7.5703125" style="1215" bestFit="1" customWidth="1"/>
    <col min="12268" max="12268" width="11.5703125" style="1215" bestFit="1" customWidth="1"/>
    <col min="12269" max="12269" width="8" style="1215" bestFit="1" customWidth="1"/>
    <col min="12270" max="12270" width="11.5703125" style="1215" bestFit="1" customWidth="1"/>
    <col min="12271" max="12271" width="8.42578125" style="1215" bestFit="1" customWidth="1"/>
    <col min="12272" max="12272" width="11.5703125" style="1215" bestFit="1" customWidth="1"/>
    <col min="12273" max="12273" width="8.42578125" style="1215" customWidth="1"/>
    <col min="12274" max="12274" width="7.42578125" style="1215" bestFit="1" customWidth="1"/>
    <col min="12275" max="12275" width="11.5703125" style="1215" bestFit="1" customWidth="1"/>
    <col min="12276" max="12276" width="8.42578125" style="1215" customWidth="1"/>
    <col min="12277" max="12277" width="13" style="1215" bestFit="1" customWidth="1"/>
    <col min="12278" max="12516" width="10.85546875" style="1215"/>
    <col min="12517" max="12517" width="8.5703125" style="1215" customWidth="1"/>
    <col min="12518" max="12518" width="50" style="1215" customWidth="1"/>
    <col min="12519" max="12519" width="6.42578125" style="1215" bestFit="1" customWidth="1"/>
    <col min="12520" max="12521" width="8.5703125" style="1215" customWidth="1"/>
    <col min="12522" max="12522" width="11.42578125" style="1215" bestFit="1" customWidth="1"/>
    <col min="12523" max="12523" width="7.5703125" style="1215" bestFit="1" customWidth="1"/>
    <col min="12524" max="12524" width="11.5703125" style="1215" bestFit="1" customWidth="1"/>
    <col min="12525" max="12525" width="8" style="1215" bestFit="1" customWidth="1"/>
    <col min="12526" max="12526" width="11.5703125" style="1215" bestFit="1" customWidth="1"/>
    <col min="12527" max="12527" width="8.42578125" style="1215" bestFit="1" customWidth="1"/>
    <col min="12528" max="12528" width="11.5703125" style="1215" bestFit="1" customWidth="1"/>
    <col min="12529" max="12529" width="8.42578125" style="1215" customWidth="1"/>
    <col min="12530" max="12530" width="7.42578125" style="1215" bestFit="1" customWidth="1"/>
    <col min="12531" max="12531" width="11.5703125" style="1215" bestFit="1" customWidth="1"/>
    <col min="12532" max="12532" width="8.42578125" style="1215" customWidth="1"/>
    <col min="12533" max="12533" width="13" style="1215" bestFit="1" customWidth="1"/>
    <col min="12534" max="12772" width="10.85546875" style="1215"/>
    <col min="12773" max="12773" width="8.5703125" style="1215" customWidth="1"/>
    <col min="12774" max="12774" width="50" style="1215" customWidth="1"/>
    <col min="12775" max="12775" width="6.42578125" style="1215" bestFit="1" customWidth="1"/>
    <col min="12776" max="12777" width="8.5703125" style="1215" customWidth="1"/>
    <col min="12778" max="12778" width="11.42578125" style="1215" bestFit="1" customWidth="1"/>
    <col min="12779" max="12779" width="7.5703125" style="1215" bestFit="1" customWidth="1"/>
    <col min="12780" max="12780" width="11.5703125" style="1215" bestFit="1" customWidth="1"/>
    <col min="12781" max="12781" width="8" style="1215" bestFit="1" customWidth="1"/>
    <col min="12782" max="12782" width="11.5703125" style="1215" bestFit="1" customWidth="1"/>
    <col min="12783" max="12783" width="8.42578125" style="1215" bestFit="1" customWidth="1"/>
    <col min="12784" max="12784" width="11.5703125" style="1215" bestFit="1" customWidth="1"/>
    <col min="12785" max="12785" width="8.42578125" style="1215" customWidth="1"/>
    <col min="12786" max="12786" width="7.42578125" style="1215" bestFit="1" customWidth="1"/>
    <col min="12787" max="12787" width="11.5703125" style="1215" bestFit="1" customWidth="1"/>
    <col min="12788" max="12788" width="8.42578125" style="1215" customWidth="1"/>
    <col min="12789" max="12789" width="13" style="1215" bestFit="1" customWidth="1"/>
    <col min="12790" max="13028" width="10.85546875" style="1215"/>
    <col min="13029" max="13029" width="8.5703125" style="1215" customWidth="1"/>
    <col min="13030" max="13030" width="50" style="1215" customWidth="1"/>
    <col min="13031" max="13031" width="6.42578125" style="1215" bestFit="1" customWidth="1"/>
    <col min="13032" max="13033" width="8.5703125" style="1215" customWidth="1"/>
    <col min="13034" max="13034" width="11.42578125" style="1215" bestFit="1" customWidth="1"/>
    <col min="13035" max="13035" width="7.5703125" style="1215" bestFit="1" customWidth="1"/>
    <col min="13036" max="13036" width="11.5703125" style="1215" bestFit="1" customWidth="1"/>
    <col min="13037" max="13037" width="8" style="1215" bestFit="1" customWidth="1"/>
    <col min="13038" max="13038" width="11.5703125" style="1215" bestFit="1" customWidth="1"/>
    <col min="13039" max="13039" width="8.42578125" style="1215" bestFit="1" customWidth="1"/>
    <col min="13040" max="13040" width="11.5703125" style="1215" bestFit="1" customWidth="1"/>
    <col min="13041" max="13041" width="8.42578125" style="1215" customWidth="1"/>
    <col min="13042" max="13042" width="7.42578125" style="1215" bestFit="1" customWidth="1"/>
    <col min="13043" max="13043" width="11.5703125" style="1215" bestFit="1" customWidth="1"/>
    <col min="13044" max="13044" width="8.42578125" style="1215" customWidth="1"/>
    <col min="13045" max="13045" width="13" style="1215" bestFit="1" customWidth="1"/>
    <col min="13046" max="13284" width="10.85546875" style="1215"/>
    <col min="13285" max="13285" width="8.5703125" style="1215" customWidth="1"/>
    <col min="13286" max="13286" width="50" style="1215" customWidth="1"/>
    <col min="13287" max="13287" width="6.42578125" style="1215" bestFit="1" customWidth="1"/>
    <col min="13288" max="13289" width="8.5703125" style="1215" customWidth="1"/>
    <col min="13290" max="13290" width="11.42578125" style="1215" bestFit="1" customWidth="1"/>
    <col min="13291" max="13291" width="7.5703125" style="1215" bestFit="1" customWidth="1"/>
    <col min="13292" max="13292" width="11.5703125" style="1215" bestFit="1" customWidth="1"/>
    <col min="13293" max="13293" width="8" style="1215" bestFit="1" customWidth="1"/>
    <col min="13294" max="13294" width="11.5703125" style="1215" bestFit="1" customWidth="1"/>
    <col min="13295" max="13295" width="8.42578125" style="1215" bestFit="1" customWidth="1"/>
    <col min="13296" max="13296" width="11.5703125" style="1215" bestFit="1" customWidth="1"/>
    <col min="13297" max="13297" width="8.42578125" style="1215" customWidth="1"/>
    <col min="13298" max="13298" width="7.42578125" style="1215" bestFit="1" customWidth="1"/>
    <col min="13299" max="13299" width="11.5703125" style="1215" bestFit="1" customWidth="1"/>
    <col min="13300" max="13300" width="8.42578125" style="1215" customWidth="1"/>
    <col min="13301" max="13301" width="13" style="1215" bestFit="1" customWidth="1"/>
    <col min="13302" max="13540" width="10.85546875" style="1215"/>
    <col min="13541" max="13541" width="8.5703125" style="1215" customWidth="1"/>
    <col min="13542" max="13542" width="50" style="1215" customWidth="1"/>
    <col min="13543" max="13543" width="6.42578125" style="1215" bestFit="1" customWidth="1"/>
    <col min="13544" max="13545" width="8.5703125" style="1215" customWidth="1"/>
    <col min="13546" max="13546" width="11.42578125" style="1215" bestFit="1" customWidth="1"/>
    <col min="13547" max="13547" width="7.5703125" style="1215" bestFit="1" customWidth="1"/>
    <col min="13548" max="13548" width="11.5703125" style="1215" bestFit="1" customWidth="1"/>
    <col min="13549" max="13549" width="8" style="1215" bestFit="1" customWidth="1"/>
    <col min="13550" max="13550" width="11.5703125" style="1215" bestFit="1" customWidth="1"/>
    <col min="13551" max="13551" width="8.42578125" style="1215" bestFit="1" customWidth="1"/>
    <col min="13552" max="13552" width="11.5703125" style="1215" bestFit="1" customWidth="1"/>
    <col min="13553" max="13553" width="8.42578125" style="1215" customWidth="1"/>
    <col min="13554" max="13554" width="7.42578125" style="1215" bestFit="1" customWidth="1"/>
    <col min="13555" max="13555" width="11.5703125" style="1215" bestFit="1" customWidth="1"/>
    <col min="13556" max="13556" width="8.42578125" style="1215" customWidth="1"/>
    <col min="13557" max="13557" width="13" style="1215" bestFit="1" customWidth="1"/>
    <col min="13558" max="13796" width="10.85546875" style="1215"/>
    <col min="13797" max="13797" width="8.5703125" style="1215" customWidth="1"/>
    <col min="13798" max="13798" width="50" style="1215" customWidth="1"/>
    <col min="13799" max="13799" width="6.42578125" style="1215" bestFit="1" customWidth="1"/>
    <col min="13800" max="13801" width="8.5703125" style="1215" customWidth="1"/>
    <col min="13802" max="13802" width="11.42578125" style="1215" bestFit="1" customWidth="1"/>
    <col min="13803" max="13803" width="7.5703125" style="1215" bestFit="1" customWidth="1"/>
    <col min="13804" max="13804" width="11.5703125" style="1215" bestFit="1" customWidth="1"/>
    <col min="13805" max="13805" width="8" style="1215" bestFit="1" customWidth="1"/>
    <col min="13806" max="13806" width="11.5703125" style="1215" bestFit="1" customWidth="1"/>
    <col min="13807" max="13807" width="8.42578125" style="1215" bestFit="1" customWidth="1"/>
    <col min="13808" max="13808" width="11.5703125" style="1215" bestFit="1" customWidth="1"/>
    <col min="13809" max="13809" width="8.42578125" style="1215" customWidth="1"/>
    <col min="13810" max="13810" width="7.42578125" style="1215" bestFit="1" customWidth="1"/>
    <col min="13811" max="13811" width="11.5703125" style="1215" bestFit="1" customWidth="1"/>
    <col min="13812" max="13812" width="8.42578125" style="1215" customWidth="1"/>
    <col min="13813" max="13813" width="13" style="1215" bestFit="1" customWidth="1"/>
    <col min="13814" max="14052" width="10.85546875" style="1215"/>
    <col min="14053" max="14053" width="8.5703125" style="1215" customWidth="1"/>
    <col min="14054" max="14054" width="50" style="1215" customWidth="1"/>
    <col min="14055" max="14055" width="6.42578125" style="1215" bestFit="1" customWidth="1"/>
    <col min="14056" max="14057" width="8.5703125" style="1215" customWidth="1"/>
    <col min="14058" max="14058" width="11.42578125" style="1215" bestFit="1" customWidth="1"/>
    <col min="14059" max="14059" width="7.5703125" style="1215" bestFit="1" customWidth="1"/>
    <col min="14060" max="14060" width="11.5703125" style="1215" bestFit="1" customWidth="1"/>
    <col min="14061" max="14061" width="8" style="1215" bestFit="1" customWidth="1"/>
    <col min="14062" max="14062" width="11.5703125" style="1215" bestFit="1" customWidth="1"/>
    <col min="14063" max="14063" width="8.42578125" style="1215" bestFit="1" customWidth="1"/>
    <col min="14064" max="14064" width="11.5703125" style="1215" bestFit="1" customWidth="1"/>
    <col min="14065" max="14065" width="8.42578125" style="1215" customWidth="1"/>
    <col min="14066" max="14066" width="7.42578125" style="1215" bestFit="1" customWidth="1"/>
    <col min="14067" max="14067" width="11.5703125" style="1215" bestFit="1" customWidth="1"/>
    <col min="14068" max="14068" width="8.42578125" style="1215" customWidth="1"/>
    <col min="14069" max="14069" width="13" style="1215" bestFit="1" customWidth="1"/>
    <col min="14070" max="14308" width="10.85546875" style="1215"/>
    <col min="14309" max="14309" width="8.5703125" style="1215" customWidth="1"/>
    <col min="14310" max="14310" width="50" style="1215" customWidth="1"/>
    <col min="14311" max="14311" width="6.42578125" style="1215" bestFit="1" customWidth="1"/>
    <col min="14312" max="14313" width="8.5703125" style="1215" customWidth="1"/>
    <col min="14314" max="14314" width="11.42578125" style="1215" bestFit="1" customWidth="1"/>
    <col min="14315" max="14315" width="7.5703125" style="1215" bestFit="1" customWidth="1"/>
    <col min="14316" max="14316" width="11.5703125" style="1215" bestFit="1" customWidth="1"/>
    <col min="14317" max="14317" width="8" style="1215" bestFit="1" customWidth="1"/>
    <col min="14318" max="14318" width="11.5703125" style="1215" bestFit="1" customWidth="1"/>
    <col min="14319" max="14319" width="8.42578125" style="1215" bestFit="1" customWidth="1"/>
    <col min="14320" max="14320" width="11.5703125" style="1215" bestFit="1" customWidth="1"/>
    <col min="14321" max="14321" width="8.42578125" style="1215" customWidth="1"/>
    <col min="14322" max="14322" width="7.42578125" style="1215" bestFit="1" customWidth="1"/>
    <col min="14323" max="14323" width="11.5703125" style="1215" bestFit="1" customWidth="1"/>
    <col min="14324" max="14324" width="8.42578125" style="1215" customWidth="1"/>
    <col min="14325" max="14325" width="13" style="1215" bestFit="1" customWidth="1"/>
    <col min="14326" max="14564" width="10.85546875" style="1215"/>
    <col min="14565" max="14565" width="8.5703125" style="1215" customWidth="1"/>
    <col min="14566" max="14566" width="50" style="1215" customWidth="1"/>
    <col min="14567" max="14567" width="6.42578125" style="1215" bestFit="1" customWidth="1"/>
    <col min="14568" max="14569" width="8.5703125" style="1215" customWidth="1"/>
    <col min="14570" max="14570" width="11.42578125" style="1215" bestFit="1" customWidth="1"/>
    <col min="14571" max="14571" width="7.5703125" style="1215" bestFit="1" customWidth="1"/>
    <col min="14572" max="14572" width="11.5703125" style="1215" bestFit="1" customWidth="1"/>
    <col min="14573" max="14573" width="8" style="1215" bestFit="1" customWidth="1"/>
    <col min="14574" max="14574" width="11.5703125" style="1215" bestFit="1" customWidth="1"/>
    <col min="14575" max="14575" width="8.42578125" style="1215" bestFit="1" customWidth="1"/>
    <col min="14576" max="14576" width="11.5703125" style="1215" bestFit="1" customWidth="1"/>
    <col min="14577" max="14577" width="8.42578125" style="1215" customWidth="1"/>
    <col min="14578" max="14578" width="7.42578125" style="1215" bestFit="1" customWidth="1"/>
    <col min="14579" max="14579" width="11.5703125" style="1215" bestFit="1" customWidth="1"/>
    <col min="14580" max="14580" width="8.42578125" style="1215" customWidth="1"/>
    <col min="14581" max="14581" width="13" style="1215" bestFit="1" customWidth="1"/>
    <col min="14582" max="14820" width="10.85546875" style="1215"/>
    <col min="14821" max="14821" width="8.5703125" style="1215" customWidth="1"/>
    <col min="14822" max="14822" width="50" style="1215" customWidth="1"/>
    <col min="14823" max="14823" width="6.42578125" style="1215" bestFit="1" customWidth="1"/>
    <col min="14824" max="14825" width="8.5703125" style="1215" customWidth="1"/>
    <col min="14826" max="14826" width="11.42578125" style="1215" bestFit="1" customWidth="1"/>
    <col min="14827" max="14827" width="7.5703125" style="1215" bestFit="1" customWidth="1"/>
    <col min="14828" max="14828" width="11.5703125" style="1215" bestFit="1" customWidth="1"/>
    <col min="14829" max="14829" width="8" style="1215" bestFit="1" customWidth="1"/>
    <col min="14830" max="14830" width="11.5703125" style="1215" bestFit="1" customWidth="1"/>
    <col min="14831" max="14831" width="8.42578125" style="1215" bestFit="1" customWidth="1"/>
    <col min="14832" max="14832" width="11.5703125" style="1215" bestFit="1" customWidth="1"/>
    <col min="14833" max="14833" width="8.42578125" style="1215" customWidth="1"/>
    <col min="14834" max="14834" width="7.42578125" style="1215" bestFit="1" customWidth="1"/>
    <col min="14835" max="14835" width="11.5703125" style="1215" bestFit="1" customWidth="1"/>
    <col min="14836" max="14836" width="8.42578125" style="1215" customWidth="1"/>
    <col min="14837" max="14837" width="13" style="1215" bestFit="1" customWidth="1"/>
    <col min="14838" max="15076" width="10.85546875" style="1215"/>
    <col min="15077" max="15077" width="8.5703125" style="1215" customWidth="1"/>
    <col min="15078" max="15078" width="50" style="1215" customWidth="1"/>
    <col min="15079" max="15079" width="6.42578125" style="1215" bestFit="1" customWidth="1"/>
    <col min="15080" max="15081" width="8.5703125" style="1215" customWidth="1"/>
    <col min="15082" max="15082" width="11.42578125" style="1215" bestFit="1" customWidth="1"/>
    <col min="15083" max="15083" width="7.5703125" style="1215" bestFit="1" customWidth="1"/>
    <col min="15084" max="15084" width="11.5703125" style="1215" bestFit="1" customWidth="1"/>
    <col min="15085" max="15085" width="8" style="1215" bestFit="1" customWidth="1"/>
    <col min="15086" max="15086" width="11.5703125" style="1215" bestFit="1" customWidth="1"/>
    <col min="15087" max="15087" width="8.42578125" style="1215" bestFit="1" customWidth="1"/>
    <col min="15088" max="15088" width="11.5703125" style="1215" bestFit="1" customWidth="1"/>
    <col min="15089" max="15089" width="8.42578125" style="1215" customWidth="1"/>
    <col min="15090" max="15090" width="7.42578125" style="1215" bestFit="1" customWidth="1"/>
    <col min="15091" max="15091" width="11.5703125" style="1215" bestFit="1" customWidth="1"/>
    <col min="15092" max="15092" width="8.42578125" style="1215" customWidth="1"/>
    <col min="15093" max="15093" width="13" style="1215" bestFit="1" customWidth="1"/>
    <col min="15094" max="15332" width="10.85546875" style="1215"/>
    <col min="15333" max="15333" width="8.5703125" style="1215" customWidth="1"/>
    <col min="15334" max="15334" width="50" style="1215" customWidth="1"/>
    <col min="15335" max="15335" width="6.42578125" style="1215" bestFit="1" customWidth="1"/>
    <col min="15336" max="15337" width="8.5703125" style="1215" customWidth="1"/>
    <col min="15338" max="15338" width="11.42578125" style="1215" bestFit="1" customWidth="1"/>
    <col min="15339" max="15339" width="7.5703125" style="1215" bestFit="1" customWidth="1"/>
    <col min="15340" max="15340" width="11.5703125" style="1215" bestFit="1" customWidth="1"/>
    <col min="15341" max="15341" width="8" style="1215" bestFit="1" customWidth="1"/>
    <col min="15342" max="15342" width="11.5703125" style="1215" bestFit="1" customWidth="1"/>
    <col min="15343" max="15343" width="8.42578125" style="1215" bestFit="1" customWidth="1"/>
    <col min="15344" max="15344" width="11.5703125" style="1215" bestFit="1" customWidth="1"/>
    <col min="15345" max="15345" width="8.42578125" style="1215" customWidth="1"/>
    <col min="15346" max="15346" width="7.42578125" style="1215" bestFit="1" customWidth="1"/>
    <col min="15347" max="15347" width="11.5703125" style="1215" bestFit="1" customWidth="1"/>
    <col min="15348" max="15348" width="8.42578125" style="1215" customWidth="1"/>
    <col min="15349" max="15349" width="13" style="1215" bestFit="1" customWidth="1"/>
    <col min="15350" max="15588" width="10.85546875" style="1215"/>
    <col min="15589" max="15589" width="8.5703125" style="1215" customWidth="1"/>
    <col min="15590" max="15590" width="50" style="1215" customWidth="1"/>
    <col min="15591" max="15591" width="6.42578125" style="1215" bestFit="1" customWidth="1"/>
    <col min="15592" max="15593" width="8.5703125" style="1215" customWidth="1"/>
    <col min="15594" max="15594" width="11.42578125" style="1215" bestFit="1" customWidth="1"/>
    <col min="15595" max="15595" width="7.5703125" style="1215" bestFit="1" customWidth="1"/>
    <col min="15596" max="15596" width="11.5703125" style="1215" bestFit="1" customWidth="1"/>
    <col min="15597" max="15597" width="8" style="1215" bestFit="1" customWidth="1"/>
    <col min="15598" max="15598" width="11.5703125" style="1215" bestFit="1" customWidth="1"/>
    <col min="15599" max="15599" width="8.42578125" style="1215" bestFit="1" customWidth="1"/>
    <col min="15600" max="15600" width="11.5703125" style="1215" bestFit="1" customWidth="1"/>
    <col min="15601" max="15601" width="8.42578125" style="1215" customWidth="1"/>
    <col min="15602" max="15602" width="7.42578125" style="1215" bestFit="1" customWidth="1"/>
    <col min="15603" max="15603" width="11.5703125" style="1215" bestFit="1" customWidth="1"/>
    <col min="15604" max="15604" width="8.42578125" style="1215" customWidth="1"/>
    <col min="15605" max="15605" width="13" style="1215" bestFit="1" customWidth="1"/>
    <col min="15606" max="15844" width="10.85546875" style="1215"/>
    <col min="15845" max="15845" width="8.5703125" style="1215" customWidth="1"/>
    <col min="15846" max="15846" width="50" style="1215" customWidth="1"/>
    <col min="15847" max="15847" width="6.42578125" style="1215" bestFit="1" customWidth="1"/>
    <col min="15848" max="15849" width="8.5703125" style="1215" customWidth="1"/>
    <col min="15850" max="15850" width="11.42578125" style="1215" bestFit="1" customWidth="1"/>
    <col min="15851" max="15851" width="7.5703125" style="1215" bestFit="1" customWidth="1"/>
    <col min="15852" max="15852" width="11.5703125" style="1215" bestFit="1" customWidth="1"/>
    <col min="15853" max="15853" width="8" style="1215" bestFit="1" customWidth="1"/>
    <col min="15854" max="15854" width="11.5703125" style="1215" bestFit="1" customWidth="1"/>
    <col min="15855" max="15855" width="8.42578125" style="1215" bestFit="1" customWidth="1"/>
    <col min="15856" max="15856" width="11.5703125" style="1215" bestFit="1" customWidth="1"/>
    <col min="15857" max="15857" width="8.42578125" style="1215" customWidth="1"/>
    <col min="15858" max="15858" width="7.42578125" style="1215" bestFit="1" customWidth="1"/>
    <col min="15859" max="15859" width="11.5703125" style="1215" bestFit="1" customWidth="1"/>
    <col min="15860" max="15860" width="8.42578125" style="1215" customWidth="1"/>
    <col min="15861" max="15861" width="13" style="1215" bestFit="1" customWidth="1"/>
    <col min="15862" max="16100" width="10.85546875" style="1215"/>
    <col min="16101" max="16101" width="8.5703125" style="1215" customWidth="1"/>
    <col min="16102" max="16102" width="50" style="1215" customWidth="1"/>
    <col min="16103" max="16103" width="6.42578125" style="1215" bestFit="1" customWidth="1"/>
    <col min="16104" max="16105" width="8.5703125" style="1215" customWidth="1"/>
    <col min="16106" max="16106" width="11.42578125" style="1215" bestFit="1" customWidth="1"/>
    <col min="16107" max="16107" width="7.5703125" style="1215" bestFit="1" customWidth="1"/>
    <col min="16108" max="16108" width="11.5703125" style="1215" bestFit="1" customWidth="1"/>
    <col min="16109" max="16109" width="8" style="1215" bestFit="1" customWidth="1"/>
    <col min="16110" max="16110" width="11.5703125" style="1215" bestFit="1" customWidth="1"/>
    <col min="16111" max="16111" width="8.42578125" style="1215" bestFit="1" customWidth="1"/>
    <col min="16112" max="16112" width="11.5703125" style="1215" bestFit="1" customWidth="1"/>
    <col min="16113" max="16113" width="8.42578125" style="1215" customWidth="1"/>
    <col min="16114" max="16114" width="7.42578125" style="1215" bestFit="1" customWidth="1"/>
    <col min="16115" max="16115" width="11.5703125" style="1215" bestFit="1" customWidth="1"/>
    <col min="16116" max="16116" width="8.42578125" style="1215" customWidth="1"/>
    <col min="16117" max="16117" width="13" style="1215" bestFit="1" customWidth="1"/>
    <col min="16118" max="16333" width="10.85546875" style="1215"/>
    <col min="16334" max="16383" width="11.5703125" style="1215" customWidth="1"/>
    <col min="16384" max="16384" width="11.5703125" style="1215"/>
  </cols>
  <sheetData>
    <row r="1" spans="2:10" ht="7.5" customHeight="1">
      <c r="C1" s="2154"/>
      <c r="D1" s="2154"/>
      <c r="E1" s="2154"/>
    </row>
    <row r="2" spans="2:10" ht="15">
      <c r="C2" s="1456" t="s">
        <v>2177</v>
      </c>
      <c r="D2" s="1448"/>
      <c r="E2" s="1448"/>
      <c r="F2" s="1457"/>
      <c r="G2" s="1461"/>
      <c r="H2" s="1448"/>
      <c r="I2" s="1448"/>
      <c r="J2" s="1448"/>
    </row>
    <row r="3" spans="2:10" ht="15">
      <c r="C3" s="1456"/>
      <c r="D3" s="1448"/>
      <c r="E3" s="1448"/>
      <c r="F3" s="1457"/>
      <c r="G3" s="1461"/>
      <c r="H3" s="1448"/>
      <c r="I3" s="1448"/>
      <c r="J3" s="1448"/>
    </row>
    <row r="4" spans="2:10" ht="15">
      <c r="C4" s="1456" t="s">
        <v>4326</v>
      </c>
      <c r="D4" s="1448"/>
      <c r="E4" s="1448"/>
      <c r="F4" s="1457"/>
      <c r="G4" s="1461"/>
      <c r="H4" s="1448"/>
      <c r="I4" s="1448"/>
      <c r="J4" s="1448"/>
    </row>
    <row r="5" spans="2:10" ht="15.75" thickBot="1">
      <c r="G5" s="1461"/>
    </row>
    <row r="6" spans="2:10" ht="13.35" customHeight="1">
      <c r="C6" s="3038" t="s">
        <v>20</v>
      </c>
      <c r="D6" s="3038" t="s">
        <v>21</v>
      </c>
      <c r="E6" s="3038" t="s">
        <v>4309</v>
      </c>
      <c r="F6" s="3038" t="s">
        <v>4323</v>
      </c>
      <c r="G6" s="1461"/>
    </row>
    <row r="7" spans="2:10" ht="13.35" customHeight="1">
      <c r="C7" s="3039"/>
      <c r="D7" s="3039"/>
      <c r="E7" s="3039"/>
      <c r="F7" s="3039"/>
      <c r="G7" s="1461"/>
    </row>
    <row r="8" spans="2:10" ht="12" customHeight="1">
      <c r="C8" s="3039"/>
      <c r="D8" s="3039"/>
      <c r="E8" s="3039"/>
      <c r="F8" s="3039"/>
      <c r="G8" s="1461"/>
    </row>
    <row r="9" spans="2:10" ht="28.5" customHeight="1" thickBot="1">
      <c r="C9" s="3040"/>
      <c r="D9" s="3040"/>
      <c r="E9" s="3040"/>
      <c r="F9" s="3040"/>
      <c r="G9" s="1461"/>
    </row>
    <row r="10" spans="2:10" s="1409" customFormat="1" ht="15" hidden="1">
      <c r="B10" s="2101" t="s">
        <v>3619</v>
      </c>
      <c r="C10" s="1531" t="s">
        <v>33</v>
      </c>
      <c r="D10" s="1532" t="s">
        <v>1131</v>
      </c>
      <c r="E10" s="1533"/>
      <c r="F10" s="2273"/>
      <c r="G10" s="1461"/>
    </row>
    <row r="11" spans="2:10" s="1410" customFormat="1" ht="15" hidden="1">
      <c r="B11" s="2102"/>
      <c r="C11" s="1263" t="s">
        <v>35</v>
      </c>
      <c r="D11" s="1264" t="s">
        <v>2827</v>
      </c>
      <c r="E11" s="1274"/>
      <c r="F11" s="2273"/>
      <c r="G11" s="1461"/>
    </row>
    <row r="12" spans="2:10" s="1410" customFormat="1" hidden="1">
      <c r="B12" s="2102"/>
      <c r="C12" s="1268" t="s">
        <v>536</v>
      </c>
      <c r="D12" s="1241" t="s">
        <v>2828</v>
      </c>
      <c r="E12" s="1245" t="s">
        <v>41</v>
      </c>
      <c r="F12" s="2273">
        <f>+'VAL. PRINC'!U16</f>
        <v>0</v>
      </c>
      <c r="G12" s="2249"/>
    </row>
    <row r="13" spans="2:10" s="1409" customFormat="1" hidden="1">
      <c r="B13" s="2101"/>
      <c r="C13" s="1263" t="s">
        <v>39</v>
      </c>
      <c r="D13" s="1264" t="s">
        <v>2829</v>
      </c>
      <c r="E13" s="1265"/>
      <c r="F13" s="2273"/>
      <c r="G13" s="2251"/>
    </row>
    <row r="14" spans="2:10" s="1409" customFormat="1" hidden="1">
      <c r="B14" s="2101"/>
      <c r="C14" s="1268" t="s">
        <v>541</v>
      </c>
      <c r="D14" s="1241" t="s">
        <v>2830</v>
      </c>
      <c r="E14" s="1245" t="s">
        <v>37</v>
      </c>
      <c r="F14" s="2273">
        <f>+'VAL. PRINC'!U18</f>
        <v>0</v>
      </c>
      <c r="G14" s="2249"/>
    </row>
    <row r="15" spans="2:10" s="1410" customFormat="1" hidden="1">
      <c r="B15" s="2102"/>
      <c r="C15" s="1268" t="s">
        <v>542</v>
      </c>
      <c r="D15" s="1241" t="s">
        <v>2831</v>
      </c>
      <c r="E15" s="1245" t="s">
        <v>37</v>
      </c>
      <c r="F15" s="2273">
        <f>+'VAL. PRINC'!U19</f>
        <v>0</v>
      </c>
      <c r="G15" s="2249"/>
    </row>
    <row r="16" spans="2:10" s="1409" customFormat="1" hidden="1">
      <c r="B16" s="2101"/>
      <c r="C16" s="1268" t="s">
        <v>543</v>
      </c>
      <c r="D16" s="1241" t="s">
        <v>2832</v>
      </c>
      <c r="E16" s="1245" t="s">
        <v>37</v>
      </c>
      <c r="F16" s="2273">
        <f>+'VAL. PRINC'!U20</f>
        <v>0</v>
      </c>
      <c r="G16" s="2249"/>
    </row>
    <row r="17" spans="2:7" s="1410" customFormat="1" hidden="1">
      <c r="B17" s="2102"/>
      <c r="C17" s="1268" t="s">
        <v>2241</v>
      </c>
      <c r="D17" s="1241" t="s">
        <v>2833</v>
      </c>
      <c r="E17" s="1245" t="s">
        <v>38</v>
      </c>
      <c r="F17" s="2273">
        <f>+'VAL. PRINC'!U21</f>
        <v>0</v>
      </c>
      <c r="G17" s="2249"/>
    </row>
    <row r="18" spans="2:7" s="1410" customFormat="1" hidden="1">
      <c r="B18" s="2102" t="s">
        <v>3619</v>
      </c>
      <c r="C18" s="1268" t="s">
        <v>2242</v>
      </c>
      <c r="D18" s="1241" t="s">
        <v>2834</v>
      </c>
      <c r="E18" s="1245" t="s">
        <v>1450</v>
      </c>
      <c r="F18" s="2273">
        <f>+'VAL. PRINC'!U22</f>
        <v>0</v>
      </c>
      <c r="G18" s="2249"/>
    </row>
    <row r="19" spans="2:7" s="1409" customFormat="1" hidden="1">
      <c r="B19" s="2101" t="s">
        <v>3619</v>
      </c>
      <c r="C19" s="1263" t="s">
        <v>544</v>
      </c>
      <c r="D19" s="1264" t="s">
        <v>2835</v>
      </c>
      <c r="E19" s="1265"/>
      <c r="F19" s="2273"/>
      <c r="G19" s="2251"/>
    </row>
    <row r="20" spans="2:7" s="1409" customFormat="1" hidden="1">
      <c r="B20" s="2101"/>
      <c r="C20" s="1268" t="s">
        <v>545</v>
      </c>
      <c r="D20" s="1241" t="s">
        <v>2836</v>
      </c>
      <c r="E20" s="1245" t="s">
        <v>41</v>
      </c>
      <c r="F20" s="2273">
        <f>+'VAL. PRINC'!U24</f>
        <v>0</v>
      </c>
      <c r="G20" s="2249"/>
    </row>
    <row r="21" spans="2:7" s="1410" customFormat="1" hidden="1">
      <c r="B21" s="2102" t="s">
        <v>3619</v>
      </c>
      <c r="C21" s="1268" t="s">
        <v>546</v>
      </c>
      <c r="D21" s="1241" t="s">
        <v>2837</v>
      </c>
      <c r="E21" s="1245" t="s">
        <v>41</v>
      </c>
      <c r="F21" s="2273">
        <f>+'VAL. PRINC'!U25</f>
        <v>0</v>
      </c>
      <c r="G21" s="2249"/>
    </row>
    <row r="22" spans="2:7" s="1410" customFormat="1" hidden="1">
      <c r="B22" s="2102" t="s">
        <v>3619</v>
      </c>
      <c r="C22" s="1268" t="s">
        <v>2243</v>
      </c>
      <c r="D22" s="1241" t="s">
        <v>2838</v>
      </c>
      <c r="E22" s="1245" t="s">
        <v>41</v>
      </c>
      <c r="F22" s="2273">
        <f>+'VAL. PRINC'!U26</f>
        <v>0</v>
      </c>
      <c r="G22" s="2249"/>
    </row>
    <row r="23" spans="2:7" s="1409" customFormat="1" hidden="1">
      <c r="B23" s="2101"/>
      <c r="C23" s="1268" t="s">
        <v>2244</v>
      </c>
      <c r="D23" s="1241" t="s">
        <v>2839</v>
      </c>
      <c r="E23" s="1245" t="s">
        <v>41</v>
      </c>
      <c r="F23" s="2273">
        <f>+'VAL. PRINC'!U27</f>
        <v>0</v>
      </c>
      <c r="G23" s="2249"/>
    </row>
    <row r="24" spans="2:7" s="1410" customFormat="1" hidden="1">
      <c r="B24" s="2102"/>
      <c r="C24" s="1263" t="s">
        <v>547</v>
      </c>
      <c r="D24" s="1264" t="s">
        <v>2840</v>
      </c>
      <c r="E24" s="1265"/>
      <c r="F24" s="2273"/>
      <c r="G24" s="2251"/>
    </row>
    <row r="25" spans="2:7" s="1410" customFormat="1" hidden="1">
      <c r="B25" s="2102"/>
      <c r="C25" s="1268" t="s">
        <v>548</v>
      </c>
      <c r="D25" s="1241" t="s">
        <v>2841</v>
      </c>
      <c r="E25" s="1245" t="s">
        <v>37</v>
      </c>
      <c r="F25" s="2273">
        <f>+'VAL. PRINC'!U29</f>
        <v>0</v>
      </c>
      <c r="G25" s="2249"/>
    </row>
    <row r="26" spans="2:7" s="1231" customFormat="1" hidden="1">
      <c r="B26" s="2103" t="s">
        <v>3619</v>
      </c>
      <c r="C26" s="1268" t="s">
        <v>549</v>
      </c>
      <c r="D26" s="1241" t="s">
        <v>2842</v>
      </c>
      <c r="E26" s="1245" t="s">
        <v>37</v>
      </c>
      <c r="F26" s="2273">
        <f>+'VAL. PRINC'!U30</f>
        <v>0</v>
      </c>
      <c r="G26" s="2249"/>
    </row>
    <row r="27" spans="2:7" s="1410" customFormat="1" hidden="1">
      <c r="B27" s="2102" t="s">
        <v>3619</v>
      </c>
      <c r="C27" s="1268" t="s">
        <v>2245</v>
      </c>
      <c r="D27" s="1241" t="s">
        <v>2843</v>
      </c>
      <c r="E27" s="1245" t="s">
        <v>37</v>
      </c>
      <c r="F27" s="2273">
        <f>+'VAL. PRINC'!U31</f>
        <v>0</v>
      </c>
      <c r="G27" s="2249"/>
    </row>
    <row r="28" spans="2:7" s="1231" customFormat="1" hidden="1">
      <c r="B28" s="2103" t="s">
        <v>3619</v>
      </c>
      <c r="C28" s="1263" t="s">
        <v>550</v>
      </c>
      <c r="D28" s="1264" t="s">
        <v>2844</v>
      </c>
      <c r="E28" s="1265"/>
      <c r="F28" s="2273"/>
      <c r="G28" s="2251"/>
    </row>
    <row r="29" spans="2:7" s="1231" customFormat="1" hidden="1">
      <c r="B29" s="2103" t="s">
        <v>3619</v>
      </c>
      <c r="C29" s="1268" t="s">
        <v>551</v>
      </c>
      <c r="D29" s="1241" t="s">
        <v>2845</v>
      </c>
      <c r="E29" s="1245" t="s">
        <v>36</v>
      </c>
      <c r="F29" s="2273">
        <f>+'VAL. PRINC'!U33</f>
        <v>0</v>
      </c>
      <c r="G29" s="2249"/>
    </row>
    <row r="30" spans="2:7" s="1410" customFormat="1" hidden="1">
      <c r="B30" s="2102" t="s">
        <v>3619</v>
      </c>
      <c r="C30" s="1268" t="s">
        <v>552</v>
      </c>
      <c r="D30" s="1241" t="s">
        <v>2846</v>
      </c>
      <c r="E30" s="1245" t="s">
        <v>36</v>
      </c>
      <c r="F30" s="2273">
        <f>+'VAL. PRINC'!U34</f>
        <v>0</v>
      </c>
      <c r="G30" s="2249"/>
    </row>
    <row r="31" spans="2:7" s="1410" customFormat="1" hidden="1">
      <c r="B31" s="2102"/>
      <c r="C31" s="1268" t="s">
        <v>553</v>
      </c>
      <c r="D31" s="1241" t="s">
        <v>2847</v>
      </c>
      <c r="E31" s="1245" t="s">
        <v>36</v>
      </c>
      <c r="F31" s="2273">
        <f>+'VAL. PRINC'!U35</f>
        <v>0</v>
      </c>
      <c r="G31" s="2249"/>
    </row>
    <row r="32" spans="2:7" s="1410" customFormat="1" hidden="1">
      <c r="B32" s="2102" t="s">
        <v>3619</v>
      </c>
      <c r="C32" s="1268" t="s">
        <v>554</v>
      </c>
      <c r="D32" s="1241" t="s">
        <v>2848</v>
      </c>
      <c r="E32" s="1245" t="s">
        <v>36</v>
      </c>
      <c r="F32" s="2273">
        <f>+'VAL. PRINC'!U36</f>
        <v>0</v>
      </c>
      <c r="G32" s="2249"/>
    </row>
    <row r="33" spans="2:7" s="1231" customFormat="1" hidden="1">
      <c r="B33" s="2103" t="s">
        <v>3619</v>
      </c>
      <c r="C33" s="1268" t="s">
        <v>555</v>
      </c>
      <c r="D33" s="1241" t="s">
        <v>2849</v>
      </c>
      <c r="E33" s="1245" t="s">
        <v>36</v>
      </c>
      <c r="F33" s="2273">
        <f>+'VAL. PRINC'!U37</f>
        <v>0</v>
      </c>
      <c r="G33" s="2249"/>
    </row>
    <row r="34" spans="2:7" s="1410" customFormat="1" hidden="1">
      <c r="B34" s="2102"/>
      <c r="C34" s="1268" t="s">
        <v>556</v>
      </c>
      <c r="D34" s="1241" t="s">
        <v>2850</v>
      </c>
      <c r="E34" s="1245" t="s">
        <v>36</v>
      </c>
      <c r="F34" s="2273">
        <f>+'VAL. PRINC'!U38</f>
        <v>0</v>
      </c>
      <c r="G34" s="2249"/>
    </row>
    <row r="35" spans="2:7" s="1410" customFormat="1" hidden="1">
      <c r="B35" s="2102"/>
      <c r="C35" s="1268" t="s">
        <v>2246</v>
      </c>
      <c r="D35" s="1241" t="s">
        <v>2851</v>
      </c>
      <c r="E35" s="1245" t="s">
        <v>37</v>
      </c>
      <c r="F35" s="2273">
        <f>+'VAL. PRINC'!U39</f>
        <v>0</v>
      </c>
      <c r="G35" s="2249"/>
    </row>
    <row r="36" spans="2:7" s="1409" customFormat="1" hidden="1">
      <c r="B36" s="2101" t="s">
        <v>3619</v>
      </c>
      <c r="C36" s="1268" t="s">
        <v>2247</v>
      </c>
      <c r="D36" s="1241" t="s">
        <v>2852</v>
      </c>
      <c r="E36" s="1245" t="s">
        <v>38</v>
      </c>
      <c r="F36" s="2273">
        <f>+'VAL. PRINC'!U40</f>
        <v>0</v>
      </c>
      <c r="G36" s="2249"/>
    </row>
    <row r="37" spans="2:7" s="1409" customFormat="1" hidden="1">
      <c r="B37" s="2101" t="s">
        <v>3619</v>
      </c>
      <c r="C37" s="1268" t="s">
        <v>2248</v>
      </c>
      <c r="D37" s="1241" t="s">
        <v>2853</v>
      </c>
      <c r="E37" s="1245" t="s">
        <v>36</v>
      </c>
      <c r="F37" s="2273">
        <f>+'VAL. PRINC'!U41</f>
        <v>0</v>
      </c>
      <c r="G37" s="2249"/>
    </row>
    <row r="38" spans="2:7" s="1410" customFormat="1" hidden="1">
      <c r="B38" s="2102" t="s">
        <v>3619</v>
      </c>
      <c r="C38" s="1268" t="s">
        <v>2249</v>
      </c>
      <c r="D38" s="1241" t="s">
        <v>2854</v>
      </c>
      <c r="E38" s="1245" t="s">
        <v>38</v>
      </c>
      <c r="F38" s="2273">
        <f>+'VAL. PRINC'!U42</f>
        <v>0</v>
      </c>
      <c r="G38" s="2249"/>
    </row>
    <row r="39" spans="2:7" s="1410" customFormat="1" hidden="1">
      <c r="B39" s="2102" t="s">
        <v>3619</v>
      </c>
      <c r="C39" s="1268" t="s">
        <v>2250</v>
      </c>
      <c r="D39" s="1241" t="s">
        <v>2855</v>
      </c>
      <c r="E39" s="1245" t="s">
        <v>36</v>
      </c>
      <c r="F39" s="2273">
        <f>+'VAL. PRINC'!U43</f>
        <v>0</v>
      </c>
      <c r="G39" s="2249"/>
    </row>
    <row r="40" spans="2:7" s="1410" customFormat="1" hidden="1">
      <c r="B40" s="2102" t="s">
        <v>3619</v>
      </c>
      <c r="C40" s="1268" t="s">
        <v>2251</v>
      </c>
      <c r="D40" s="1241" t="s">
        <v>2856</v>
      </c>
      <c r="E40" s="1245" t="s">
        <v>36</v>
      </c>
      <c r="F40" s="2273">
        <f>+'VAL. PRINC'!U44</f>
        <v>0</v>
      </c>
      <c r="G40" s="2249"/>
    </row>
    <row r="41" spans="2:7" s="1231" customFormat="1" hidden="1">
      <c r="B41" s="2103" t="s">
        <v>3619</v>
      </c>
      <c r="C41" s="1268" t="s">
        <v>2252</v>
      </c>
      <c r="D41" s="1241" t="s">
        <v>2857</v>
      </c>
      <c r="E41" s="1245" t="s">
        <v>36</v>
      </c>
      <c r="F41" s="2273">
        <f>+'VAL. PRINC'!U45</f>
        <v>0</v>
      </c>
      <c r="G41" s="2249"/>
    </row>
    <row r="42" spans="2:7" s="1409" customFormat="1" hidden="1">
      <c r="B42" s="2101"/>
      <c r="C42" s="1268" t="s">
        <v>2253</v>
      </c>
      <c r="D42" s="1241" t="s">
        <v>2858</v>
      </c>
      <c r="E42" s="1245" t="s">
        <v>36</v>
      </c>
      <c r="F42" s="2273">
        <f>+'VAL. PRINC'!U46</f>
        <v>0</v>
      </c>
      <c r="G42" s="2249"/>
    </row>
    <row r="43" spans="2:7" s="1410" customFormat="1" hidden="1">
      <c r="B43" s="2102"/>
      <c r="C43" s="1268" t="s">
        <v>2254</v>
      </c>
      <c r="D43" s="1241" t="s">
        <v>2859</v>
      </c>
      <c r="E43" s="1245" t="s">
        <v>36</v>
      </c>
      <c r="F43" s="2273">
        <f>+'VAL. PRINC'!U47</f>
        <v>0</v>
      </c>
      <c r="G43" s="2249"/>
    </row>
    <row r="44" spans="2:7" s="1410" customFormat="1" hidden="1">
      <c r="B44" s="2102"/>
      <c r="C44" s="1268" t="s">
        <v>2255</v>
      </c>
      <c r="D44" s="1241" t="s">
        <v>2860</v>
      </c>
      <c r="E44" s="1245" t="s">
        <v>36</v>
      </c>
      <c r="F44" s="2273">
        <f>+'VAL. PRINC'!U48</f>
        <v>0</v>
      </c>
      <c r="G44" s="2249"/>
    </row>
    <row r="45" spans="2:7" s="1410" customFormat="1" hidden="1">
      <c r="B45" s="2102"/>
      <c r="C45" s="1268" t="s">
        <v>2256</v>
      </c>
      <c r="D45" s="1241" t="s">
        <v>2861</v>
      </c>
      <c r="E45" s="1245" t="s">
        <v>38</v>
      </c>
      <c r="F45" s="2273">
        <f>+'VAL. PRINC'!U49</f>
        <v>0</v>
      </c>
      <c r="G45" s="2249"/>
    </row>
    <row r="46" spans="2:7" s="1410" customFormat="1" hidden="1">
      <c r="B46" s="2102"/>
      <c r="C46" s="1268" t="s">
        <v>2257</v>
      </c>
      <c r="D46" s="1241" t="s">
        <v>2862</v>
      </c>
      <c r="E46" s="1245" t="s">
        <v>36</v>
      </c>
      <c r="F46" s="2273">
        <f>+'VAL. PRINC'!U50</f>
        <v>0</v>
      </c>
      <c r="G46" s="2249"/>
    </row>
    <row r="47" spans="2:7" s="1409" customFormat="1" hidden="1">
      <c r="B47" s="2101"/>
      <c r="C47" s="2130" t="s">
        <v>2258</v>
      </c>
      <c r="D47" s="2131" t="s">
        <v>2863</v>
      </c>
      <c r="E47" s="1245" t="s">
        <v>38</v>
      </c>
      <c r="F47" s="2273">
        <f>+'VAL. PRINC'!U51</f>
        <v>0</v>
      </c>
      <c r="G47" s="2249"/>
    </row>
    <row r="48" spans="2:7" s="1410" customFormat="1" hidden="1">
      <c r="B48" s="2102"/>
      <c r="C48" s="1268" t="s">
        <v>2259</v>
      </c>
      <c r="D48" s="1241" t="s">
        <v>2864</v>
      </c>
      <c r="E48" s="1245" t="s">
        <v>38</v>
      </c>
      <c r="F48" s="2273">
        <f>+'VAL. PRINC'!U52</f>
        <v>0</v>
      </c>
      <c r="G48" s="2249"/>
    </row>
    <row r="49" spans="2:7" s="1410" customFormat="1" hidden="1">
      <c r="B49" s="2102" t="s">
        <v>3619</v>
      </c>
      <c r="C49" s="1268" t="s">
        <v>2260</v>
      </c>
      <c r="D49" s="1241" t="s">
        <v>2865</v>
      </c>
      <c r="E49" s="1245" t="s">
        <v>37</v>
      </c>
      <c r="F49" s="2273">
        <f>+'VAL. PRINC'!U53</f>
        <v>0</v>
      </c>
      <c r="G49" s="2249"/>
    </row>
    <row r="50" spans="2:7" s="1410" customFormat="1" hidden="1">
      <c r="B50" s="2102" t="s">
        <v>3619</v>
      </c>
      <c r="C50" s="1268" t="s">
        <v>2261</v>
      </c>
      <c r="D50" s="1241" t="s">
        <v>2866</v>
      </c>
      <c r="E50" s="1245" t="s">
        <v>37</v>
      </c>
      <c r="F50" s="2273">
        <f>+'VAL. PRINC'!U54</f>
        <v>0</v>
      </c>
      <c r="G50" s="2249"/>
    </row>
    <row r="51" spans="2:7" s="1410" customFormat="1" hidden="1">
      <c r="B51" s="2102" t="s">
        <v>3619</v>
      </c>
      <c r="C51" s="1268" t="s">
        <v>2262</v>
      </c>
      <c r="D51" s="1241" t="s">
        <v>2867</v>
      </c>
      <c r="E51" s="1245" t="s">
        <v>40</v>
      </c>
      <c r="F51" s="2273">
        <f>+'VAL. PRINC'!U55</f>
        <v>0</v>
      </c>
      <c r="G51" s="2249"/>
    </row>
    <row r="52" spans="2:7" s="1410" customFormat="1" hidden="1">
      <c r="B52" s="2102" t="s">
        <v>3619</v>
      </c>
      <c r="C52" s="1268" t="s">
        <v>2263</v>
      </c>
      <c r="D52" s="1241" t="s">
        <v>2868</v>
      </c>
      <c r="E52" s="1245" t="s">
        <v>40</v>
      </c>
      <c r="F52" s="2273">
        <f>+'VAL. PRINC'!U56</f>
        <v>0</v>
      </c>
      <c r="G52" s="2249"/>
    </row>
    <row r="53" spans="2:7" s="1410" customFormat="1" hidden="1">
      <c r="B53" s="2102" t="s">
        <v>3619</v>
      </c>
      <c r="C53" s="2130" t="s">
        <v>2264</v>
      </c>
      <c r="D53" s="2131" t="s">
        <v>2869</v>
      </c>
      <c r="E53" s="2222" t="s">
        <v>40</v>
      </c>
      <c r="F53" s="2273">
        <f>+'VAL. PRINC'!U57</f>
        <v>0</v>
      </c>
      <c r="G53" s="2249"/>
    </row>
    <row r="54" spans="2:7" s="1410" customFormat="1" hidden="1">
      <c r="B54" s="2102" t="s">
        <v>3619</v>
      </c>
      <c r="C54" s="1268" t="s">
        <v>2265</v>
      </c>
      <c r="D54" s="1241" t="s">
        <v>2870</v>
      </c>
      <c r="E54" s="1245" t="s">
        <v>40</v>
      </c>
      <c r="F54" s="2273">
        <f>+'VAL. PRINC'!U58</f>
        <v>0</v>
      </c>
      <c r="G54" s="2249"/>
    </row>
    <row r="55" spans="2:7" s="1410" customFormat="1" ht="13.5" hidden="1" customHeight="1">
      <c r="B55" s="2102" t="s">
        <v>3619</v>
      </c>
      <c r="C55" s="1268" t="s">
        <v>2266</v>
      </c>
      <c r="D55" s="1241" t="s">
        <v>2871</v>
      </c>
      <c r="E55" s="1245" t="s">
        <v>40</v>
      </c>
      <c r="F55" s="2273">
        <f>+'VAL. PRINC'!U59</f>
        <v>0</v>
      </c>
      <c r="G55" s="2249"/>
    </row>
    <row r="56" spans="2:7" s="1410" customFormat="1" hidden="1">
      <c r="B56" s="2102" t="s">
        <v>3619</v>
      </c>
      <c r="C56" s="1268" t="s">
        <v>2267</v>
      </c>
      <c r="D56" s="1241" t="s">
        <v>2872</v>
      </c>
      <c r="E56" s="1245" t="s">
        <v>40</v>
      </c>
      <c r="F56" s="2273">
        <f>+'VAL. PRINC'!U60</f>
        <v>0</v>
      </c>
      <c r="G56" s="2249"/>
    </row>
    <row r="57" spans="2:7" s="1231" customFormat="1" hidden="1">
      <c r="B57" s="2103" t="s">
        <v>3619</v>
      </c>
      <c r="C57" s="1268" t="s">
        <v>2268</v>
      </c>
      <c r="D57" s="1241" t="s">
        <v>2873</v>
      </c>
      <c r="E57" s="1245" t="s">
        <v>37</v>
      </c>
      <c r="F57" s="2273">
        <f>+'VAL. PRINC'!U61</f>
        <v>0</v>
      </c>
      <c r="G57" s="2251"/>
    </row>
    <row r="58" spans="2:7" s="1410" customFormat="1" hidden="1">
      <c r="B58" s="2102"/>
      <c r="C58" s="2220" t="s">
        <v>2269</v>
      </c>
      <c r="D58" s="1241" t="s">
        <v>2874</v>
      </c>
      <c r="E58" s="1245" t="s">
        <v>40</v>
      </c>
      <c r="F58" s="2273">
        <f>+'VAL. PRINC'!U62</f>
        <v>0</v>
      </c>
      <c r="G58" s="2249"/>
    </row>
    <row r="59" spans="2:7" s="1410" customFormat="1" hidden="1">
      <c r="B59" s="2102" t="s">
        <v>3619</v>
      </c>
      <c r="C59" s="1268" t="s">
        <v>2270</v>
      </c>
      <c r="D59" s="1241" t="s">
        <v>2875</v>
      </c>
      <c r="E59" s="1245" t="s">
        <v>40</v>
      </c>
      <c r="F59" s="2273">
        <f>+'VAL. PRINC'!U63</f>
        <v>0</v>
      </c>
      <c r="G59" s="2249"/>
    </row>
    <row r="60" spans="2:7" s="1410" customFormat="1" hidden="1">
      <c r="B60" s="2102"/>
      <c r="C60" s="1268" t="s">
        <v>2271</v>
      </c>
      <c r="D60" s="1241" t="s">
        <v>2876</v>
      </c>
      <c r="E60" s="1245" t="s">
        <v>37</v>
      </c>
      <c r="F60" s="2273">
        <f>+'VAL. PRINC'!U64</f>
        <v>0</v>
      </c>
      <c r="G60" s="2249"/>
    </row>
    <row r="61" spans="2:7" s="1410" customFormat="1" hidden="1">
      <c r="B61" s="2102" t="s">
        <v>3619</v>
      </c>
      <c r="C61" s="1268" t="s">
        <v>2272</v>
      </c>
      <c r="D61" s="1241" t="s">
        <v>2877</v>
      </c>
      <c r="E61" s="1245" t="s">
        <v>40</v>
      </c>
      <c r="F61" s="2273">
        <f>+'VAL. PRINC'!U65</f>
        <v>0</v>
      </c>
      <c r="G61" s="2249"/>
    </row>
    <row r="62" spans="2:7" s="1410" customFormat="1" hidden="1">
      <c r="B62" s="2102" t="s">
        <v>3619</v>
      </c>
      <c r="C62" s="1268" t="s">
        <v>2273</v>
      </c>
      <c r="D62" s="1241" t="s">
        <v>2878</v>
      </c>
      <c r="E62" s="1245" t="s">
        <v>37</v>
      </c>
      <c r="F62" s="2273">
        <f>+'VAL. PRINC'!U66</f>
        <v>0</v>
      </c>
      <c r="G62" s="2249"/>
    </row>
    <row r="63" spans="2:7" s="1410" customFormat="1" hidden="1">
      <c r="B63" s="2102"/>
      <c r="C63" s="1268" t="s">
        <v>2274</v>
      </c>
      <c r="D63" s="1241" t="s">
        <v>2879</v>
      </c>
      <c r="E63" s="1245" t="s">
        <v>37</v>
      </c>
      <c r="F63" s="2273">
        <f>+'VAL. PRINC'!U67</f>
        <v>0</v>
      </c>
      <c r="G63" s="2249"/>
    </row>
    <row r="64" spans="2:7" s="1410" customFormat="1" hidden="1">
      <c r="B64" s="2102" t="s">
        <v>3619</v>
      </c>
      <c r="C64" s="1268" t="s">
        <v>2275</v>
      </c>
      <c r="D64" s="1241" t="s">
        <v>2880</v>
      </c>
      <c r="E64" s="1245" t="s">
        <v>37</v>
      </c>
      <c r="F64" s="2273">
        <f>+'VAL. PRINC'!U68</f>
        <v>0</v>
      </c>
      <c r="G64" s="2249"/>
    </row>
    <row r="65" spans="2:7" s="1410" customFormat="1" hidden="1">
      <c r="B65" s="2102"/>
      <c r="C65" s="1268" t="s">
        <v>2276</v>
      </c>
      <c r="D65" s="1241" t="s">
        <v>2881</v>
      </c>
      <c r="E65" s="1245" t="s">
        <v>37</v>
      </c>
      <c r="F65" s="2273">
        <f>+'VAL. PRINC'!U69</f>
        <v>0</v>
      </c>
      <c r="G65" s="2249"/>
    </row>
    <row r="66" spans="2:7" s="1231" customFormat="1" hidden="1">
      <c r="B66" s="2103" t="s">
        <v>3619</v>
      </c>
      <c r="C66" s="1268" t="s">
        <v>2277</v>
      </c>
      <c r="D66" s="1241" t="s">
        <v>2882</v>
      </c>
      <c r="E66" s="1245" t="s">
        <v>37</v>
      </c>
      <c r="F66" s="2273">
        <f>+'VAL. PRINC'!U70</f>
        <v>0</v>
      </c>
      <c r="G66" s="2249"/>
    </row>
    <row r="67" spans="2:7" s="1410" customFormat="1" hidden="1">
      <c r="B67" s="2102" t="s">
        <v>3619</v>
      </c>
      <c r="C67" s="1534">
        <v>1.06</v>
      </c>
      <c r="D67" s="1264" t="s">
        <v>2883</v>
      </c>
      <c r="E67" s="1265"/>
      <c r="F67" s="2273">
        <f>+'VAL. PRINC'!U71</f>
        <v>0</v>
      </c>
      <c r="G67" s="2252"/>
    </row>
    <row r="68" spans="2:7" s="1231" customFormat="1" hidden="1">
      <c r="B68" s="2103"/>
      <c r="C68" s="1268" t="s">
        <v>2278</v>
      </c>
      <c r="D68" s="1241" t="s">
        <v>2884</v>
      </c>
      <c r="E68" s="1245" t="s">
        <v>40</v>
      </c>
      <c r="F68" s="2273">
        <f>+'VAL. PRINC'!U72</f>
        <v>0</v>
      </c>
      <c r="G68" s="2249"/>
    </row>
    <row r="69" spans="2:7" s="1410" customFormat="1" hidden="1">
      <c r="B69" s="2102"/>
      <c r="C69" s="1263" t="s">
        <v>2279</v>
      </c>
      <c r="D69" s="1264" t="s">
        <v>2885</v>
      </c>
      <c r="E69" s="1265"/>
      <c r="F69" s="2273"/>
      <c r="G69" s="2252"/>
    </row>
    <row r="70" spans="2:7" s="1410" customFormat="1" ht="33.75" hidden="1">
      <c r="B70" s="2102"/>
      <c r="C70" s="1268" t="s">
        <v>2280</v>
      </c>
      <c r="D70" s="1536" t="s">
        <v>3597</v>
      </c>
      <c r="E70" s="1245" t="s">
        <v>41</v>
      </c>
      <c r="F70" s="2273">
        <f>+'VAL. PRINC'!U74</f>
        <v>0</v>
      </c>
      <c r="G70" s="2249"/>
    </row>
    <row r="71" spans="2:7" s="1410" customFormat="1" hidden="1">
      <c r="B71" s="2102"/>
      <c r="C71" s="1268" t="s">
        <v>2281</v>
      </c>
      <c r="D71" s="1241" t="s">
        <v>2886</v>
      </c>
      <c r="E71" s="1245" t="s">
        <v>36</v>
      </c>
      <c r="F71" s="2273">
        <f>+'VAL. PRINC'!U75</f>
        <v>0</v>
      </c>
      <c r="G71" s="2249"/>
    </row>
    <row r="72" spans="2:7" s="1231" customFormat="1" hidden="1">
      <c r="B72" s="2103"/>
      <c r="C72" s="1268" t="s">
        <v>2282</v>
      </c>
      <c r="D72" s="1241" t="s">
        <v>2887</v>
      </c>
      <c r="E72" s="1245" t="s">
        <v>41</v>
      </c>
      <c r="F72" s="2273">
        <f>+'VAL. PRINC'!U76</f>
        <v>0</v>
      </c>
      <c r="G72" s="2249"/>
    </row>
    <row r="73" spans="2:7" s="1410" customFormat="1" hidden="1">
      <c r="B73" s="2102"/>
      <c r="C73" s="1268" t="s">
        <v>2283</v>
      </c>
      <c r="D73" s="1241" t="s">
        <v>2888</v>
      </c>
      <c r="E73" s="1245" t="s">
        <v>41</v>
      </c>
      <c r="F73" s="2273">
        <f>+'VAL. PRINC'!U77</f>
        <v>0</v>
      </c>
      <c r="G73" s="2249"/>
    </row>
    <row r="74" spans="2:7" s="1410" customFormat="1" hidden="1">
      <c r="B74" s="2102"/>
      <c r="C74" s="1268" t="s">
        <v>2284</v>
      </c>
      <c r="D74" s="1241" t="s">
        <v>2889</v>
      </c>
      <c r="E74" s="1245" t="s">
        <v>41</v>
      </c>
      <c r="F74" s="2273">
        <f>+'VAL. PRINC'!U78</f>
        <v>0</v>
      </c>
      <c r="G74" s="2249"/>
    </row>
    <row r="75" spans="2:7" s="1231" customFormat="1" hidden="1">
      <c r="B75" s="2103" t="s">
        <v>3619</v>
      </c>
      <c r="C75" s="1268" t="s">
        <v>2285</v>
      </c>
      <c r="D75" s="1241" t="s">
        <v>2890</v>
      </c>
      <c r="E75" s="1245" t="s">
        <v>41</v>
      </c>
      <c r="F75" s="2273">
        <f>+'VAL. PRINC'!U79</f>
        <v>0</v>
      </c>
      <c r="G75" s="2249"/>
    </row>
    <row r="76" spans="2:7" s="1410" customFormat="1">
      <c r="B76" s="2102"/>
      <c r="C76" s="1269" t="s">
        <v>42</v>
      </c>
      <c r="D76" s="1270" t="s">
        <v>2891</v>
      </c>
      <c r="E76" s="1271"/>
      <c r="F76" s="2273"/>
      <c r="G76" s="2252"/>
    </row>
    <row r="77" spans="2:7" s="1231" customFormat="1">
      <c r="B77" s="2103" t="s">
        <v>3619</v>
      </c>
      <c r="C77" s="1263" t="s">
        <v>43</v>
      </c>
      <c r="D77" s="1264" t="s">
        <v>2892</v>
      </c>
      <c r="E77" s="1265"/>
      <c r="F77" s="2273"/>
      <c r="G77" s="2252"/>
    </row>
    <row r="78" spans="2:7" s="1231" customFormat="1" hidden="1">
      <c r="B78" s="2103" t="s">
        <v>3619</v>
      </c>
      <c r="C78" s="1537" t="s">
        <v>53</v>
      </c>
      <c r="D78" s="1538" t="s">
        <v>2893</v>
      </c>
      <c r="E78" s="1539" t="s">
        <v>40</v>
      </c>
      <c r="F78" s="2273">
        <f>+'VAL. PRINC'!U82</f>
        <v>0</v>
      </c>
      <c r="G78" s="2253"/>
    </row>
    <row r="79" spans="2:7" s="1410" customFormat="1" hidden="1">
      <c r="B79" s="2102" t="s">
        <v>3619</v>
      </c>
      <c r="C79" s="1537" t="s">
        <v>563</v>
      </c>
      <c r="D79" s="1538" t="s">
        <v>2894</v>
      </c>
      <c r="E79" s="1539" t="s">
        <v>37</v>
      </c>
      <c r="F79" s="2273">
        <f>+'VAL. PRINC'!U83</f>
        <v>0</v>
      </c>
      <c r="G79" s="2253"/>
    </row>
    <row r="80" spans="2:7" s="1423" customFormat="1">
      <c r="B80" s="2228" t="s">
        <v>3619</v>
      </c>
      <c r="C80" s="2235" t="s">
        <v>570</v>
      </c>
      <c r="D80" s="2236" t="s">
        <v>2895</v>
      </c>
      <c r="E80" s="2237" t="s">
        <v>40</v>
      </c>
      <c r="F80" s="2273">
        <f>+'VAL. PRINC'!U84</f>
        <v>3.8</v>
      </c>
      <c r="G80" s="2252"/>
    </row>
    <row r="81" spans="2:7" s="1410" customFormat="1" hidden="1">
      <c r="B81" s="2102" t="s">
        <v>3619</v>
      </c>
      <c r="C81" s="1268" t="s">
        <v>599</v>
      </c>
      <c r="D81" s="1241" t="s">
        <v>2896</v>
      </c>
      <c r="E81" s="1245" t="s">
        <v>40</v>
      </c>
      <c r="F81" s="2273">
        <f>+'VAL. PRINC'!U85</f>
        <v>0</v>
      </c>
      <c r="G81" s="2253"/>
    </row>
    <row r="82" spans="2:7" s="1410" customFormat="1" hidden="1">
      <c r="B82" s="2102" t="s">
        <v>3619</v>
      </c>
      <c r="C82" s="1268" t="s">
        <v>601</v>
      </c>
      <c r="D82" s="1241" t="s">
        <v>2897</v>
      </c>
      <c r="E82" s="1245" t="s">
        <v>40</v>
      </c>
      <c r="F82" s="2273">
        <f>+'VAL. PRINC'!U86</f>
        <v>0</v>
      </c>
      <c r="G82" s="2249"/>
    </row>
    <row r="83" spans="2:7" s="1410" customFormat="1" hidden="1">
      <c r="B83" s="2102" t="s">
        <v>3619</v>
      </c>
      <c r="C83" s="1268" t="s">
        <v>2286</v>
      </c>
      <c r="D83" s="1241" t="s">
        <v>2898</v>
      </c>
      <c r="E83" s="1245" t="s">
        <v>40</v>
      </c>
      <c r="F83" s="2273">
        <f>+'VAL. PRINC'!U87</f>
        <v>0</v>
      </c>
      <c r="G83" s="2249"/>
    </row>
    <row r="84" spans="2:7" s="1410" customFormat="1">
      <c r="B84" s="2102" t="s">
        <v>3619</v>
      </c>
      <c r="C84" s="1263" t="s">
        <v>44</v>
      </c>
      <c r="D84" s="1264" t="s">
        <v>2899</v>
      </c>
      <c r="E84" s="1265"/>
      <c r="F84" s="2273"/>
      <c r="G84" s="2252"/>
    </row>
    <row r="85" spans="2:7" s="1410" customFormat="1" hidden="1">
      <c r="B85" s="2102"/>
      <c r="C85" s="1272" t="s">
        <v>54</v>
      </c>
      <c r="D85" s="1262" t="s">
        <v>2900</v>
      </c>
      <c r="E85" s="1273"/>
      <c r="F85" s="2273"/>
      <c r="G85" s="2249"/>
    </row>
    <row r="86" spans="2:7" s="1410" customFormat="1" hidden="1">
      <c r="B86" s="2102"/>
      <c r="C86" s="2130" t="s">
        <v>604</v>
      </c>
      <c r="D86" s="2131" t="s">
        <v>2901</v>
      </c>
      <c r="E86" s="2222" t="s">
        <v>37</v>
      </c>
      <c r="F86" s="2273">
        <f>+'VAL. PRINC'!U90</f>
        <v>0</v>
      </c>
      <c r="G86" s="2253"/>
    </row>
    <row r="87" spans="2:7" s="1410" customFormat="1" hidden="1">
      <c r="B87" s="2102"/>
      <c r="C87" s="1272" t="s">
        <v>55</v>
      </c>
      <c r="D87" s="1262" t="s">
        <v>2902</v>
      </c>
      <c r="E87" s="1273"/>
      <c r="F87" s="2273"/>
      <c r="G87" s="2253"/>
    </row>
    <row r="88" spans="2:7" s="1410" customFormat="1" hidden="1">
      <c r="B88" s="2102"/>
      <c r="C88" s="1268" t="s">
        <v>610</v>
      </c>
      <c r="D88" s="1241" t="s">
        <v>2903</v>
      </c>
      <c r="E88" s="1245" t="s">
        <v>40</v>
      </c>
      <c r="F88" s="2273">
        <f>+'VAL. PRINC'!U92</f>
        <v>0</v>
      </c>
      <c r="G88" s="2253"/>
    </row>
    <row r="89" spans="2:7" s="1410" customFormat="1" hidden="1">
      <c r="B89" s="2102"/>
      <c r="C89" s="1272" t="s">
        <v>615</v>
      </c>
      <c r="D89" s="1262" t="s">
        <v>2904</v>
      </c>
      <c r="E89" s="1273"/>
      <c r="F89" s="2273"/>
      <c r="G89" s="2253"/>
    </row>
    <row r="90" spans="2:7" s="1410" customFormat="1" hidden="1">
      <c r="B90" s="2102"/>
      <c r="C90" s="1268" t="s">
        <v>616</v>
      </c>
      <c r="D90" s="1241" t="s">
        <v>2905</v>
      </c>
      <c r="E90" s="1245" t="s">
        <v>40</v>
      </c>
      <c r="F90" s="2273">
        <f>+'VAL. PRINC'!U94</f>
        <v>0</v>
      </c>
      <c r="G90" s="2253"/>
    </row>
    <row r="91" spans="2:7" s="1410" customFormat="1" hidden="1">
      <c r="B91" s="2102"/>
      <c r="C91" s="1268" t="s">
        <v>619</v>
      </c>
      <c r="D91" s="1241" t="s">
        <v>2906</v>
      </c>
      <c r="E91" s="1245" t="s">
        <v>37</v>
      </c>
      <c r="F91" s="2273">
        <f>+'VAL. PRINC'!U95</f>
        <v>0</v>
      </c>
      <c r="G91" s="2253"/>
    </row>
    <row r="92" spans="2:7" s="1410" customFormat="1" hidden="1">
      <c r="B92" s="2102"/>
      <c r="C92" s="1272" t="s">
        <v>644</v>
      </c>
      <c r="D92" s="1262" t="s">
        <v>2907</v>
      </c>
      <c r="E92" s="1273"/>
      <c r="F92" s="2273"/>
      <c r="G92" s="2253"/>
    </row>
    <row r="93" spans="2:7" s="1410" customFormat="1" hidden="1">
      <c r="B93" s="2102"/>
      <c r="C93" s="1268" t="s">
        <v>645</v>
      </c>
      <c r="D93" s="1241" t="s">
        <v>2908</v>
      </c>
      <c r="E93" s="1245" t="s">
        <v>40</v>
      </c>
      <c r="F93" s="2273">
        <f>+'VAL. PRINC'!U97</f>
        <v>0</v>
      </c>
      <c r="G93" s="2253"/>
    </row>
    <row r="94" spans="2:7" s="1410" customFormat="1" hidden="1">
      <c r="B94" s="2102"/>
      <c r="C94" s="2130" t="s">
        <v>2287</v>
      </c>
      <c r="D94" s="2131" t="s">
        <v>2909</v>
      </c>
      <c r="E94" s="2222" t="s">
        <v>37</v>
      </c>
      <c r="F94" s="2273">
        <f>+'VAL. PRINC'!U98</f>
        <v>0</v>
      </c>
      <c r="G94" s="2253"/>
    </row>
    <row r="95" spans="2:7" s="1410" customFormat="1" hidden="1">
      <c r="B95" s="2102"/>
      <c r="C95" s="2229" t="s">
        <v>646</v>
      </c>
      <c r="D95" s="2230" t="s">
        <v>2910</v>
      </c>
      <c r="E95" s="2231"/>
      <c r="F95" s="2273"/>
      <c r="G95" s="2253"/>
    </row>
    <row r="96" spans="2:7" s="1410" customFormat="1" hidden="1">
      <c r="B96" s="2102"/>
      <c r="C96" s="2130" t="s">
        <v>647</v>
      </c>
      <c r="D96" s="2131" t="s">
        <v>2911</v>
      </c>
      <c r="E96" s="2222" t="s">
        <v>40</v>
      </c>
      <c r="F96" s="2273">
        <f>+'VAL. PRINC'!U100</f>
        <v>0</v>
      </c>
      <c r="G96" s="2253"/>
    </row>
    <row r="97" spans="2:7" s="1410" customFormat="1" hidden="1">
      <c r="B97" s="2102"/>
      <c r="C97" s="2130" t="s">
        <v>648</v>
      </c>
      <c r="D97" s="2131" t="s">
        <v>2912</v>
      </c>
      <c r="E97" s="2222" t="s">
        <v>37</v>
      </c>
      <c r="F97" s="2273">
        <f>+'VAL. PRINC'!U101</f>
        <v>0</v>
      </c>
      <c r="G97" s="2253"/>
    </row>
    <row r="98" spans="2:7" s="1410" customFormat="1" hidden="1">
      <c r="B98" s="2102"/>
      <c r="C98" s="1268" t="s">
        <v>2288</v>
      </c>
      <c r="D98" s="1241" t="s">
        <v>2913</v>
      </c>
      <c r="E98" s="1245" t="s">
        <v>38</v>
      </c>
      <c r="F98" s="2273">
        <f>+'VAL. PRINC'!U102</f>
        <v>0</v>
      </c>
      <c r="G98" s="2253"/>
    </row>
    <row r="99" spans="2:7" s="1410" customFormat="1" hidden="1">
      <c r="B99" s="2102"/>
      <c r="C99" s="1268" t="s">
        <v>2289</v>
      </c>
      <c r="D99" s="1241" t="s">
        <v>2914</v>
      </c>
      <c r="E99" s="1245" t="s">
        <v>40</v>
      </c>
      <c r="F99" s="2273">
        <f>+'VAL. PRINC'!U103</f>
        <v>0</v>
      </c>
      <c r="G99" s="2253"/>
    </row>
    <row r="100" spans="2:7" s="1410" customFormat="1" hidden="1">
      <c r="B100" s="2102"/>
      <c r="C100" s="1272" t="s">
        <v>275</v>
      </c>
      <c r="D100" s="1262" t="s">
        <v>2915</v>
      </c>
      <c r="E100" s="1273"/>
      <c r="F100" s="2273"/>
      <c r="G100" s="2253"/>
    </row>
    <row r="101" spans="2:7" s="1410" customFormat="1" hidden="1">
      <c r="B101" s="2102"/>
      <c r="C101" s="1268" t="s">
        <v>2290</v>
      </c>
      <c r="D101" s="1241" t="s">
        <v>2916</v>
      </c>
      <c r="E101" s="1245" t="s">
        <v>40</v>
      </c>
      <c r="F101" s="2273">
        <f>+'VAL. PRINC'!U105</f>
        <v>0</v>
      </c>
      <c r="G101" s="2253"/>
    </row>
    <row r="102" spans="2:7" s="1410" customFormat="1" hidden="1">
      <c r="B102" s="2102"/>
      <c r="C102" s="1268" t="s">
        <v>2291</v>
      </c>
      <c r="D102" s="1241" t="s">
        <v>2917</v>
      </c>
      <c r="E102" s="1245" t="s">
        <v>37</v>
      </c>
      <c r="F102" s="2273">
        <f>+'VAL. PRINC'!U106</f>
        <v>0</v>
      </c>
      <c r="G102" s="2249"/>
    </row>
    <row r="103" spans="2:7" s="1410" customFormat="1" hidden="1">
      <c r="B103" s="2102"/>
      <c r="C103" s="1272" t="s">
        <v>321</v>
      </c>
      <c r="D103" s="1262" t="s">
        <v>2918</v>
      </c>
      <c r="E103" s="1273"/>
      <c r="F103" s="2273"/>
      <c r="G103" s="2249"/>
    </row>
    <row r="104" spans="2:7" s="1410" customFormat="1" hidden="1">
      <c r="B104" s="2102"/>
      <c r="C104" s="1268" t="s">
        <v>2292</v>
      </c>
      <c r="D104" s="1241" t="s">
        <v>2919</v>
      </c>
      <c r="E104" s="1245" t="s">
        <v>40</v>
      </c>
      <c r="F104" s="2273">
        <f>+'VAL. PRINC'!U108</f>
        <v>0</v>
      </c>
      <c r="G104" s="2249"/>
    </row>
    <row r="105" spans="2:7" s="1410" customFormat="1" hidden="1">
      <c r="B105" s="2102"/>
      <c r="C105" s="1268" t="s">
        <v>2293</v>
      </c>
      <c r="D105" s="1241" t="s">
        <v>2920</v>
      </c>
      <c r="E105" s="1245" t="s">
        <v>37</v>
      </c>
      <c r="F105" s="2273">
        <f>+'VAL. PRINC'!U109</f>
        <v>0</v>
      </c>
      <c r="G105" s="2249"/>
    </row>
    <row r="106" spans="2:7" s="1410" customFormat="1" hidden="1">
      <c r="B106" s="2102"/>
      <c r="C106" s="1272"/>
      <c r="D106" s="1262" t="s">
        <v>3694</v>
      </c>
      <c r="E106" s="1273"/>
      <c r="F106" s="2273"/>
      <c r="G106" s="2249"/>
    </row>
    <row r="107" spans="2:7" s="1410" customFormat="1" hidden="1">
      <c r="B107" s="2102"/>
      <c r="C107" s="1268" t="s">
        <v>2294</v>
      </c>
      <c r="D107" s="1241" t="s">
        <v>2921</v>
      </c>
      <c r="E107" s="1245" t="s">
        <v>40</v>
      </c>
      <c r="F107" s="2273">
        <f>+'VAL. PRINC'!U111</f>
        <v>0</v>
      </c>
      <c r="G107" s="2249"/>
    </row>
    <row r="108" spans="2:7" s="1410" customFormat="1" hidden="1">
      <c r="B108" s="2102"/>
      <c r="C108" s="1268" t="s">
        <v>2295</v>
      </c>
      <c r="D108" s="1241" t="s">
        <v>2922</v>
      </c>
      <c r="E108" s="1245" t="s">
        <v>37</v>
      </c>
      <c r="F108" s="2273">
        <f>+'VAL. PRINC'!U112</f>
        <v>0</v>
      </c>
      <c r="G108" s="2249"/>
    </row>
    <row r="109" spans="2:7" s="1410" customFormat="1" hidden="1">
      <c r="B109" s="2102"/>
      <c r="C109" s="1272" t="s">
        <v>2296</v>
      </c>
      <c r="D109" s="1262" t="s">
        <v>2923</v>
      </c>
      <c r="E109" s="1273"/>
      <c r="F109" s="2273"/>
      <c r="G109" s="2249"/>
    </row>
    <row r="110" spans="2:7" s="1410" customFormat="1" hidden="1">
      <c r="B110" s="2102"/>
      <c r="C110" s="1268" t="s">
        <v>2297</v>
      </c>
      <c r="D110" s="1241" t="s">
        <v>2924</v>
      </c>
      <c r="E110" s="1245" t="s">
        <v>40</v>
      </c>
      <c r="F110" s="2273">
        <f>+'VAL. PRINC'!U114</f>
        <v>0</v>
      </c>
      <c r="G110" s="2249"/>
    </row>
    <row r="111" spans="2:7" s="1410" customFormat="1" hidden="1">
      <c r="B111" s="2102"/>
      <c r="C111" s="1268" t="s">
        <v>2298</v>
      </c>
      <c r="D111" s="1241" t="s">
        <v>2925</v>
      </c>
      <c r="E111" s="1245" t="s">
        <v>37</v>
      </c>
      <c r="F111" s="2273">
        <f>+'VAL. PRINC'!U115</f>
        <v>0</v>
      </c>
      <c r="G111" s="2249"/>
    </row>
    <row r="112" spans="2:7" s="1231" customFormat="1">
      <c r="B112" s="2103"/>
      <c r="C112" s="1272" t="s">
        <v>2299</v>
      </c>
      <c r="D112" s="1262" t="s">
        <v>2926</v>
      </c>
      <c r="E112" s="1273"/>
      <c r="F112" s="2273"/>
      <c r="G112" s="2249"/>
    </row>
    <row r="113" spans="2:7" s="1410" customFormat="1">
      <c r="B113" s="2102"/>
      <c r="C113" s="2130" t="s">
        <v>2300</v>
      </c>
      <c r="D113" s="2131" t="s">
        <v>2927</v>
      </c>
      <c r="E113" s="2222" t="s">
        <v>37</v>
      </c>
      <c r="F113" s="2273">
        <f>+'VAL. PRINC'!U117</f>
        <v>151.13</v>
      </c>
      <c r="G113" s="2249"/>
    </row>
    <row r="114" spans="2:7" s="1410" customFormat="1">
      <c r="B114" s="2102"/>
      <c r="C114" s="1263" t="s">
        <v>52</v>
      </c>
      <c r="D114" s="1264" t="s">
        <v>2928</v>
      </c>
      <c r="E114" s="1265"/>
      <c r="F114" s="2273"/>
      <c r="G114" s="2252"/>
    </row>
    <row r="115" spans="2:7" s="1410" customFormat="1" hidden="1">
      <c r="B115" s="2102"/>
      <c r="C115" s="1272" t="s">
        <v>56</v>
      </c>
      <c r="D115" s="1262" t="s">
        <v>2929</v>
      </c>
      <c r="E115" s="1273"/>
      <c r="F115" s="2273"/>
      <c r="G115" s="2249"/>
    </row>
    <row r="116" spans="2:7" s="1410" customFormat="1" hidden="1">
      <c r="B116" s="2102"/>
      <c r="C116" s="1268" t="s">
        <v>649</v>
      </c>
      <c r="D116" s="1241" t="s">
        <v>2930</v>
      </c>
      <c r="E116" s="1245" t="s">
        <v>40</v>
      </c>
      <c r="F116" s="2273">
        <f>+'VAL. PRINC'!U120</f>
        <v>0</v>
      </c>
      <c r="G116" s="2253"/>
    </row>
    <row r="117" spans="2:7" s="1231" customFormat="1" hidden="1">
      <c r="B117" s="2103" t="s">
        <v>3619</v>
      </c>
      <c r="C117" s="1268" t="s">
        <v>650</v>
      </c>
      <c r="D117" s="1241" t="s">
        <v>2931</v>
      </c>
      <c r="E117" s="1245" t="s">
        <v>48</v>
      </c>
      <c r="F117" s="2273">
        <f>+'VAL. PRINC'!U121</f>
        <v>0</v>
      </c>
      <c r="G117" s="2253"/>
    </row>
    <row r="118" spans="2:7" s="1410" customFormat="1" hidden="1">
      <c r="B118" s="2102"/>
      <c r="C118" s="1272" t="s">
        <v>57</v>
      </c>
      <c r="D118" s="1262" t="s">
        <v>2932</v>
      </c>
      <c r="E118" s="1273"/>
      <c r="F118" s="2273"/>
      <c r="G118" s="2253"/>
    </row>
    <row r="119" spans="2:7" s="1410" customFormat="1" hidden="1">
      <c r="B119" s="2102"/>
      <c r="C119" s="1268" t="s">
        <v>655</v>
      </c>
      <c r="D119" s="1241" t="s">
        <v>2933</v>
      </c>
      <c r="E119" s="1245" t="s">
        <v>40</v>
      </c>
      <c r="F119" s="2273">
        <f>+'VAL. PRINC'!U123</f>
        <v>0</v>
      </c>
      <c r="G119" s="2253"/>
    </row>
    <row r="120" spans="2:7" s="1410" customFormat="1" hidden="1">
      <c r="B120" s="2102"/>
      <c r="C120" s="1268" t="s">
        <v>656</v>
      </c>
      <c r="D120" s="1241" t="s">
        <v>2934</v>
      </c>
      <c r="E120" s="1245" t="s">
        <v>37</v>
      </c>
      <c r="F120" s="2273">
        <f>+'VAL. PRINC'!U124</f>
        <v>0</v>
      </c>
      <c r="G120" s="2253"/>
    </row>
    <row r="121" spans="2:7" s="1410" customFormat="1" hidden="1">
      <c r="B121" s="2102"/>
      <c r="C121" s="1268" t="s">
        <v>657</v>
      </c>
      <c r="D121" s="1241" t="s">
        <v>2935</v>
      </c>
      <c r="E121" s="1245" t="s">
        <v>48</v>
      </c>
      <c r="F121" s="2273">
        <f>+'VAL. PRINC'!U125</f>
        <v>0</v>
      </c>
      <c r="G121" s="2253"/>
    </row>
    <row r="122" spans="2:7" s="1410" customFormat="1" hidden="1">
      <c r="B122" s="2102"/>
      <c r="C122" s="1272" t="s">
        <v>660</v>
      </c>
      <c r="D122" s="1262" t="s">
        <v>2936</v>
      </c>
      <c r="E122" s="1273"/>
      <c r="F122" s="2273"/>
      <c r="G122" s="2253"/>
    </row>
    <row r="123" spans="2:7" s="1231" customFormat="1" hidden="1">
      <c r="B123" s="2103"/>
      <c r="C123" s="1268" t="s">
        <v>661</v>
      </c>
      <c r="D123" s="1241" t="s">
        <v>2937</v>
      </c>
      <c r="E123" s="1245" t="s">
        <v>40</v>
      </c>
      <c r="F123" s="2273">
        <f>+'VAL. PRINC'!U127</f>
        <v>0</v>
      </c>
      <c r="G123" s="2253"/>
    </row>
    <row r="124" spans="2:7" s="1410" customFormat="1" hidden="1">
      <c r="B124" s="2102"/>
      <c r="C124" s="1268" t="s">
        <v>664</v>
      </c>
      <c r="D124" s="1241" t="s">
        <v>2938</v>
      </c>
      <c r="E124" s="1245" t="s">
        <v>37</v>
      </c>
      <c r="F124" s="2273">
        <f>+'VAL. PRINC'!U128</f>
        <v>0</v>
      </c>
      <c r="G124" s="2253"/>
    </row>
    <row r="125" spans="2:7" s="1410" customFormat="1" hidden="1">
      <c r="B125" s="2102"/>
      <c r="C125" s="1268" t="s">
        <v>668</v>
      </c>
      <c r="D125" s="1241" t="s">
        <v>2939</v>
      </c>
      <c r="E125" s="1245" t="s">
        <v>48</v>
      </c>
      <c r="F125" s="2273">
        <f>+'VAL. PRINC'!U129</f>
        <v>0</v>
      </c>
      <c r="G125" s="2253"/>
    </row>
    <row r="126" spans="2:7" s="1410" customFormat="1" hidden="1">
      <c r="B126" s="2102"/>
      <c r="C126" s="1272" t="s">
        <v>689</v>
      </c>
      <c r="D126" s="1262" t="s">
        <v>2940</v>
      </c>
      <c r="E126" s="1273"/>
      <c r="F126" s="2273"/>
      <c r="G126" s="2253"/>
    </row>
    <row r="127" spans="2:7" s="1231" customFormat="1" hidden="1">
      <c r="B127" s="2103" t="s">
        <v>3619</v>
      </c>
      <c r="C127" s="1268" t="s">
        <v>690</v>
      </c>
      <c r="D127" s="1241" t="s">
        <v>2941</v>
      </c>
      <c r="E127" s="1245" t="s">
        <v>40</v>
      </c>
      <c r="F127" s="2273">
        <f>+'VAL. PRINC'!U131</f>
        <v>0</v>
      </c>
      <c r="G127" s="2249"/>
    </row>
    <row r="128" spans="2:7" s="1410" customFormat="1" hidden="1">
      <c r="B128" s="2102"/>
      <c r="C128" s="1268" t="s">
        <v>2301</v>
      </c>
      <c r="D128" s="1241" t="s">
        <v>2942</v>
      </c>
      <c r="E128" s="1245" t="s">
        <v>37</v>
      </c>
      <c r="F128" s="2273">
        <f>+'VAL. PRINC'!U132</f>
        <v>0</v>
      </c>
      <c r="G128" s="2249"/>
    </row>
    <row r="129" spans="2:7" s="1410" customFormat="1" hidden="1">
      <c r="B129" s="2102"/>
      <c r="C129" s="1268" t="s">
        <v>2302</v>
      </c>
      <c r="D129" s="1241" t="s">
        <v>2943</v>
      </c>
      <c r="E129" s="1245" t="s">
        <v>48</v>
      </c>
      <c r="F129" s="2273">
        <f>+'VAL. PRINC'!U133</f>
        <v>0</v>
      </c>
      <c r="G129" s="2249"/>
    </row>
    <row r="130" spans="2:7" s="1410" customFormat="1" hidden="1">
      <c r="B130" s="2102" t="s">
        <v>3619</v>
      </c>
      <c r="C130" s="1268" t="s">
        <v>2303</v>
      </c>
      <c r="D130" s="1241" t="s">
        <v>2913</v>
      </c>
      <c r="E130" s="1245" t="s">
        <v>38</v>
      </c>
      <c r="F130" s="2273">
        <f>+'VAL. PRINC'!U134</f>
        <v>0</v>
      </c>
      <c r="G130" s="2249"/>
    </row>
    <row r="131" spans="2:7" s="1410" customFormat="1" hidden="1">
      <c r="B131" s="2102" t="s">
        <v>3619</v>
      </c>
      <c r="C131" s="1268" t="s">
        <v>2304</v>
      </c>
      <c r="D131" s="1241" t="s">
        <v>2944</v>
      </c>
      <c r="E131" s="1245" t="s">
        <v>38</v>
      </c>
      <c r="F131" s="2273">
        <f>+'VAL. PRINC'!U135</f>
        <v>0</v>
      </c>
      <c r="G131" s="2249"/>
    </row>
    <row r="132" spans="2:7" s="1231" customFormat="1" hidden="1">
      <c r="B132" s="2103" t="s">
        <v>3619</v>
      </c>
      <c r="C132" s="1268" t="s">
        <v>2305</v>
      </c>
      <c r="D132" s="1241" t="s">
        <v>2914</v>
      </c>
      <c r="E132" s="1245" t="s">
        <v>40</v>
      </c>
      <c r="F132" s="2273">
        <f>+'VAL. PRINC'!U136</f>
        <v>0</v>
      </c>
      <c r="G132" s="2249"/>
    </row>
    <row r="133" spans="2:7" s="1410" customFormat="1" hidden="1">
      <c r="B133" s="2102"/>
      <c r="C133" s="1272" t="s">
        <v>691</v>
      </c>
      <c r="D133" s="1262" t="s">
        <v>2945</v>
      </c>
      <c r="E133" s="1273"/>
      <c r="F133" s="2273"/>
      <c r="G133" s="2249"/>
    </row>
    <row r="134" spans="2:7" s="1410" customFormat="1" hidden="1">
      <c r="B134" s="2102"/>
      <c r="C134" s="1268" t="s">
        <v>692</v>
      </c>
      <c r="D134" s="1241" t="s">
        <v>2946</v>
      </c>
      <c r="E134" s="1245" t="s">
        <v>40</v>
      </c>
      <c r="F134" s="2273">
        <f>+'VAL. PRINC'!U138</f>
        <v>0</v>
      </c>
      <c r="G134" s="2253"/>
    </row>
    <row r="135" spans="2:7" s="1410" customFormat="1" hidden="1">
      <c r="B135" s="2102"/>
      <c r="C135" s="1268" t="s">
        <v>693</v>
      </c>
      <c r="D135" s="1241" t="s">
        <v>2947</v>
      </c>
      <c r="E135" s="1245" t="s">
        <v>37</v>
      </c>
      <c r="F135" s="2273">
        <f>+'VAL. PRINC'!U139</f>
        <v>0</v>
      </c>
      <c r="G135" s="2249"/>
    </row>
    <row r="136" spans="2:7" s="1231" customFormat="1" hidden="1">
      <c r="B136" s="2103" t="s">
        <v>3619</v>
      </c>
      <c r="C136" s="1268" t="s">
        <v>2306</v>
      </c>
      <c r="D136" s="1241" t="s">
        <v>2948</v>
      </c>
      <c r="E136" s="1245" t="s">
        <v>48</v>
      </c>
      <c r="F136" s="2273">
        <f>+'VAL. PRINC'!U140</f>
        <v>0</v>
      </c>
      <c r="G136" s="2249"/>
    </row>
    <row r="137" spans="2:7" s="1231" customFormat="1" hidden="1">
      <c r="B137" s="2103"/>
      <c r="C137" s="1272" t="s">
        <v>2307</v>
      </c>
      <c r="D137" s="1262" t="s">
        <v>2949</v>
      </c>
      <c r="E137" s="1273"/>
      <c r="F137" s="2273"/>
      <c r="G137" s="2249"/>
    </row>
    <row r="138" spans="2:7" s="1410" customFormat="1" hidden="1">
      <c r="B138" s="2102"/>
      <c r="C138" s="1268" t="s">
        <v>2308</v>
      </c>
      <c r="D138" s="1241" t="s">
        <v>2950</v>
      </c>
      <c r="E138" s="1245" t="s">
        <v>40</v>
      </c>
      <c r="F138" s="2273">
        <f>+'VAL. PRINC'!U142</f>
        <v>0</v>
      </c>
      <c r="G138" s="2249"/>
    </row>
    <row r="139" spans="2:7" s="1231" customFormat="1" hidden="1">
      <c r="B139" s="2103"/>
      <c r="C139" s="1268" t="s">
        <v>2309</v>
      </c>
      <c r="D139" s="1241" t="s">
        <v>2951</v>
      </c>
      <c r="E139" s="1245" t="s">
        <v>37</v>
      </c>
      <c r="F139" s="2273">
        <f>+'VAL. PRINC'!U143</f>
        <v>0</v>
      </c>
      <c r="G139" s="2249"/>
    </row>
    <row r="140" spans="2:7" s="1410" customFormat="1" hidden="1">
      <c r="B140" s="2102"/>
      <c r="C140" s="1268" t="s">
        <v>2310</v>
      </c>
      <c r="D140" s="1241" t="s">
        <v>2952</v>
      </c>
      <c r="E140" s="1245" t="s">
        <v>48</v>
      </c>
      <c r="F140" s="2273">
        <f>+'VAL. PRINC'!U144</f>
        <v>0</v>
      </c>
      <c r="G140" s="2249"/>
    </row>
    <row r="141" spans="2:7" s="1410" customFormat="1" hidden="1">
      <c r="B141" s="2102"/>
      <c r="C141" s="1272" t="s">
        <v>2311</v>
      </c>
      <c r="D141" s="1262" t="s">
        <v>2953</v>
      </c>
      <c r="E141" s="1273"/>
      <c r="F141" s="2273"/>
      <c r="G141" s="2249"/>
    </row>
    <row r="142" spans="2:7" s="1410" customFormat="1" hidden="1">
      <c r="B142" s="2102"/>
      <c r="C142" s="1268" t="s">
        <v>2312</v>
      </c>
      <c r="D142" s="1241" t="s">
        <v>2954</v>
      </c>
      <c r="E142" s="1245" t="s">
        <v>40</v>
      </c>
      <c r="F142" s="2273">
        <f>+'VAL. PRINC'!U146</f>
        <v>0</v>
      </c>
      <c r="G142" s="2249"/>
    </row>
    <row r="143" spans="2:7" s="1410" customFormat="1" hidden="1">
      <c r="B143" s="2102"/>
      <c r="C143" s="1268" t="s">
        <v>2313</v>
      </c>
      <c r="D143" s="1241" t="s">
        <v>2955</v>
      </c>
      <c r="E143" s="1245" t="s">
        <v>37</v>
      </c>
      <c r="F143" s="2273">
        <f>+'VAL. PRINC'!U147</f>
        <v>0</v>
      </c>
      <c r="G143" s="2249"/>
    </row>
    <row r="144" spans="2:7" s="1410" customFormat="1" hidden="1">
      <c r="B144" s="2102"/>
      <c r="C144" s="1268" t="s">
        <v>2314</v>
      </c>
      <c r="D144" s="1241" t="s">
        <v>2956</v>
      </c>
      <c r="E144" s="1245" t="s">
        <v>48</v>
      </c>
      <c r="F144" s="2273">
        <f>+'VAL. PRINC'!U148</f>
        <v>0</v>
      </c>
      <c r="G144" s="2251"/>
    </row>
    <row r="145" spans="2:7" s="1231" customFormat="1" hidden="1">
      <c r="B145" s="2103" t="s">
        <v>3619</v>
      </c>
      <c r="C145" s="1272" t="s">
        <v>2315</v>
      </c>
      <c r="D145" s="1262" t="s">
        <v>2957</v>
      </c>
      <c r="E145" s="1273"/>
      <c r="F145" s="2273"/>
      <c r="G145" s="2251"/>
    </row>
    <row r="146" spans="2:7" s="1410" customFormat="1" hidden="1">
      <c r="B146" s="2102"/>
      <c r="C146" s="1268" t="s">
        <v>2316</v>
      </c>
      <c r="D146" s="1241" t="s">
        <v>2958</v>
      </c>
      <c r="E146" s="1245" t="s">
        <v>40</v>
      </c>
      <c r="F146" s="2273">
        <f>+'VAL. PRINC'!U150</f>
        <v>0</v>
      </c>
      <c r="G146" s="2251"/>
    </row>
    <row r="147" spans="2:7" s="1410" customFormat="1" hidden="1">
      <c r="B147" s="2102"/>
      <c r="C147" s="1268" t="s">
        <v>2317</v>
      </c>
      <c r="D147" s="1241" t="s">
        <v>2959</v>
      </c>
      <c r="E147" s="1245" t="s">
        <v>37</v>
      </c>
      <c r="F147" s="2273">
        <f>+'VAL. PRINC'!U151</f>
        <v>0</v>
      </c>
      <c r="G147" s="2251"/>
    </row>
    <row r="148" spans="2:7" s="1410" customFormat="1" hidden="1">
      <c r="B148" s="2102"/>
      <c r="C148" s="1268" t="s">
        <v>2318</v>
      </c>
      <c r="D148" s="1241" t="s">
        <v>2960</v>
      </c>
      <c r="E148" s="1245" t="s">
        <v>48</v>
      </c>
      <c r="F148" s="2273">
        <f>+'VAL. PRINC'!U152</f>
        <v>0</v>
      </c>
      <c r="G148" s="2251"/>
    </row>
    <row r="149" spans="2:7" s="1410" customFormat="1" hidden="1">
      <c r="B149" s="2102"/>
      <c r="C149" s="1272" t="s">
        <v>2319</v>
      </c>
      <c r="D149" s="1262" t="s">
        <v>2961</v>
      </c>
      <c r="E149" s="1273"/>
      <c r="F149" s="2273"/>
      <c r="G149" s="2251"/>
    </row>
    <row r="150" spans="2:7" s="1423" customFormat="1" hidden="1">
      <c r="B150" s="2228"/>
      <c r="C150" s="2130" t="s">
        <v>2320</v>
      </c>
      <c r="D150" s="2131" t="s">
        <v>2962</v>
      </c>
      <c r="E150" s="2222" t="s">
        <v>40</v>
      </c>
      <c r="F150" s="2273">
        <f>+'VAL. PRINC'!U154</f>
        <v>0</v>
      </c>
      <c r="G150" s="2251"/>
    </row>
    <row r="151" spans="2:7" s="1423" customFormat="1" hidden="1">
      <c r="B151" s="2228"/>
      <c r="C151" s="2130" t="s">
        <v>2321</v>
      </c>
      <c r="D151" s="2131" t="s">
        <v>2963</v>
      </c>
      <c r="E151" s="2222" t="s">
        <v>37</v>
      </c>
      <c r="F151" s="2273">
        <f>+'VAL. PRINC'!U155</f>
        <v>0</v>
      </c>
      <c r="G151" s="2251"/>
    </row>
    <row r="152" spans="2:7" s="1423" customFormat="1" hidden="1">
      <c r="B152" s="2228"/>
      <c r="C152" s="2130" t="s">
        <v>2322</v>
      </c>
      <c r="D152" s="2131" t="s">
        <v>2964</v>
      </c>
      <c r="E152" s="2222" t="s">
        <v>48</v>
      </c>
      <c r="F152" s="2273">
        <f>+'VAL. PRINC'!U156</f>
        <v>0</v>
      </c>
      <c r="G152" s="2251"/>
    </row>
    <row r="153" spans="2:7" s="1423" customFormat="1" hidden="1">
      <c r="B153" s="2228"/>
      <c r="C153" s="2130" t="s">
        <v>2323</v>
      </c>
      <c r="D153" s="2131" t="s">
        <v>2965</v>
      </c>
      <c r="E153" s="2222" t="s">
        <v>36</v>
      </c>
      <c r="F153" s="2273">
        <f>+'VAL. PRINC'!U157</f>
        <v>0</v>
      </c>
      <c r="G153" s="2251"/>
    </row>
    <row r="154" spans="2:7" s="1410" customFormat="1" hidden="1">
      <c r="B154" s="2102"/>
      <c r="C154" s="1272" t="s">
        <v>2324</v>
      </c>
      <c r="D154" s="1262" t="s">
        <v>2966</v>
      </c>
      <c r="E154" s="1273"/>
      <c r="F154" s="2273"/>
      <c r="G154" s="2251"/>
    </row>
    <row r="155" spans="2:7" s="1410" customFormat="1" hidden="1">
      <c r="B155" s="2102"/>
      <c r="C155" s="1268" t="s">
        <v>2325</v>
      </c>
      <c r="D155" s="1241" t="s">
        <v>2962</v>
      </c>
      <c r="E155" s="1245" t="s">
        <v>40</v>
      </c>
      <c r="F155" s="2273">
        <f>+'VAL. PRINC'!U159</f>
        <v>0</v>
      </c>
      <c r="G155" s="2251"/>
    </row>
    <row r="156" spans="2:7" s="1231" customFormat="1" hidden="1">
      <c r="B156" s="2103"/>
      <c r="C156" s="1268" t="s">
        <v>2326</v>
      </c>
      <c r="D156" s="1241" t="s">
        <v>2963</v>
      </c>
      <c r="E156" s="1245" t="s">
        <v>37</v>
      </c>
      <c r="F156" s="2273">
        <f>+'VAL. PRINC'!U160</f>
        <v>0</v>
      </c>
      <c r="G156" s="2251"/>
    </row>
    <row r="157" spans="2:7" s="1410" customFormat="1" hidden="1">
      <c r="B157" s="2102"/>
      <c r="C157" s="1268" t="s">
        <v>2327</v>
      </c>
      <c r="D157" s="1241" t="s">
        <v>2964</v>
      </c>
      <c r="E157" s="1245" t="s">
        <v>48</v>
      </c>
      <c r="F157" s="2273">
        <f>+'VAL. PRINC'!U161</f>
        <v>0</v>
      </c>
      <c r="G157" s="2251"/>
    </row>
    <row r="158" spans="2:7" s="1410" customFormat="1" hidden="1">
      <c r="B158" s="2102"/>
      <c r="C158" s="1268" t="s">
        <v>2328</v>
      </c>
      <c r="D158" s="1241" t="s">
        <v>2967</v>
      </c>
      <c r="E158" s="1245" t="s">
        <v>36</v>
      </c>
      <c r="F158" s="2273">
        <f>+'VAL. PRINC'!U162</f>
        <v>0</v>
      </c>
      <c r="G158" s="2251"/>
    </row>
    <row r="159" spans="2:7" s="1410" customFormat="1" hidden="1">
      <c r="B159" s="2102"/>
      <c r="C159" s="1272" t="s">
        <v>2329</v>
      </c>
      <c r="D159" s="1262" t="s">
        <v>2968</v>
      </c>
      <c r="E159" s="1273"/>
      <c r="F159" s="2273"/>
      <c r="G159" s="2251"/>
    </row>
    <row r="160" spans="2:7" s="1410" customFormat="1" hidden="1">
      <c r="B160" s="2102"/>
      <c r="C160" s="1268" t="s">
        <v>2330</v>
      </c>
      <c r="D160" s="1241" t="s">
        <v>2962</v>
      </c>
      <c r="E160" s="1245" t="s">
        <v>40</v>
      </c>
      <c r="F160" s="2273">
        <f>+'VAL. PRINC'!U164</f>
        <v>0</v>
      </c>
      <c r="G160" s="2251"/>
    </row>
    <row r="161" spans="2:7" s="1410" customFormat="1" hidden="1">
      <c r="B161" s="2102"/>
      <c r="C161" s="1268" t="s">
        <v>2331</v>
      </c>
      <c r="D161" s="1241" t="s">
        <v>2963</v>
      </c>
      <c r="E161" s="1245" t="s">
        <v>37</v>
      </c>
      <c r="F161" s="2273">
        <f>+'VAL. PRINC'!U165</f>
        <v>0</v>
      </c>
      <c r="G161" s="2251"/>
    </row>
    <row r="162" spans="2:7" s="1410" customFormat="1" hidden="1">
      <c r="B162" s="2102"/>
      <c r="C162" s="1268" t="s">
        <v>2332</v>
      </c>
      <c r="D162" s="1241" t="s">
        <v>2964</v>
      </c>
      <c r="E162" s="1245" t="s">
        <v>48</v>
      </c>
      <c r="F162" s="2273">
        <f>+'VAL. PRINC'!U166</f>
        <v>0</v>
      </c>
      <c r="G162" s="2251"/>
    </row>
    <row r="163" spans="2:7" s="1410" customFormat="1" hidden="1">
      <c r="B163" s="2102"/>
      <c r="C163" s="1268" t="s">
        <v>2333</v>
      </c>
      <c r="D163" s="1241" t="s">
        <v>2969</v>
      </c>
      <c r="E163" s="1245" t="s">
        <v>36</v>
      </c>
      <c r="F163" s="2273">
        <f>+'VAL. PRINC'!U167</f>
        <v>0</v>
      </c>
      <c r="G163" s="2251"/>
    </row>
    <row r="164" spans="2:7" s="1410" customFormat="1" hidden="1">
      <c r="B164" s="2102"/>
      <c r="C164" s="1272" t="s">
        <v>2334</v>
      </c>
      <c r="D164" s="1262" t="s">
        <v>2970</v>
      </c>
      <c r="E164" s="1273"/>
      <c r="F164" s="2273"/>
      <c r="G164" s="2251"/>
    </row>
    <row r="165" spans="2:7" s="1410" customFormat="1" hidden="1">
      <c r="B165" s="2102"/>
      <c r="C165" s="1268" t="s">
        <v>2335</v>
      </c>
      <c r="D165" s="1241" t="s">
        <v>2971</v>
      </c>
      <c r="E165" s="1245" t="s">
        <v>40</v>
      </c>
      <c r="F165" s="2273">
        <f>+'VAL. PRINC'!U169</f>
        <v>0</v>
      </c>
      <c r="G165" s="2251"/>
    </row>
    <row r="166" spans="2:7" s="1410" customFormat="1" hidden="1">
      <c r="B166" s="2102"/>
      <c r="C166" s="1268" t="s">
        <v>2336</v>
      </c>
      <c r="D166" s="1241" t="s">
        <v>2972</v>
      </c>
      <c r="E166" s="1245" t="s">
        <v>37</v>
      </c>
      <c r="F166" s="2273">
        <f>+'VAL. PRINC'!U170</f>
        <v>0</v>
      </c>
      <c r="G166" s="2251"/>
    </row>
    <row r="167" spans="2:7" s="1410" customFormat="1" hidden="1">
      <c r="B167" s="2102"/>
      <c r="C167" s="1268" t="s">
        <v>2337</v>
      </c>
      <c r="D167" s="1241" t="s">
        <v>2973</v>
      </c>
      <c r="E167" s="1245" t="s">
        <v>48</v>
      </c>
      <c r="F167" s="2273">
        <f>+'VAL. PRINC'!U171</f>
        <v>0</v>
      </c>
      <c r="G167" s="2251"/>
    </row>
    <row r="168" spans="2:7" s="1231" customFormat="1" hidden="1">
      <c r="B168" s="2103"/>
      <c r="C168" s="1268" t="s">
        <v>2338</v>
      </c>
      <c r="D168" s="1241" t="s">
        <v>2974</v>
      </c>
      <c r="E168" s="1245" t="s">
        <v>36</v>
      </c>
      <c r="F168" s="2273">
        <f>+'VAL. PRINC'!U172</f>
        <v>0</v>
      </c>
      <c r="G168" s="2251"/>
    </row>
    <row r="169" spans="2:7" s="1410" customFormat="1" hidden="1">
      <c r="B169" s="2102"/>
      <c r="C169" s="1272" t="s">
        <v>2339</v>
      </c>
      <c r="D169" s="1262" t="s">
        <v>2975</v>
      </c>
      <c r="E169" s="1273"/>
      <c r="F169" s="2273"/>
      <c r="G169" s="2251"/>
    </row>
    <row r="170" spans="2:7" s="1410" customFormat="1" hidden="1">
      <c r="B170" s="2102"/>
      <c r="C170" s="1268" t="s">
        <v>2340</v>
      </c>
      <c r="D170" s="1241" t="s">
        <v>2971</v>
      </c>
      <c r="E170" s="1245" t="s">
        <v>40</v>
      </c>
      <c r="F170" s="2273">
        <f>+'VAL. PRINC'!U174</f>
        <v>0</v>
      </c>
      <c r="G170" s="2251"/>
    </row>
    <row r="171" spans="2:7" s="1410" customFormat="1" hidden="1">
      <c r="B171" s="2102"/>
      <c r="C171" s="1268" t="s">
        <v>2341</v>
      </c>
      <c r="D171" s="1241" t="s">
        <v>2972</v>
      </c>
      <c r="E171" s="1245" t="s">
        <v>37</v>
      </c>
      <c r="F171" s="2273">
        <f>+'VAL. PRINC'!U175</f>
        <v>0</v>
      </c>
      <c r="G171" s="2251"/>
    </row>
    <row r="172" spans="2:7" s="1410" customFormat="1" hidden="1">
      <c r="B172" s="2102"/>
      <c r="C172" s="1268" t="s">
        <v>2342</v>
      </c>
      <c r="D172" s="1241" t="s">
        <v>2973</v>
      </c>
      <c r="E172" s="1245" t="s">
        <v>48</v>
      </c>
      <c r="F172" s="2273">
        <f>+'VAL. PRINC'!U176</f>
        <v>0</v>
      </c>
      <c r="G172" s="2251"/>
    </row>
    <row r="173" spans="2:7" s="1231" customFormat="1" hidden="1">
      <c r="B173" s="2103" t="s">
        <v>3619</v>
      </c>
      <c r="C173" s="1268" t="s">
        <v>2343</v>
      </c>
      <c r="D173" s="1241" t="s">
        <v>2976</v>
      </c>
      <c r="E173" s="1245" t="s">
        <v>36</v>
      </c>
      <c r="F173" s="2273">
        <f>+'VAL. PRINC'!U177</f>
        <v>0</v>
      </c>
      <c r="G173" s="2251"/>
    </row>
    <row r="174" spans="2:7" s="1410" customFormat="1" hidden="1">
      <c r="B174" s="2102" t="s">
        <v>3619</v>
      </c>
      <c r="C174" s="1272" t="s">
        <v>2344</v>
      </c>
      <c r="D174" s="1262" t="s">
        <v>2977</v>
      </c>
      <c r="E174" s="1273"/>
      <c r="F174" s="2273"/>
      <c r="G174" s="2251"/>
    </row>
    <row r="175" spans="2:7" s="1410" customFormat="1" hidden="1">
      <c r="B175" s="2102" t="s">
        <v>3619</v>
      </c>
      <c r="C175" s="1268" t="s">
        <v>2345</v>
      </c>
      <c r="D175" s="1241" t="s">
        <v>2971</v>
      </c>
      <c r="E175" s="1245" t="s">
        <v>40</v>
      </c>
      <c r="F175" s="2273">
        <f>+'VAL. PRINC'!U179</f>
        <v>0</v>
      </c>
      <c r="G175" s="2251"/>
    </row>
    <row r="176" spans="2:7" hidden="1">
      <c r="C176" s="1268" t="s">
        <v>2346</v>
      </c>
      <c r="D176" s="1241" t="s">
        <v>2972</v>
      </c>
      <c r="E176" s="1245" t="s">
        <v>37</v>
      </c>
      <c r="F176" s="2273">
        <f>+'VAL. PRINC'!U180</f>
        <v>0</v>
      </c>
      <c r="G176" s="2251"/>
    </row>
    <row r="177" spans="3:7" hidden="1">
      <c r="C177" s="1268" t="s">
        <v>2347</v>
      </c>
      <c r="D177" s="1241" t="s">
        <v>2973</v>
      </c>
      <c r="E177" s="1245" t="s">
        <v>48</v>
      </c>
      <c r="F177" s="2273">
        <f>+'VAL. PRINC'!U181</f>
        <v>0</v>
      </c>
      <c r="G177" s="2251"/>
    </row>
    <row r="178" spans="3:7" hidden="1">
      <c r="C178" s="1268" t="s">
        <v>2348</v>
      </c>
      <c r="D178" s="1241" t="s">
        <v>2974</v>
      </c>
      <c r="E178" s="1245" t="s">
        <v>36</v>
      </c>
      <c r="F178" s="2273">
        <f>+'VAL. PRINC'!U182</f>
        <v>0</v>
      </c>
      <c r="G178" s="2251"/>
    </row>
    <row r="179" spans="3:7" hidden="1">
      <c r="C179" s="1272" t="s">
        <v>2349</v>
      </c>
      <c r="D179" s="1262" t="s">
        <v>2978</v>
      </c>
      <c r="E179" s="1273"/>
      <c r="F179" s="2273"/>
      <c r="G179" s="2251"/>
    </row>
    <row r="180" spans="3:7" hidden="1">
      <c r="C180" s="1268" t="s">
        <v>2350</v>
      </c>
      <c r="D180" s="1241" t="s">
        <v>2979</v>
      </c>
      <c r="E180" s="1245" t="s">
        <v>40</v>
      </c>
      <c r="F180" s="2273">
        <f>+'VAL. PRINC'!U184</f>
        <v>0</v>
      </c>
      <c r="G180" s="2251"/>
    </row>
    <row r="181" spans="3:7" hidden="1">
      <c r="C181" s="1268" t="s">
        <v>2351</v>
      </c>
      <c r="D181" s="1241" t="s">
        <v>2980</v>
      </c>
      <c r="E181" s="1245" t="s">
        <v>37</v>
      </c>
      <c r="F181" s="2273">
        <f>+'VAL. PRINC'!U185</f>
        <v>0</v>
      </c>
      <c r="G181" s="2251"/>
    </row>
    <row r="182" spans="3:7" hidden="1">
      <c r="C182" s="1268" t="s">
        <v>2352</v>
      </c>
      <c r="D182" s="1241" t="s">
        <v>2981</v>
      </c>
      <c r="E182" s="1245" t="s">
        <v>48</v>
      </c>
      <c r="F182" s="2273">
        <f>+'VAL. PRINC'!U186</f>
        <v>0</v>
      </c>
      <c r="G182" s="2251"/>
    </row>
    <row r="183" spans="3:7" hidden="1">
      <c r="C183" s="1272" t="s">
        <v>2353</v>
      </c>
      <c r="D183" s="1262" t="s">
        <v>2982</v>
      </c>
      <c r="E183" s="1273"/>
      <c r="F183" s="2273"/>
      <c r="G183" s="2251"/>
    </row>
    <row r="184" spans="3:7" hidden="1">
      <c r="C184" s="1268" t="s">
        <v>2354</v>
      </c>
      <c r="D184" s="1241" t="s">
        <v>2983</v>
      </c>
      <c r="E184" s="1245" t="s">
        <v>40</v>
      </c>
      <c r="F184" s="2273">
        <f>+'VAL. PRINC'!U188</f>
        <v>0</v>
      </c>
      <c r="G184" s="2251"/>
    </row>
    <row r="185" spans="3:7" hidden="1">
      <c r="C185" s="1268" t="s">
        <v>2355</v>
      </c>
      <c r="D185" s="1241" t="s">
        <v>2984</v>
      </c>
      <c r="E185" s="1245" t="s">
        <v>37</v>
      </c>
      <c r="F185" s="2273">
        <f>+'VAL. PRINC'!U189</f>
        <v>0</v>
      </c>
      <c r="G185" s="2251"/>
    </row>
    <row r="186" spans="3:7" hidden="1">
      <c r="C186" s="1268" t="s">
        <v>2356</v>
      </c>
      <c r="D186" s="1241" t="s">
        <v>2985</v>
      </c>
      <c r="E186" s="1245" t="s">
        <v>48</v>
      </c>
      <c r="F186" s="2273">
        <f>+'VAL. PRINC'!U190</f>
        <v>0</v>
      </c>
      <c r="G186" s="2251"/>
    </row>
    <row r="187" spans="3:7" hidden="1">
      <c r="C187" s="1272" t="s">
        <v>2357</v>
      </c>
      <c r="D187" s="1262" t="s">
        <v>2986</v>
      </c>
      <c r="E187" s="1273"/>
      <c r="F187" s="2273"/>
      <c r="G187" s="2251"/>
    </row>
    <row r="188" spans="3:7" hidden="1">
      <c r="C188" s="1268" t="s">
        <v>2358</v>
      </c>
      <c r="D188" s="1241" t="s">
        <v>2987</v>
      </c>
      <c r="E188" s="1245" t="s">
        <v>40</v>
      </c>
      <c r="F188" s="2273">
        <f>+'VAL. PRINC'!U192</f>
        <v>0</v>
      </c>
      <c r="G188" s="2251"/>
    </row>
    <row r="189" spans="3:7" hidden="1">
      <c r="C189" s="1268" t="s">
        <v>2359</v>
      </c>
      <c r="D189" s="1241" t="s">
        <v>2988</v>
      </c>
      <c r="E189" s="1245" t="s">
        <v>37</v>
      </c>
      <c r="F189" s="2273">
        <f>+'VAL. PRINC'!U193</f>
        <v>0</v>
      </c>
      <c r="G189" s="2251"/>
    </row>
    <row r="190" spans="3:7" hidden="1">
      <c r="C190" s="1268" t="s">
        <v>2360</v>
      </c>
      <c r="D190" s="1241" t="s">
        <v>2989</v>
      </c>
      <c r="E190" s="1245" t="s">
        <v>48</v>
      </c>
      <c r="F190" s="2273">
        <f>+'VAL. PRINC'!U194</f>
        <v>0</v>
      </c>
      <c r="G190" s="2251"/>
    </row>
    <row r="191" spans="3:7" hidden="1">
      <c r="C191" s="1272" t="s">
        <v>2361</v>
      </c>
      <c r="D191" s="1262" t="s">
        <v>2990</v>
      </c>
      <c r="E191" s="1273"/>
      <c r="F191" s="2273"/>
      <c r="G191" s="2251"/>
    </row>
    <row r="192" spans="3:7" hidden="1">
      <c r="C192" s="1268" t="s">
        <v>2362</v>
      </c>
      <c r="D192" s="1241" t="s">
        <v>3665</v>
      </c>
      <c r="E192" s="1245" t="s">
        <v>40</v>
      </c>
      <c r="F192" s="2273">
        <f>+'VAL. PRINC'!U196</f>
        <v>0</v>
      </c>
      <c r="G192" s="2251"/>
    </row>
    <row r="193" spans="3:7" hidden="1">
      <c r="C193" s="1268" t="s">
        <v>2363</v>
      </c>
      <c r="D193" s="1241" t="s">
        <v>2991</v>
      </c>
      <c r="E193" s="1245" t="s">
        <v>37</v>
      </c>
      <c r="F193" s="2273">
        <f>+'VAL. PRINC'!U197</f>
        <v>0</v>
      </c>
      <c r="G193" s="2251"/>
    </row>
    <row r="194" spans="3:7" hidden="1">
      <c r="C194" s="1268" t="s">
        <v>2364</v>
      </c>
      <c r="D194" s="1241" t="s">
        <v>2992</v>
      </c>
      <c r="E194" s="1245" t="s">
        <v>48</v>
      </c>
      <c r="F194" s="2273">
        <f>+'VAL. PRINC'!U198</f>
        <v>0</v>
      </c>
      <c r="G194" s="2251"/>
    </row>
    <row r="195" spans="3:7">
      <c r="C195" s="1272" t="s">
        <v>2365</v>
      </c>
      <c r="D195" s="1262" t="s">
        <v>2993</v>
      </c>
      <c r="E195" s="1273"/>
      <c r="F195" s="2273"/>
      <c r="G195" s="2251"/>
    </row>
    <row r="196" spans="3:7">
      <c r="C196" s="1268" t="s">
        <v>2366</v>
      </c>
      <c r="D196" s="1241" t="s">
        <v>2994</v>
      </c>
      <c r="E196" s="1245" t="s">
        <v>40</v>
      </c>
      <c r="F196" s="2273">
        <f>+'VAL. PRINC'!U200</f>
        <v>30.269840000000002</v>
      </c>
      <c r="G196" s="2251"/>
    </row>
    <row r="197" spans="3:7">
      <c r="C197" s="1268" t="s">
        <v>2367</v>
      </c>
      <c r="D197" s="1241" t="s">
        <v>2995</v>
      </c>
      <c r="E197" s="1245" t="s">
        <v>37</v>
      </c>
      <c r="F197" s="2273">
        <f>+'VAL. PRINC'!U201</f>
        <v>9.1999999999999993</v>
      </c>
      <c r="G197" s="2251"/>
    </row>
    <row r="198" spans="3:7">
      <c r="C198" s="1268" t="s">
        <v>2368</v>
      </c>
      <c r="D198" s="1241" t="s">
        <v>2996</v>
      </c>
      <c r="E198" s="1245" t="s">
        <v>48</v>
      </c>
      <c r="F198" s="2273">
        <f>+'VAL. PRINC'!U202</f>
        <v>930.15</v>
      </c>
      <c r="G198" s="2251"/>
    </row>
    <row r="199" spans="3:7" hidden="1">
      <c r="C199" s="1272" t="s">
        <v>2369</v>
      </c>
      <c r="D199" s="1262" t="s">
        <v>2923</v>
      </c>
      <c r="E199" s="1273"/>
      <c r="F199" s="2273"/>
      <c r="G199" s="2251"/>
    </row>
    <row r="200" spans="3:7" hidden="1">
      <c r="C200" s="1268" t="s">
        <v>2370</v>
      </c>
      <c r="D200" s="1241" t="s">
        <v>2997</v>
      </c>
      <c r="E200" s="1245" t="s">
        <v>40</v>
      </c>
      <c r="F200" s="2273">
        <f>+'VAL. PRINC'!U204</f>
        <v>0</v>
      </c>
      <c r="G200" s="2251"/>
    </row>
    <row r="201" spans="3:7" hidden="1">
      <c r="C201" s="1268" t="s">
        <v>2371</v>
      </c>
      <c r="D201" s="1241" t="s">
        <v>2925</v>
      </c>
      <c r="E201" s="1245" t="s">
        <v>37</v>
      </c>
      <c r="F201" s="2273">
        <f>+'VAL. PRINC'!U205</f>
        <v>0</v>
      </c>
      <c r="G201" s="2251"/>
    </row>
    <row r="202" spans="3:7" hidden="1">
      <c r="C202" s="1268" t="s">
        <v>2372</v>
      </c>
      <c r="D202" s="1241" t="s">
        <v>2998</v>
      </c>
      <c r="E202" s="1245" t="s">
        <v>48</v>
      </c>
      <c r="F202" s="2273">
        <f>+'VAL. PRINC'!U206</f>
        <v>0</v>
      </c>
      <c r="G202" s="2251"/>
    </row>
    <row r="203" spans="3:7" hidden="1">
      <c r="C203" s="1272" t="s">
        <v>2373</v>
      </c>
      <c r="D203" s="1262" t="s">
        <v>2999</v>
      </c>
      <c r="E203" s="1273"/>
      <c r="F203" s="2273"/>
      <c r="G203" s="2251"/>
    </row>
    <row r="204" spans="3:7" hidden="1">
      <c r="C204" s="1543" t="s">
        <v>2374</v>
      </c>
      <c r="D204" s="1544" t="s">
        <v>3000</v>
      </c>
      <c r="E204" s="1545"/>
      <c r="F204" s="2273"/>
      <c r="G204" s="2251"/>
    </row>
    <row r="205" spans="3:7" hidden="1">
      <c r="C205" s="1268" t="s">
        <v>2375</v>
      </c>
      <c r="D205" s="1241" t="s">
        <v>3001</v>
      </c>
      <c r="E205" s="1245" t="s">
        <v>40</v>
      </c>
      <c r="F205" s="2273">
        <f>+'VAL. PRINC'!U209</f>
        <v>0</v>
      </c>
      <c r="G205" s="2251"/>
    </row>
    <row r="206" spans="3:7" hidden="1">
      <c r="C206" s="1268" t="s">
        <v>2376</v>
      </c>
      <c r="D206" s="1241" t="s">
        <v>3002</v>
      </c>
      <c r="E206" s="1245" t="s">
        <v>37</v>
      </c>
      <c r="F206" s="2273">
        <f>+'VAL. PRINC'!U210</f>
        <v>0</v>
      </c>
      <c r="G206" s="2251"/>
    </row>
    <row r="207" spans="3:7" hidden="1">
      <c r="C207" s="1268" t="s">
        <v>2377</v>
      </c>
      <c r="D207" s="1241" t="s">
        <v>3003</v>
      </c>
      <c r="E207" s="1245" t="s">
        <v>48</v>
      </c>
      <c r="F207" s="2273">
        <f>+'VAL. PRINC'!U211</f>
        <v>0</v>
      </c>
      <c r="G207" s="2251"/>
    </row>
    <row r="208" spans="3:7" hidden="1">
      <c r="C208" s="1268" t="s">
        <v>2378</v>
      </c>
      <c r="D208" s="1241" t="s">
        <v>3004</v>
      </c>
      <c r="E208" s="1245" t="s">
        <v>38</v>
      </c>
      <c r="F208" s="2273">
        <f>+'VAL. PRINC'!U212</f>
        <v>0</v>
      </c>
      <c r="G208" s="2251"/>
    </row>
    <row r="209" spans="3:7" hidden="1">
      <c r="C209" s="1543" t="s">
        <v>2379</v>
      </c>
      <c r="D209" s="1544" t="s">
        <v>3005</v>
      </c>
      <c r="E209" s="1545"/>
      <c r="F209" s="2273"/>
      <c r="G209" s="2251"/>
    </row>
    <row r="210" spans="3:7" hidden="1">
      <c r="C210" s="1268" t="s">
        <v>2380</v>
      </c>
      <c r="D210" s="1241" t="s">
        <v>3006</v>
      </c>
      <c r="E210" s="1245" t="s">
        <v>40</v>
      </c>
      <c r="F210" s="2273">
        <f>+'VAL. PRINC'!U214</f>
        <v>0</v>
      </c>
      <c r="G210" s="2251"/>
    </row>
    <row r="211" spans="3:7" hidden="1">
      <c r="C211" s="1268" t="s">
        <v>2381</v>
      </c>
      <c r="D211" s="1241" t="s">
        <v>3007</v>
      </c>
      <c r="E211" s="1245" t="s">
        <v>37</v>
      </c>
      <c r="F211" s="2273">
        <f>+'VAL. PRINC'!U215</f>
        <v>0</v>
      </c>
      <c r="G211" s="2251"/>
    </row>
    <row r="212" spans="3:7" hidden="1">
      <c r="C212" s="1268" t="s">
        <v>2382</v>
      </c>
      <c r="D212" s="1241" t="s">
        <v>3008</v>
      </c>
      <c r="E212" s="1245" t="s">
        <v>48</v>
      </c>
      <c r="F212" s="2273">
        <f>+'VAL. PRINC'!U216</f>
        <v>0</v>
      </c>
      <c r="G212" s="2251"/>
    </row>
    <row r="213" spans="3:7" hidden="1">
      <c r="C213" s="1272" t="s">
        <v>2383</v>
      </c>
      <c r="D213" s="1262" t="s">
        <v>3009</v>
      </c>
      <c r="E213" s="1273"/>
      <c r="F213" s="2273"/>
      <c r="G213" s="2251"/>
    </row>
    <row r="214" spans="3:7" hidden="1">
      <c r="C214" s="1543" t="s">
        <v>2384</v>
      </c>
      <c r="D214" s="1544" t="s">
        <v>3010</v>
      </c>
      <c r="E214" s="1545"/>
      <c r="F214" s="2273"/>
      <c r="G214" s="2251"/>
    </row>
    <row r="215" spans="3:7" hidden="1">
      <c r="C215" s="1268" t="s">
        <v>2385</v>
      </c>
      <c r="D215" s="1241" t="s">
        <v>3011</v>
      </c>
      <c r="E215" s="1245" t="s">
        <v>40</v>
      </c>
      <c r="F215" s="2273">
        <f>+'VAL. PRINC'!U219</f>
        <v>0</v>
      </c>
      <c r="G215" s="2251"/>
    </row>
    <row r="216" spans="3:7" hidden="1">
      <c r="C216" s="1268" t="s">
        <v>2386</v>
      </c>
      <c r="D216" s="1241" t="s">
        <v>3012</v>
      </c>
      <c r="E216" s="1245" t="s">
        <v>37</v>
      </c>
      <c r="F216" s="2273">
        <f>+'VAL. PRINC'!U220</f>
        <v>0</v>
      </c>
      <c r="G216" s="2251"/>
    </row>
    <row r="217" spans="3:7" hidden="1">
      <c r="C217" s="1268" t="s">
        <v>2387</v>
      </c>
      <c r="D217" s="1241" t="s">
        <v>3013</v>
      </c>
      <c r="E217" s="1245" t="s">
        <v>48</v>
      </c>
      <c r="F217" s="2273">
        <f>+'VAL. PRINC'!U221</f>
        <v>0</v>
      </c>
      <c r="G217" s="2251"/>
    </row>
    <row r="218" spans="3:7" hidden="1">
      <c r="C218" s="1268" t="s">
        <v>2388</v>
      </c>
      <c r="D218" s="1241" t="s">
        <v>3014</v>
      </c>
      <c r="E218" s="1245" t="s">
        <v>38</v>
      </c>
      <c r="F218" s="2273">
        <f>+'VAL. PRINC'!U222</f>
        <v>0</v>
      </c>
      <c r="G218" s="2251"/>
    </row>
    <row r="219" spans="3:7" hidden="1">
      <c r="C219" s="1543" t="s">
        <v>2389</v>
      </c>
      <c r="D219" s="1544" t="s">
        <v>3015</v>
      </c>
      <c r="E219" s="1545"/>
      <c r="F219" s="2273"/>
      <c r="G219" s="2251"/>
    </row>
    <row r="220" spans="3:7" hidden="1">
      <c r="C220" s="1268" t="s">
        <v>2390</v>
      </c>
      <c r="D220" s="1241" t="s">
        <v>3006</v>
      </c>
      <c r="E220" s="1245" t="s">
        <v>40</v>
      </c>
      <c r="F220" s="2273">
        <f>+'VAL. PRINC'!U224</f>
        <v>0</v>
      </c>
      <c r="G220" s="2251"/>
    </row>
    <row r="221" spans="3:7" hidden="1">
      <c r="C221" s="1268" t="s">
        <v>2391</v>
      </c>
      <c r="D221" s="1241" t="s">
        <v>3007</v>
      </c>
      <c r="E221" s="1245" t="s">
        <v>37</v>
      </c>
      <c r="F221" s="2273">
        <f>+'VAL. PRINC'!U225</f>
        <v>0</v>
      </c>
      <c r="G221" s="2251"/>
    </row>
    <row r="222" spans="3:7" hidden="1">
      <c r="C222" s="1268" t="s">
        <v>2392</v>
      </c>
      <c r="D222" s="1241" t="s">
        <v>3008</v>
      </c>
      <c r="E222" s="1245" t="s">
        <v>48</v>
      </c>
      <c r="F222" s="2273">
        <f>+'VAL. PRINC'!U226</f>
        <v>0</v>
      </c>
      <c r="G222" s="2251"/>
    </row>
    <row r="223" spans="3:7" hidden="1">
      <c r="C223" s="1546" t="s">
        <v>2393</v>
      </c>
      <c r="D223" s="1547" t="s">
        <v>3016</v>
      </c>
      <c r="E223" s="1548"/>
      <c r="F223" s="2273"/>
      <c r="G223" s="2251"/>
    </row>
    <row r="224" spans="3:7" hidden="1">
      <c r="C224" s="1268" t="s">
        <v>2394</v>
      </c>
      <c r="D224" s="1241" t="s">
        <v>3017</v>
      </c>
      <c r="E224" s="1245" t="s">
        <v>2821</v>
      </c>
      <c r="F224" s="2273">
        <f>+'VAL. PRINC'!U228</f>
        <v>0</v>
      </c>
      <c r="G224" s="2251"/>
    </row>
    <row r="225" spans="3:7" hidden="1">
      <c r="C225" s="1263" t="s">
        <v>515</v>
      </c>
      <c r="D225" s="1264" t="s">
        <v>3018</v>
      </c>
      <c r="E225" s="1265"/>
      <c r="F225" s="2273"/>
      <c r="G225" s="2251"/>
    </row>
    <row r="226" spans="3:7" hidden="1">
      <c r="C226" s="1272" t="s">
        <v>516</v>
      </c>
      <c r="D226" s="1262" t="s">
        <v>3019</v>
      </c>
      <c r="E226" s="1273"/>
      <c r="F226" s="2273"/>
      <c r="G226" s="2251"/>
    </row>
    <row r="227" spans="3:7" hidden="1">
      <c r="C227" s="1268" t="s">
        <v>694</v>
      </c>
      <c r="D227" s="1241" t="s">
        <v>3020</v>
      </c>
      <c r="E227" s="1245" t="s">
        <v>36</v>
      </c>
      <c r="F227" s="2273">
        <f>+'VAL. PRINC'!U231</f>
        <v>0</v>
      </c>
      <c r="G227" s="2251"/>
    </row>
    <row r="228" spans="3:7" hidden="1">
      <c r="C228" s="1268" t="s">
        <v>695</v>
      </c>
      <c r="D228" s="1241" t="s">
        <v>3021</v>
      </c>
      <c r="E228" s="1245" t="s">
        <v>37</v>
      </c>
      <c r="F228" s="2273">
        <f>+'VAL. PRINC'!U232</f>
        <v>0</v>
      </c>
      <c r="G228" s="2251"/>
    </row>
    <row r="229" spans="3:7" hidden="1">
      <c r="C229" s="1268" t="s">
        <v>696</v>
      </c>
      <c r="D229" s="1241" t="s">
        <v>3022</v>
      </c>
      <c r="E229" s="1245" t="s">
        <v>36</v>
      </c>
      <c r="F229" s="2273">
        <f>+'VAL. PRINC'!U233</f>
        <v>0</v>
      </c>
      <c r="G229" s="2251"/>
    </row>
    <row r="230" spans="3:7" hidden="1">
      <c r="C230" s="1268" t="s">
        <v>697</v>
      </c>
      <c r="D230" s="1241" t="s">
        <v>3023</v>
      </c>
      <c r="E230" s="1245" t="s">
        <v>38</v>
      </c>
      <c r="F230" s="2273">
        <f>+'VAL. PRINC'!U234</f>
        <v>0</v>
      </c>
      <c r="G230" s="2251"/>
    </row>
    <row r="231" spans="3:7" hidden="1">
      <c r="C231" s="1272" t="s">
        <v>700</v>
      </c>
      <c r="D231" s="1262" t="s">
        <v>3024</v>
      </c>
      <c r="E231" s="1273"/>
      <c r="F231" s="2273"/>
      <c r="G231" s="2251"/>
    </row>
    <row r="232" spans="3:7" hidden="1">
      <c r="C232" s="1268" t="s">
        <v>701</v>
      </c>
      <c r="D232" s="1241" t="s">
        <v>3025</v>
      </c>
      <c r="E232" s="1245" t="s">
        <v>36</v>
      </c>
      <c r="F232" s="2273">
        <f>+'VAL. PRINC'!U236</f>
        <v>0</v>
      </c>
      <c r="G232" s="2251"/>
    </row>
    <row r="233" spans="3:7" hidden="1">
      <c r="C233" s="1268" t="s">
        <v>702</v>
      </c>
      <c r="D233" s="1241" t="s">
        <v>3026</v>
      </c>
      <c r="E233" s="1245" t="s">
        <v>36</v>
      </c>
      <c r="F233" s="2273">
        <f>+'VAL. PRINC'!U237</f>
        <v>0</v>
      </c>
      <c r="G233" s="2251"/>
    </row>
    <row r="234" spans="3:7" hidden="1">
      <c r="C234" s="1268" t="s">
        <v>703</v>
      </c>
      <c r="D234" s="1241" t="s">
        <v>3027</v>
      </c>
      <c r="E234" s="1245" t="s">
        <v>36</v>
      </c>
      <c r="F234" s="2273">
        <f>+'VAL. PRINC'!U238</f>
        <v>0</v>
      </c>
      <c r="G234" s="2251"/>
    </row>
    <row r="235" spans="3:7" hidden="1">
      <c r="C235" s="1268" t="s">
        <v>704</v>
      </c>
      <c r="D235" s="1241" t="s">
        <v>3028</v>
      </c>
      <c r="E235" s="1245" t="s">
        <v>36</v>
      </c>
      <c r="F235" s="2273">
        <f>+'VAL. PRINC'!U239</f>
        <v>0</v>
      </c>
      <c r="G235" s="2251"/>
    </row>
    <row r="236" spans="3:7" hidden="1">
      <c r="C236" s="1268" t="s">
        <v>705</v>
      </c>
      <c r="D236" s="1241" t="s">
        <v>3029</v>
      </c>
      <c r="E236" s="1245" t="s">
        <v>36</v>
      </c>
      <c r="F236" s="2273">
        <f>+'VAL. PRINC'!U240</f>
        <v>0</v>
      </c>
      <c r="G236" s="2251"/>
    </row>
    <row r="237" spans="3:7" hidden="1">
      <c r="C237" s="1268" t="s">
        <v>706</v>
      </c>
      <c r="D237" s="1241" t="s">
        <v>3030</v>
      </c>
      <c r="E237" s="1245" t="s">
        <v>36</v>
      </c>
      <c r="F237" s="2273">
        <f>+'VAL. PRINC'!U241</f>
        <v>0</v>
      </c>
      <c r="G237" s="2251"/>
    </row>
    <row r="238" spans="3:7" hidden="1">
      <c r="C238" s="1268" t="s">
        <v>2395</v>
      </c>
      <c r="D238" s="1241" t="s">
        <v>3031</v>
      </c>
      <c r="E238" s="1245" t="s">
        <v>36</v>
      </c>
      <c r="F238" s="2273">
        <f>+'VAL. PRINC'!U242</f>
        <v>0</v>
      </c>
      <c r="G238" s="2251"/>
    </row>
    <row r="239" spans="3:7" hidden="1">
      <c r="C239" s="1268" t="s">
        <v>2396</v>
      </c>
      <c r="D239" s="1241" t="s">
        <v>3032</v>
      </c>
      <c r="E239" s="1245" t="s">
        <v>38</v>
      </c>
      <c r="F239" s="2273">
        <f>+'VAL. PRINC'!U243</f>
        <v>0</v>
      </c>
      <c r="G239" s="2251"/>
    </row>
    <row r="240" spans="3:7" hidden="1">
      <c r="C240" s="1272" t="s">
        <v>707</v>
      </c>
      <c r="D240" s="1262" t="s">
        <v>3033</v>
      </c>
      <c r="E240" s="1273"/>
      <c r="F240" s="2273"/>
      <c r="G240" s="2251"/>
    </row>
    <row r="241" spans="3:7" hidden="1">
      <c r="C241" s="1268" t="s">
        <v>708</v>
      </c>
      <c r="D241" s="1241" t="s">
        <v>3034</v>
      </c>
      <c r="E241" s="1245" t="s">
        <v>36</v>
      </c>
      <c r="F241" s="2273">
        <f>+'VAL. PRINC'!U245</f>
        <v>0</v>
      </c>
      <c r="G241" s="2251"/>
    </row>
    <row r="242" spans="3:7" hidden="1">
      <c r="C242" s="1268" t="s">
        <v>711</v>
      </c>
      <c r="D242" s="1241" t="s">
        <v>3035</v>
      </c>
      <c r="E242" s="1245" t="s">
        <v>36</v>
      </c>
      <c r="F242" s="2273">
        <f>+'VAL. PRINC'!U246</f>
        <v>0</v>
      </c>
      <c r="G242" s="2251"/>
    </row>
    <row r="243" spans="3:7" hidden="1">
      <c r="C243" s="1268" t="s">
        <v>715</v>
      </c>
      <c r="D243" s="1241" t="s">
        <v>3036</v>
      </c>
      <c r="E243" s="1245" t="s">
        <v>36</v>
      </c>
      <c r="F243" s="2273">
        <f>+'VAL. PRINC'!U247</f>
        <v>0</v>
      </c>
      <c r="G243" s="2251"/>
    </row>
    <row r="244" spans="3:7" hidden="1">
      <c r="C244" s="1268" t="s">
        <v>719</v>
      </c>
      <c r="D244" s="1241" t="s">
        <v>3037</v>
      </c>
      <c r="E244" s="1245" t="s">
        <v>36</v>
      </c>
      <c r="F244" s="2273">
        <f>+'VAL. PRINC'!U248</f>
        <v>0</v>
      </c>
      <c r="G244" s="2251"/>
    </row>
    <row r="245" spans="3:7" hidden="1">
      <c r="C245" s="1268" t="s">
        <v>723</v>
      </c>
      <c r="D245" s="1241" t="s">
        <v>3038</v>
      </c>
      <c r="E245" s="1245" t="s">
        <v>36</v>
      </c>
      <c r="F245" s="2273">
        <f>+'VAL. PRINC'!U249</f>
        <v>0</v>
      </c>
      <c r="G245" s="2251"/>
    </row>
    <row r="246" spans="3:7" hidden="1">
      <c r="C246" s="1268" t="s">
        <v>727</v>
      </c>
      <c r="D246" s="1241" t="s">
        <v>3039</v>
      </c>
      <c r="E246" s="1245" t="s">
        <v>36</v>
      </c>
      <c r="F246" s="2273">
        <f>+'VAL. PRINC'!U250</f>
        <v>0</v>
      </c>
      <c r="G246" s="2251"/>
    </row>
    <row r="247" spans="3:7" hidden="1">
      <c r="C247" s="1268" t="s">
        <v>732</v>
      </c>
      <c r="D247" s="1241" t="s">
        <v>3040</v>
      </c>
      <c r="E247" s="1245" t="s">
        <v>36</v>
      </c>
      <c r="F247" s="2273">
        <f>+'VAL. PRINC'!U251</f>
        <v>0</v>
      </c>
      <c r="G247" s="2251"/>
    </row>
    <row r="248" spans="3:7" hidden="1">
      <c r="C248" s="1268" t="s">
        <v>2397</v>
      </c>
      <c r="D248" s="1241" t="s">
        <v>3041</v>
      </c>
      <c r="E248" s="1245" t="s">
        <v>36</v>
      </c>
      <c r="F248" s="2273">
        <f>+'VAL. PRINC'!U252</f>
        <v>0</v>
      </c>
      <c r="G248" s="2251"/>
    </row>
    <row r="249" spans="3:7" hidden="1">
      <c r="C249" s="1268" t="s">
        <v>2398</v>
      </c>
      <c r="D249" s="1241" t="s">
        <v>3042</v>
      </c>
      <c r="E249" s="1245" t="s">
        <v>38</v>
      </c>
      <c r="F249" s="2273">
        <f>+'VAL. PRINC'!U253</f>
        <v>0</v>
      </c>
      <c r="G249" s="2251"/>
    </row>
    <row r="250" spans="3:7" hidden="1">
      <c r="C250" s="1268" t="s">
        <v>2399</v>
      </c>
      <c r="D250" s="1241" t="s">
        <v>3043</v>
      </c>
      <c r="E250" s="1245" t="s">
        <v>38</v>
      </c>
      <c r="F250" s="2273">
        <f>+'VAL. PRINC'!U254</f>
        <v>0</v>
      </c>
      <c r="G250" s="2251"/>
    </row>
    <row r="251" spans="3:7" hidden="1">
      <c r="C251" s="1272" t="s">
        <v>736</v>
      </c>
      <c r="D251" s="1262" t="s">
        <v>2982</v>
      </c>
      <c r="E251" s="1273"/>
      <c r="F251" s="2273"/>
      <c r="G251" s="2251"/>
    </row>
    <row r="252" spans="3:7" hidden="1">
      <c r="C252" s="1268" t="s">
        <v>737</v>
      </c>
      <c r="D252" s="1241" t="s">
        <v>3044</v>
      </c>
      <c r="E252" s="1245" t="s">
        <v>36</v>
      </c>
      <c r="F252" s="2273">
        <f>+'VAL. PRINC'!U256</f>
        <v>0</v>
      </c>
      <c r="G252" s="2251"/>
    </row>
    <row r="253" spans="3:7" hidden="1">
      <c r="C253" s="1268" t="s">
        <v>2400</v>
      </c>
      <c r="D253" s="1241" t="s">
        <v>3045</v>
      </c>
      <c r="E253" s="1245" t="s">
        <v>38</v>
      </c>
      <c r="F253" s="2273">
        <f>+'VAL. PRINC'!U257</f>
        <v>0</v>
      </c>
      <c r="G253" s="2251"/>
    </row>
    <row r="254" spans="3:7" hidden="1">
      <c r="C254" s="1268" t="s">
        <v>2401</v>
      </c>
      <c r="D254" s="1241" t="s">
        <v>3046</v>
      </c>
      <c r="E254" s="1245" t="s">
        <v>38</v>
      </c>
      <c r="F254" s="2273">
        <f>+'VAL. PRINC'!U258</f>
        <v>0</v>
      </c>
      <c r="G254" s="2251"/>
    </row>
    <row r="255" spans="3:7" hidden="1">
      <c r="C255" s="1268" t="s">
        <v>2402</v>
      </c>
      <c r="D255" s="1241" t="s">
        <v>3047</v>
      </c>
      <c r="E255" s="1245" t="s">
        <v>38</v>
      </c>
      <c r="F255" s="2273">
        <f>+'VAL. PRINC'!U259</f>
        <v>0</v>
      </c>
      <c r="G255" s="2251"/>
    </row>
    <row r="256" spans="3:7" hidden="1">
      <c r="C256" s="1268" t="s">
        <v>2403</v>
      </c>
      <c r="D256" s="1241" t="s">
        <v>3048</v>
      </c>
      <c r="E256" s="1245" t="s">
        <v>38</v>
      </c>
      <c r="F256" s="2273">
        <f>+'VAL. PRINC'!U260</f>
        <v>0</v>
      </c>
      <c r="G256" s="2251"/>
    </row>
    <row r="257" spans="3:7" hidden="1">
      <c r="C257" s="1268" t="s">
        <v>2404</v>
      </c>
      <c r="D257" s="1241" t="s">
        <v>3049</v>
      </c>
      <c r="E257" s="1245" t="s">
        <v>36</v>
      </c>
      <c r="F257" s="2273">
        <f>+'VAL. PRINC'!U261</f>
        <v>0</v>
      </c>
      <c r="G257" s="2251"/>
    </row>
    <row r="258" spans="3:7" hidden="1">
      <c r="C258" s="1268" t="s">
        <v>2405</v>
      </c>
      <c r="D258" s="1241" t="s">
        <v>3050</v>
      </c>
      <c r="E258" s="1245" t="s">
        <v>37</v>
      </c>
      <c r="F258" s="2273">
        <f>+'VAL. PRINC'!U262</f>
        <v>0</v>
      </c>
      <c r="G258" s="2251"/>
    </row>
    <row r="259" spans="3:7" hidden="1">
      <c r="C259" s="1268" t="s">
        <v>2406</v>
      </c>
      <c r="D259" s="1241" t="s">
        <v>3051</v>
      </c>
      <c r="E259" s="1245" t="s">
        <v>36</v>
      </c>
      <c r="F259" s="2273">
        <f>+'VAL. PRINC'!U263</f>
        <v>0</v>
      </c>
      <c r="G259" s="2251"/>
    </row>
    <row r="260" spans="3:7" hidden="1">
      <c r="C260" s="1268" t="s">
        <v>2407</v>
      </c>
      <c r="D260" s="1241" t="s">
        <v>3052</v>
      </c>
      <c r="E260" s="1245" t="s">
        <v>38</v>
      </c>
      <c r="F260" s="2273">
        <f>+'VAL. PRINC'!U264</f>
        <v>0</v>
      </c>
      <c r="G260" s="2251"/>
    </row>
    <row r="261" spans="3:7" hidden="1">
      <c r="C261" s="1268" t="s">
        <v>2408</v>
      </c>
      <c r="D261" s="1241" t="s">
        <v>3053</v>
      </c>
      <c r="E261" s="1245" t="s">
        <v>37</v>
      </c>
      <c r="F261" s="2273">
        <f>+'VAL. PRINC'!U265</f>
        <v>0</v>
      </c>
      <c r="G261" s="2251"/>
    </row>
    <row r="262" spans="3:7" hidden="1">
      <c r="C262" s="1272" t="s">
        <v>738</v>
      </c>
      <c r="D262" s="1262" t="s">
        <v>2915</v>
      </c>
      <c r="E262" s="1273"/>
      <c r="F262" s="2273"/>
      <c r="G262" s="2251"/>
    </row>
    <row r="263" spans="3:7" hidden="1">
      <c r="C263" s="1268" t="s">
        <v>739</v>
      </c>
      <c r="D263" s="1241" t="s">
        <v>3054</v>
      </c>
      <c r="E263" s="1245" t="s">
        <v>36</v>
      </c>
      <c r="F263" s="2273">
        <f>+'VAL. PRINC'!U267</f>
        <v>0</v>
      </c>
      <c r="G263" s="2251"/>
    </row>
    <row r="264" spans="3:7" hidden="1">
      <c r="C264" s="1268" t="s">
        <v>740</v>
      </c>
      <c r="D264" s="1241" t="s">
        <v>3055</v>
      </c>
      <c r="E264" s="1245" t="s">
        <v>38</v>
      </c>
      <c r="F264" s="2273">
        <f>+'VAL. PRINC'!U268</f>
        <v>0</v>
      </c>
      <c r="G264" s="2251"/>
    </row>
    <row r="265" spans="3:7" hidden="1">
      <c r="C265" s="1268" t="s">
        <v>2409</v>
      </c>
      <c r="D265" s="1241" t="s">
        <v>3056</v>
      </c>
      <c r="E265" s="1245" t="s">
        <v>38</v>
      </c>
      <c r="F265" s="2273">
        <f>+'VAL. PRINC'!U269</f>
        <v>0</v>
      </c>
      <c r="G265" s="2251"/>
    </row>
    <row r="266" spans="3:7" hidden="1">
      <c r="C266" s="1263" t="s">
        <v>741</v>
      </c>
      <c r="D266" s="1264" t="s">
        <v>3057</v>
      </c>
      <c r="E266" s="1265"/>
      <c r="F266" s="2273"/>
      <c r="G266" s="2251"/>
    </row>
    <row r="267" spans="3:7" hidden="1">
      <c r="C267" s="1268" t="s">
        <v>742</v>
      </c>
      <c r="D267" s="1241" t="s">
        <v>3058</v>
      </c>
      <c r="E267" s="1245" t="s">
        <v>38</v>
      </c>
      <c r="F267" s="2273">
        <f>+'VAL. PRINC'!U271</f>
        <v>0</v>
      </c>
      <c r="G267" s="2251"/>
    </row>
    <row r="268" spans="3:7" hidden="1">
      <c r="C268" s="1268" t="s">
        <v>745</v>
      </c>
      <c r="D268" s="1241" t="s">
        <v>3059</v>
      </c>
      <c r="E268" s="1245" t="s">
        <v>37</v>
      </c>
      <c r="F268" s="2273">
        <f>+'VAL. PRINC'!U272</f>
        <v>0</v>
      </c>
      <c r="G268" s="2251"/>
    </row>
    <row r="269" spans="3:7" hidden="1">
      <c r="C269" s="1268" t="s">
        <v>747</v>
      </c>
      <c r="D269" s="1241" t="s">
        <v>3060</v>
      </c>
      <c r="E269" s="1245" t="s">
        <v>38</v>
      </c>
      <c r="F269" s="2273">
        <f>+'VAL. PRINC'!U273</f>
        <v>0</v>
      </c>
      <c r="G269" s="2251"/>
    </row>
    <row r="270" spans="3:7" hidden="1">
      <c r="C270" s="1268" t="s">
        <v>760</v>
      </c>
      <c r="D270" s="1241" t="s">
        <v>3061</v>
      </c>
      <c r="E270" s="1245" t="s">
        <v>37</v>
      </c>
      <c r="F270" s="2273">
        <f>+'VAL. PRINC'!U274</f>
        <v>0</v>
      </c>
      <c r="G270" s="2251"/>
    </row>
    <row r="271" spans="3:7" hidden="1">
      <c r="C271" s="1268" t="s">
        <v>2410</v>
      </c>
      <c r="D271" s="1241" t="s">
        <v>3062</v>
      </c>
      <c r="E271" s="1245" t="s">
        <v>37</v>
      </c>
      <c r="F271" s="2273">
        <f>+'VAL. PRINC'!U275</f>
        <v>0</v>
      </c>
      <c r="G271" s="2251"/>
    </row>
    <row r="272" spans="3:7">
      <c r="C272" s="1263" t="s">
        <v>762</v>
      </c>
      <c r="D272" s="1264" t="s">
        <v>3063</v>
      </c>
      <c r="E272" s="1265"/>
      <c r="F272" s="2273"/>
      <c r="G272" s="2251"/>
    </row>
    <row r="273" spans="3:7">
      <c r="C273" s="1268" t="s">
        <v>763</v>
      </c>
      <c r="D273" s="1241" t="s">
        <v>3064</v>
      </c>
      <c r="E273" s="1245" t="s">
        <v>38</v>
      </c>
      <c r="F273" s="2273">
        <f>+'VAL. PRINC'!U277</f>
        <v>9.6</v>
      </c>
      <c r="G273" s="2251"/>
    </row>
    <row r="274" spans="3:7" hidden="1">
      <c r="C274" s="1268" t="s">
        <v>766</v>
      </c>
      <c r="D274" s="1241" t="s">
        <v>3065</v>
      </c>
      <c r="E274" s="1245" t="s">
        <v>38</v>
      </c>
      <c r="F274" s="2273">
        <f>+'VAL. PRINC'!U278</f>
        <v>0</v>
      </c>
      <c r="G274" s="2251"/>
    </row>
    <row r="275" spans="3:7">
      <c r="C275" s="1269" t="s">
        <v>45</v>
      </c>
      <c r="D275" s="1270" t="s">
        <v>1233</v>
      </c>
      <c r="E275" s="1271"/>
      <c r="F275" s="2273"/>
      <c r="G275" s="2251"/>
    </row>
    <row r="276" spans="3:7" hidden="1">
      <c r="C276" s="1263" t="s">
        <v>47</v>
      </c>
      <c r="D276" s="1264" t="s">
        <v>3066</v>
      </c>
      <c r="E276" s="1265"/>
      <c r="F276" s="2273"/>
      <c r="G276" s="2251"/>
    </row>
    <row r="277" spans="3:7" hidden="1">
      <c r="C277" s="1268" t="s">
        <v>49</v>
      </c>
      <c r="D277" s="1241" t="s">
        <v>3067</v>
      </c>
      <c r="E277" s="1245" t="s">
        <v>37</v>
      </c>
      <c r="F277" s="2273">
        <f>+'VAL. PRINC'!U281</f>
        <v>0</v>
      </c>
      <c r="G277" s="2251"/>
    </row>
    <row r="278" spans="3:7" hidden="1">
      <c r="C278" s="1268" t="s">
        <v>50</v>
      </c>
      <c r="D278" s="1241" t="s">
        <v>3068</v>
      </c>
      <c r="E278" s="1245" t="s">
        <v>37</v>
      </c>
      <c r="F278" s="2273">
        <f>+'VAL. PRINC'!U282</f>
        <v>0</v>
      </c>
      <c r="G278" s="2251"/>
    </row>
    <row r="279" spans="3:7" hidden="1">
      <c r="C279" s="1268" t="s">
        <v>51</v>
      </c>
      <c r="D279" s="1241" t="s">
        <v>3069</v>
      </c>
      <c r="E279" s="1245" t="s">
        <v>37</v>
      </c>
      <c r="F279" s="2273">
        <f>+'VAL. PRINC'!U283</f>
        <v>0</v>
      </c>
      <c r="G279" s="2251"/>
    </row>
    <row r="280" spans="3:7" hidden="1">
      <c r="C280" s="1268" t="s">
        <v>277</v>
      </c>
      <c r="D280" s="1241" t="s">
        <v>3070</v>
      </c>
      <c r="E280" s="1245" t="s">
        <v>37</v>
      </c>
      <c r="F280" s="2273">
        <f>+'VAL. PRINC'!U284</f>
        <v>0</v>
      </c>
      <c r="G280" s="2251"/>
    </row>
    <row r="281" spans="3:7" hidden="1">
      <c r="C281" s="1268" t="s">
        <v>279</v>
      </c>
      <c r="D281" s="1241" t="s">
        <v>3071</v>
      </c>
      <c r="E281" s="1245" t="s">
        <v>37</v>
      </c>
      <c r="F281" s="2273">
        <f>+'VAL. PRINC'!U285</f>
        <v>0</v>
      </c>
      <c r="G281" s="2251"/>
    </row>
    <row r="282" spans="3:7" hidden="1">
      <c r="C282" s="1268" t="s">
        <v>280</v>
      </c>
      <c r="D282" s="1241" t="s">
        <v>3072</v>
      </c>
      <c r="E282" s="1245" t="s">
        <v>37</v>
      </c>
      <c r="F282" s="2273">
        <f>+'VAL. PRINC'!U286</f>
        <v>0</v>
      </c>
      <c r="G282" s="2251"/>
    </row>
    <row r="283" spans="3:7" hidden="1">
      <c r="C283" s="1268" t="s">
        <v>281</v>
      </c>
      <c r="D283" s="1241" t="s">
        <v>3073</v>
      </c>
      <c r="E283" s="1245" t="s">
        <v>37</v>
      </c>
      <c r="F283" s="2273">
        <f>+'VAL. PRINC'!U287</f>
        <v>0</v>
      </c>
      <c r="G283" s="2251"/>
    </row>
    <row r="284" spans="3:7">
      <c r="C284" s="1263" t="s">
        <v>474</v>
      </c>
      <c r="D284" s="1264" t="s">
        <v>3074</v>
      </c>
      <c r="E284" s="1265"/>
      <c r="F284" s="2273"/>
      <c r="G284" s="2251"/>
    </row>
    <row r="285" spans="3:7" hidden="1">
      <c r="C285" s="1268" t="s">
        <v>475</v>
      </c>
      <c r="D285" s="1241" t="s">
        <v>3075</v>
      </c>
      <c r="E285" s="1245" t="s">
        <v>37</v>
      </c>
      <c r="F285" s="2273">
        <f>+'VAL. PRINC'!U289</f>
        <v>0</v>
      </c>
      <c r="G285" s="2251"/>
    </row>
    <row r="286" spans="3:7" hidden="1">
      <c r="C286" s="1268" t="s">
        <v>476</v>
      </c>
      <c r="D286" s="1241" t="s">
        <v>3076</v>
      </c>
      <c r="E286" s="1245" t="s">
        <v>37</v>
      </c>
      <c r="F286" s="2273">
        <f>+'VAL. PRINC'!U290</f>
        <v>0</v>
      </c>
      <c r="G286" s="2251"/>
    </row>
    <row r="287" spans="3:7" hidden="1">
      <c r="C287" s="1268" t="s">
        <v>477</v>
      </c>
      <c r="D287" s="1241" t="s">
        <v>3077</v>
      </c>
      <c r="E287" s="1245" t="s">
        <v>37</v>
      </c>
      <c r="F287" s="2273">
        <f>+'VAL. PRINC'!U291</f>
        <v>0</v>
      </c>
      <c r="G287" s="2251"/>
    </row>
    <row r="288" spans="3:7" hidden="1">
      <c r="C288" s="1268" t="s">
        <v>478</v>
      </c>
      <c r="D288" s="1241" t="s">
        <v>3078</v>
      </c>
      <c r="E288" s="1245" t="s">
        <v>37</v>
      </c>
      <c r="F288" s="2273">
        <f>+'VAL. PRINC'!U292</f>
        <v>0</v>
      </c>
      <c r="G288" s="2251"/>
    </row>
    <row r="289" spans="3:7" hidden="1">
      <c r="C289" s="1268" t="s">
        <v>479</v>
      </c>
      <c r="D289" s="1241" t="s">
        <v>3079</v>
      </c>
      <c r="E289" s="1245" t="s">
        <v>37</v>
      </c>
      <c r="F289" s="2273">
        <f>+'VAL. PRINC'!U293</f>
        <v>0</v>
      </c>
      <c r="G289" s="2251"/>
    </row>
    <row r="290" spans="3:7" hidden="1">
      <c r="C290" s="1268" t="s">
        <v>480</v>
      </c>
      <c r="D290" s="1241" t="s">
        <v>3080</v>
      </c>
      <c r="E290" s="1245" t="s">
        <v>37</v>
      </c>
      <c r="F290" s="2273">
        <f>+'VAL. PRINC'!U294</f>
        <v>0</v>
      </c>
      <c r="G290" s="2251"/>
    </row>
    <row r="291" spans="3:7" hidden="1">
      <c r="C291" s="1268" t="s">
        <v>481</v>
      </c>
      <c r="D291" s="1241" t="s">
        <v>3081</v>
      </c>
      <c r="E291" s="1245" t="s">
        <v>37</v>
      </c>
      <c r="F291" s="2273">
        <f>+'VAL. PRINC'!U295</f>
        <v>0</v>
      </c>
      <c r="G291" s="2251"/>
    </row>
    <row r="292" spans="3:7" hidden="1">
      <c r="C292" s="1268" t="s">
        <v>482</v>
      </c>
      <c r="D292" s="1241" t="s">
        <v>3082</v>
      </c>
      <c r="E292" s="1245" t="s">
        <v>37</v>
      </c>
      <c r="F292" s="2273">
        <f>+'VAL. PRINC'!U296</f>
        <v>0</v>
      </c>
      <c r="G292" s="2251"/>
    </row>
    <row r="293" spans="3:7" hidden="1">
      <c r="C293" s="1268" t="s">
        <v>865</v>
      </c>
      <c r="D293" s="1241" t="s">
        <v>3083</v>
      </c>
      <c r="E293" s="1245" t="s">
        <v>37</v>
      </c>
      <c r="F293" s="2273">
        <f>+'VAL. PRINC'!U297</f>
        <v>0</v>
      </c>
      <c r="G293" s="2251"/>
    </row>
    <row r="294" spans="3:7" hidden="1">
      <c r="C294" s="1268" t="s">
        <v>867</v>
      </c>
      <c r="D294" s="1241" t="s">
        <v>3084</v>
      </c>
      <c r="E294" s="1245" t="s">
        <v>37</v>
      </c>
      <c r="F294" s="2273">
        <f>+'VAL. PRINC'!U298</f>
        <v>0</v>
      </c>
      <c r="G294" s="2251"/>
    </row>
    <row r="295" spans="3:7" hidden="1">
      <c r="C295" s="1268" t="s">
        <v>871</v>
      </c>
      <c r="D295" s="1241" t="s">
        <v>3085</v>
      </c>
      <c r="E295" s="1245" t="s">
        <v>37</v>
      </c>
      <c r="F295" s="2273">
        <f>+'VAL. PRINC'!U299</f>
        <v>0</v>
      </c>
      <c r="G295" s="2251"/>
    </row>
    <row r="296" spans="3:7" hidden="1">
      <c r="C296" s="1268" t="s">
        <v>874</v>
      </c>
      <c r="D296" s="1241" t="s">
        <v>3086</v>
      </c>
      <c r="E296" s="1245" t="s">
        <v>37</v>
      </c>
      <c r="F296" s="2273">
        <f>+'VAL. PRINC'!U300</f>
        <v>0</v>
      </c>
      <c r="G296" s="2251"/>
    </row>
    <row r="297" spans="3:7" hidden="1">
      <c r="C297" s="1268" t="s">
        <v>882</v>
      </c>
      <c r="D297" s="1241" t="s">
        <v>3087</v>
      </c>
      <c r="E297" s="1245" t="s">
        <v>37</v>
      </c>
      <c r="F297" s="2273">
        <f>+'VAL. PRINC'!U301</f>
        <v>0</v>
      </c>
      <c r="G297" s="2251"/>
    </row>
    <row r="298" spans="3:7">
      <c r="C298" s="1268" t="s">
        <v>2411</v>
      </c>
      <c r="D298" s="1241" t="s">
        <v>3088</v>
      </c>
      <c r="E298" s="1245" t="s">
        <v>37</v>
      </c>
      <c r="F298" s="2273">
        <f>+'VAL. PRINC'!U302</f>
        <v>39.65</v>
      </c>
      <c r="G298" s="2251"/>
    </row>
    <row r="299" spans="3:7" hidden="1">
      <c r="C299" s="1268" t="s">
        <v>2412</v>
      </c>
      <c r="D299" s="1241" t="s">
        <v>3089</v>
      </c>
      <c r="E299" s="1245" t="s">
        <v>37</v>
      </c>
      <c r="F299" s="2273">
        <f>+'VAL. PRINC'!U303</f>
        <v>0</v>
      </c>
      <c r="G299" s="2251"/>
    </row>
    <row r="300" spans="3:7" hidden="1">
      <c r="C300" s="1268" t="s">
        <v>2413</v>
      </c>
      <c r="D300" s="1241" t="s">
        <v>3090</v>
      </c>
      <c r="E300" s="1245" t="s">
        <v>37</v>
      </c>
      <c r="F300" s="2273">
        <f>+'VAL. PRINC'!U304</f>
        <v>0</v>
      </c>
      <c r="G300" s="2251"/>
    </row>
    <row r="301" spans="3:7" hidden="1">
      <c r="C301" s="1268" t="s">
        <v>2414</v>
      </c>
      <c r="D301" s="1241" t="s">
        <v>3091</v>
      </c>
      <c r="E301" s="1245" t="s">
        <v>37</v>
      </c>
      <c r="F301" s="2273">
        <f>+'VAL. PRINC'!U305</f>
        <v>0</v>
      </c>
      <c r="G301" s="2251"/>
    </row>
    <row r="302" spans="3:7" hidden="1">
      <c r="C302" s="1268" t="s">
        <v>2415</v>
      </c>
      <c r="D302" s="1241" t="s">
        <v>3092</v>
      </c>
      <c r="E302" s="1245" t="s">
        <v>37</v>
      </c>
      <c r="F302" s="2273">
        <f>+'VAL. PRINC'!U306</f>
        <v>0</v>
      </c>
      <c r="G302" s="2251"/>
    </row>
    <row r="303" spans="3:7" hidden="1">
      <c r="C303" s="1268" t="s">
        <v>2416</v>
      </c>
      <c r="D303" s="1241" t="s">
        <v>3093</v>
      </c>
      <c r="E303" s="1245" t="s">
        <v>38</v>
      </c>
      <c r="F303" s="2273">
        <f>+'VAL. PRINC'!U307</f>
        <v>0</v>
      </c>
      <c r="G303" s="2251"/>
    </row>
    <row r="304" spans="3:7" hidden="1">
      <c r="C304" s="1268" t="s">
        <v>2417</v>
      </c>
      <c r="D304" s="1241" t="s">
        <v>3094</v>
      </c>
      <c r="E304" s="1245" t="s">
        <v>38</v>
      </c>
      <c r="F304" s="2273">
        <f>+'VAL. PRINC'!U308</f>
        <v>0</v>
      </c>
      <c r="G304" s="2251"/>
    </row>
    <row r="305" spans="3:7" hidden="1">
      <c r="C305" s="1268" t="s">
        <v>2418</v>
      </c>
      <c r="D305" s="1241" t="s">
        <v>3095</v>
      </c>
      <c r="E305" s="1245" t="s">
        <v>37</v>
      </c>
      <c r="F305" s="2273">
        <f>+'VAL. PRINC'!U309</f>
        <v>0</v>
      </c>
      <c r="G305" s="2251"/>
    </row>
    <row r="306" spans="3:7" hidden="1">
      <c r="C306" s="1268" t="s">
        <v>2419</v>
      </c>
      <c r="D306" s="1241" t="s">
        <v>3096</v>
      </c>
      <c r="E306" s="1245" t="s">
        <v>37</v>
      </c>
      <c r="F306" s="2273">
        <f>+'VAL. PRINC'!U310</f>
        <v>0</v>
      </c>
      <c r="G306" s="2251"/>
    </row>
    <row r="307" spans="3:7" hidden="1">
      <c r="C307" s="1263" t="s">
        <v>483</v>
      </c>
      <c r="D307" s="1264" t="s">
        <v>3097</v>
      </c>
      <c r="E307" s="1265"/>
      <c r="F307" s="2273"/>
      <c r="G307" s="2251"/>
    </row>
    <row r="308" spans="3:7" hidden="1">
      <c r="C308" s="1268" t="s">
        <v>484</v>
      </c>
      <c r="D308" s="1241" t="s">
        <v>3098</v>
      </c>
      <c r="E308" s="1245" t="s">
        <v>37</v>
      </c>
      <c r="F308" s="2273">
        <f>+'VAL. PRINC'!U312</f>
        <v>0</v>
      </c>
      <c r="G308" s="2251"/>
    </row>
    <row r="309" spans="3:7" hidden="1">
      <c r="C309" s="1268" t="s">
        <v>485</v>
      </c>
      <c r="D309" s="1241" t="s">
        <v>3099</v>
      </c>
      <c r="E309" s="1245" t="s">
        <v>37</v>
      </c>
      <c r="F309" s="2273">
        <f>+'VAL. PRINC'!U313</f>
        <v>0</v>
      </c>
      <c r="G309" s="2251"/>
    </row>
    <row r="310" spans="3:7">
      <c r="C310" s="1263" t="s">
        <v>517</v>
      </c>
      <c r="D310" s="1264" t="s">
        <v>3100</v>
      </c>
      <c r="E310" s="1265"/>
      <c r="F310" s="2273"/>
      <c r="G310" s="2251"/>
    </row>
    <row r="311" spans="3:7" hidden="1">
      <c r="C311" s="1272" t="s">
        <v>518</v>
      </c>
      <c r="D311" s="1262" t="s">
        <v>3101</v>
      </c>
      <c r="E311" s="1273"/>
      <c r="F311" s="2273"/>
      <c r="G311" s="2251"/>
    </row>
    <row r="312" spans="3:7" hidden="1">
      <c r="C312" s="1268" t="s">
        <v>519</v>
      </c>
      <c r="D312" s="1241" t="s">
        <v>3102</v>
      </c>
      <c r="E312" s="1245" t="s">
        <v>37</v>
      </c>
      <c r="F312" s="2273">
        <f>+'VAL. PRINC'!U316</f>
        <v>0</v>
      </c>
      <c r="G312" s="2251"/>
    </row>
    <row r="313" spans="3:7">
      <c r="C313" s="1272" t="s">
        <v>521</v>
      </c>
      <c r="D313" s="1262" t="s">
        <v>3103</v>
      </c>
      <c r="E313" s="1273"/>
      <c r="F313" s="2273"/>
      <c r="G313" s="2251"/>
    </row>
    <row r="314" spans="3:7" hidden="1">
      <c r="C314" s="1268" t="s">
        <v>522</v>
      </c>
      <c r="D314" s="1241" t="s">
        <v>3104</v>
      </c>
      <c r="E314" s="1245" t="s">
        <v>37</v>
      </c>
      <c r="F314" s="2273">
        <f>+'VAL. PRINC'!U318</f>
        <v>0</v>
      </c>
      <c r="G314" s="2251"/>
    </row>
    <row r="315" spans="3:7" hidden="1">
      <c r="C315" s="1268" t="s">
        <v>934</v>
      </c>
      <c r="D315" s="1241" t="s">
        <v>3105</v>
      </c>
      <c r="E315" s="1245" t="s">
        <v>37</v>
      </c>
      <c r="F315" s="2273">
        <f>+'VAL. PRINC'!U319</f>
        <v>0</v>
      </c>
      <c r="G315" s="2251"/>
    </row>
    <row r="316" spans="3:7" hidden="1">
      <c r="C316" s="1268" t="s">
        <v>935</v>
      </c>
      <c r="D316" s="1241" t="s">
        <v>3106</v>
      </c>
      <c r="E316" s="1245" t="s">
        <v>37</v>
      </c>
      <c r="F316" s="2273">
        <f>+'VAL. PRINC'!U320</f>
        <v>0</v>
      </c>
      <c r="G316" s="2251"/>
    </row>
    <row r="317" spans="3:7">
      <c r="C317" s="1268" t="s">
        <v>936</v>
      </c>
      <c r="D317" s="1241" t="s">
        <v>3107</v>
      </c>
      <c r="E317" s="1245" t="s">
        <v>37</v>
      </c>
      <c r="F317" s="2273">
        <f>+'VAL. PRINC'!U321</f>
        <v>59.66</v>
      </c>
      <c r="G317" s="2251"/>
    </row>
    <row r="318" spans="3:7" hidden="1">
      <c r="C318" s="1268" t="s">
        <v>937</v>
      </c>
      <c r="D318" s="1241" t="s">
        <v>3108</v>
      </c>
      <c r="E318" s="1245" t="s">
        <v>37</v>
      </c>
      <c r="F318" s="2273">
        <f>+'VAL. PRINC'!U322</f>
        <v>0</v>
      </c>
      <c r="G318" s="2251"/>
    </row>
    <row r="319" spans="3:7" hidden="1">
      <c r="C319" s="1268" t="s">
        <v>938</v>
      </c>
      <c r="D319" s="1241" t="s">
        <v>3109</v>
      </c>
      <c r="E319" s="1245" t="s">
        <v>37</v>
      </c>
      <c r="F319" s="2273">
        <f>+'VAL. PRINC'!U323</f>
        <v>0</v>
      </c>
      <c r="G319" s="2251"/>
    </row>
    <row r="320" spans="3:7" hidden="1">
      <c r="C320" s="1268" t="s">
        <v>939</v>
      </c>
      <c r="D320" s="1241" t="s">
        <v>3110</v>
      </c>
      <c r="E320" s="1245" t="s">
        <v>37</v>
      </c>
      <c r="F320" s="2273">
        <f>+'VAL. PRINC'!U324</f>
        <v>0</v>
      </c>
      <c r="G320" s="2251"/>
    </row>
    <row r="321" spans="3:7" hidden="1">
      <c r="C321" s="1268" t="s">
        <v>2420</v>
      </c>
      <c r="D321" s="1241" t="s">
        <v>3111</v>
      </c>
      <c r="E321" s="1245" t="s">
        <v>37</v>
      </c>
      <c r="F321" s="2273">
        <f>+'VAL. PRINC'!U325</f>
        <v>0</v>
      </c>
      <c r="G321" s="2251"/>
    </row>
    <row r="322" spans="3:7">
      <c r="C322" s="1268" t="s">
        <v>2421</v>
      </c>
      <c r="D322" s="1241" t="s">
        <v>3112</v>
      </c>
      <c r="E322" s="1245" t="s">
        <v>37</v>
      </c>
      <c r="F322" s="2273">
        <f>+'VAL. PRINC'!U326</f>
        <v>326.39</v>
      </c>
      <c r="G322" s="2251"/>
    </row>
    <row r="323" spans="3:7" hidden="1">
      <c r="C323" s="1268" t="s">
        <v>2422</v>
      </c>
      <c r="D323" s="1241" t="s">
        <v>3113</v>
      </c>
      <c r="E323" s="1245" t="s">
        <v>37</v>
      </c>
      <c r="F323" s="2273">
        <f>+'VAL. PRINC'!U327</f>
        <v>0</v>
      </c>
      <c r="G323" s="2251"/>
    </row>
    <row r="324" spans="3:7" hidden="1">
      <c r="C324" s="1268" t="s">
        <v>2423</v>
      </c>
      <c r="D324" s="1241" t="s">
        <v>3114</v>
      </c>
      <c r="E324" s="1245" t="s">
        <v>37</v>
      </c>
      <c r="F324" s="2273">
        <f>+'VAL. PRINC'!U328</f>
        <v>0</v>
      </c>
      <c r="G324" s="2251"/>
    </row>
    <row r="325" spans="3:7" hidden="1">
      <c r="C325" s="1268" t="s">
        <v>2424</v>
      </c>
      <c r="D325" s="1241" t="s">
        <v>3115</v>
      </c>
      <c r="E325" s="1245" t="s">
        <v>38</v>
      </c>
      <c r="F325" s="2273">
        <f>+'VAL. PRINC'!U329</f>
        <v>0</v>
      </c>
      <c r="G325" s="2251"/>
    </row>
    <row r="326" spans="3:7" hidden="1">
      <c r="C326" s="1268" t="s">
        <v>2425</v>
      </c>
      <c r="D326" s="1241" t="s">
        <v>3116</v>
      </c>
      <c r="E326" s="1245" t="s">
        <v>37</v>
      </c>
      <c r="F326" s="2273">
        <f>+'VAL. PRINC'!U330</f>
        <v>0</v>
      </c>
      <c r="G326" s="2251"/>
    </row>
    <row r="327" spans="3:7" hidden="1">
      <c r="C327" s="1272" t="s">
        <v>523</v>
      </c>
      <c r="D327" s="1262" t="s">
        <v>3117</v>
      </c>
      <c r="E327" s="1273"/>
      <c r="F327" s="2273"/>
      <c r="G327" s="2251"/>
    </row>
    <row r="328" spans="3:7" hidden="1">
      <c r="C328" s="1268" t="s">
        <v>524</v>
      </c>
      <c r="D328" s="1241" t="s">
        <v>3118</v>
      </c>
      <c r="E328" s="1245" t="s">
        <v>38</v>
      </c>
      <c r="F328" s="2273">
        <f>+'VAL. PRINC'!U332</f>
        <v>0</v>
      </c>
      <c r="G328" s="2251"/>
    </row>
    <row r="329" spans="3:7" hidden="1">
      <c r="C329" s="1268" t="s">
        <v>2426</v>
      </c>
      <c r="D329" s="1241" t="s">
        <v>3119</v>
      </c>
      <c r="E329" s="1245" t="s">
        <v>38</v>
      </c>
      <c r="F329" s="2273">
        <f>+'VAL. PRINC'!U333</f>
        <v>0</v>
      </c>
      <c r="G329" s="2251"/>
    </row>
    <row r="330" spans="3:7" hidden="1">
      <c r="C330" s="1268" t="s">
        <v>2427</v>
      </c>
      <c r="D330" s="1241" t="s">
        <v>3120</v>
      </c>
      <c r="E330" s="1245" t="s">
        <v>38</v>
      </c>
      <c r="F330" s="2273">
        <f>+'VAL. PRINC'!U334</f>
        <v>0</v>
      </c>
      <c r="G330" s="2251"/>
    </row>
    <row r="331" spans="3:7" hidden="1">
      <c r="C331" s="1268" t="s">
        <v>2428</v>
      </c>
      <c r="D331" s="1241" t="s">
        <v>3121</v>
      </c>
      <c r="E331" s="1245" t="s">
        <v>38</v>
      </c>
      <c r="F331" s="2273">
        <f>+'VAL. PRINC'!U335</f>
        <v>0</v>
      </c>
      <c r="G331" s="2251"/>
    </row>
    <row r="332" spans="3:7" hidden="1">
      <c r="C332" s="1263" t="s">
        <v>525</v>
      </c>
      <c r="D332" s="1264" t="s">
        <v>3122</v>
      </c>
      <c r="E332" s="1265"/>
      <c r="F332" s="2273"/>
      <c r="G332" s="2251"/>
    </row>
    <row r="333" spans="3:7" hidden="1">
      <c r="C333" s="1272" t="s">
        <v>526</v>
      </c>
      <c r="D333" s="1262" t="s">
        <v>3123</v>
      </c>
      <c r="E333" s="1273"/>
      <c r="F333" s="2273"/>
      <c r="G333" s="2251"/>
    </row>
    <row r="334" spans="3:7" hidden="1">
      <c r="C334" s="1268" t="s">
        <v>527</v>
      </c>
      <c r="D334" s="1241" t="s">
        <v>3124</v>
      </c>
      <c r="E334" s="1245" t="s">
        <v>37</v>
      </c>
      <c r="F334" s="2273">
        <f>+'VAL. PRINC'!U338</f>
        <v>0</v>
      </c>
      <c r="G334" s="2251"/>
    </row>
    <row r="335" spans="3:7" hidden="1">
      <c r="C335" s="1268" t="s">
        <v>2429</v>
      </c>
      <c r="D335" s="1241" t="s">
        <v>3125</v>
      </c>
      <c r="E335" s="1245" t="s">
        <v>37</v>
      </c>
      <c r="F335" s="2273">
        <f>+'VAL. PRINC'!U339</f>
        <v>0</v>
      </c>
      <c r="G335" s="2251"/>
    </row>
    <row r="336" spans="3:7" hidden="1">
      <c r="C336" s="1268" t="s">
        <v>2430</v>
      </c>
      <c r="D336" s="1241" t="s">
        <v>3126</v>
      </c>
      <c r="E336" s="1245" t="s">
        <v>37</v>
      </c>
      <c r="F336" s="2273">
        <f>+'VAL. PRINC'!U340</f>
        <v>0</v>
      </c>
      <c r="G336" s="2251"/>
    </row>
    <row r="337" spans="3:7" hidden="1">
      <c r="C337" s="1272" t="s">
        <v>976</v>
      </c>
      <c r="D337" s="1262" t="s">
        <v>3127</v>
      </c>
      <c r="E337" s="1273"/>
      <c r="F337" s="2273"/>
      <c r="G337" s="2251"/>
    </row>
    <row r="338" spans="3:7" hidden="1">
      <c r="C338" s="1268" t="s">
        <v>977</v>
      </c>
      <c r="D338" s="1241" t="s">
        <v>3128</v>
      </c>
      <c r="E338" s="1245" t="s">
        <v>38</v>
      </c>
      <c r="F338" s="2273">
        <f>+'VAL. PRINC'!U342</f>
        <v>0</v>
      </c>
      <c r="G338" s="2251"/>
    </row>
    <row r="339" spans="3:7" hidden="1">
      <c r="C339" s="1268" t="s">
        <v>978</v>
      </c>
      <c r="D339" s="1241" t="s">
        <v>3129</v>
      </c>
      <c r="E339" s="1245" t="s">
        <v>38</v>
      </c>
      <c r="F339" s="2273">
        <f>+'VAL. PRINC'!U343</f>
        <v>0</v>
      </c>
      <c r="G339" s="2251"/>
    </row>
    <row r="340" spans="3:7" hidden="1">
      <c r="C340" s="1263" t="s">
        <v>986</v>
      </c>
      <c r="D340" s="1264" t="s">
        <v>3130</v>
      </c>
      <c r="E340" s="1265"/>
      <c r="F340" s="2273"/>
      <c r="G340" s="2251"/>
    </row>
    <row r="341" spans="3:7" hidden="1">
      <c r="C341" s="1268" t="s">
        <v>987</v>
      </c>
      <c r="D341" s="1241" t="s">
        <v>3131</v>
      </c>
      <c r="E341" s="1245" t="s">
        <v>37</v>
      </c>
      <c r="F341" s="2273">
        <f>+'VAL. PRINC'!U345</f>
        <v>0</v>
      </c>
      <c r="G341" s="2251"/>
    </row>
    <row r="342" spans="3:7" hidden="1">
      <c r="C342" s="1263" t="s">
        <v>989</v>
      </c>
      <c r="D342" s="1264" t="s">
        <v>3132</v>
      </c>
      <c r="E342" s="1265"/>
      <c r="F342" s="2273"/>
      <c r="G342" s="2251"/>
    </row>
    <row r="343" spans="3:7" hidden="1">
      <c r="C343" s="1268" t="s">
        <v>990</v>
      </c>
      <c r="D343" s="1241" t="s">
        <v>3133</v>
      </c>
      <c r="E343" s="1245" t="s">
        <v>37</v>
      </c>
      <c r="F343" s="2273">
        <f>+'VAL. PRINC'!U347</f>
        <v>0</v>
      </c>
      <c r="G343" s="2251"/>
    </row>
    <row r="344" spans="3:7" hidden="1">
      <c r="C344" s="1268" t="s">
        <v>993</v>
      </c>
      <c r="D344" s="1241" t="s">
        <v>3134</v>
      </c>
      <c r="E344" s="1245" t="s">
        <v>37</v>
      </c>
      <c r="F344" s="2273">
        <f>+'VAL. PRINC'!U348</f>
        <v>0</v>
      </c>
      <c r="G344" s="2251"/>
    </row>
    <row r="345" spans="3:7" hidden="1">
      <c r="C345" s="1268" t="s">
        <v>996</v>
      </c>
      <c r="D345" s="1241" t="s">
        <v>3135</v>
      </c>
      <c r="E345" s="1245" t="s">
        <v>37</v>
      </c>
      <c r="F345" s="2273">
        <f>+'VAL. PRINC'!U349</f>
        <v>0</v>
      </c>
      <c r="G345" s="2251"/>
    </row>
    <row r="346" spans="3:7" hidden="1">
      <c r="C346" s="1268" t="s">
        <v>998</v>
      </c>
      <c r="D346" s="1241" t="s">
        <v>3136</v>
      </c>
      <c r="E346" s="1245" t="s">
        <v>37</v>
      </c>
      <c r="F346" s="2273">
        <f>+'VAL. PRINC'!U350</f>
        <v>0</v>
      </c>
      <c r="G346" s="2251"/>
    </row>
    <row r="347" spans="3:7" hidden="1">
      <c r="C347" s="1268" t="s">
        <v>2431</v>
      </c>
      <c r="D347" s="1241" t="s">
        <v>3137</v>
      </c>
      <c r="E347" s="1245" t="s">
        <v>37</v>
      </c>
      <c r="F347" s="2273">
        <f>+'VAL. PRINC'!U351</f>
        <v>0</v>
      </c>
      <c r="G347" s="2251"/>
    </row>
    <row r="348" spans="3:7" hidden="1">
      <c r="C348" s="1268" t="s">
        <v>2432</v>
      </c>
      <c r="D348" s="1241" t="s">
        <v>3138</v>
      </c>
      <c r="E348" s="1245" t="s">
        <v>37</v>
      </c>
      <c r="F348" s="2273">
        <f>+'VAL. PRINC'!U352</f>
        <v>0</v>
      </c>
      <c r="G348" s="2251"/>
    </row>
    <row r="349" spans="3:7" hidden="1">
      <c r="C349" s="1268" t="s">
        <v>2433</v>
      </c>
      <c r="D349" s="1241" t="s">
        <v>3139</v>
      </c>
      <c r="E349" s="1245" t="s">
        <v>37</v>
      </c>
      <c r="F349" s="2273">
        <f>+'VAL. PRINC'!U353</f>
        <v>0</v>
      </c>
      <c r="G349" s="2251"/>
    </row>
    <row r="350" spans="3:7">
      <c r="C350" s="1263" t="s">
        <v>1001</v>
      </c>
      <c r="D350" s="1264" t="s">
        <v>3140</v>
      </c>
      <c r="E350" s="1265"/>
      <c r="F350" s="2273"/>
      <c r="G350" s="2251"/>
    </row>
    <row r="351" spans="3:7" hidden="1">
      <c r="C351" s="1272" t="s">
        <v>1002</v>
      </c>
      <c r="D351" s="1262" t="s">
        <v>3141</v>
      </c>
      <c r="E351" s="1273"/>
      <c r="F351" s="2273"/>
      <c r="G351" s="2251"/>
    </row>
    <row r="352" spans="3:7" hidden="1">
      <c r="C352" s="1268" t="s">
        <v>1003</v>
      </c>
      <c r="D352" s="1241" t="s">
        <v>3142</v>
      </c>
      <c r="E352" s="1245" t="s">
        <v>36</v>
      </c>
      <c r="F352" s="2273">
        <f>+'VAL. PRINC'!U356</f>
        <v>0</v>
      </c>
      <c r="G352" s="2251"/>
    </row>
    <row r="353" spans="3:7" hidden="1">
      <c r="C353" s="1268" t="s">
        <v>2434</v>
      </c>
      <c r="D353" s="1241" t="s">
        <v>3143</v>
      </c>
      <c r="E353" s="1245" t="s">
        <v>36</v>
      </c>
      <c r="F353" s="2273">
        <f>+'VAL. PRINC'!U357</f>
        <v>0</v>
      </c>
      <c r="G353" s="2251"/>
    </row>
    <row r="354" spans="3:7" hidden="1">
      <c r="C354" s="1268" t="s">
        <v>2435</v>
      </c>
      <c r="D354" s="1241" t="s">
        <v>3144</v>
      </c>
      <c r="E354" s="1245" t="s">
        <v>37</v>
      </c>
      <c r="F354" s="2273">
        <f>+'VAL. PRINC'!U358</f>
        <v>0</v>
      </c>
      <c r="G354" s="2251"/>
    </row>
    <row r="355" spans="3:7" hidden="1">
      <c r="C355" s="1272" t="s">
        <v>1004</v>
      </c>
      <c r="D355" s="1262" t="s">
        <v>3145</v>
      </c>
      <c r="E355" s="1273"/>
      <c r="F355" s="2273"/>
      <c r="G355" s="2251"/>
    </row>
    <row r="356" spans="3:7" hidden="1">
      <c r="C356" s="1268" t="s">
        <v>1005</v>
      </c>
      <c r="D356" s="1241" t="s">
        <v>3146</v>
      </c>
      <c r="E356" s="1245" t="s">
        <v>37</v>
      </c>
      <c r="F356" s="2273">
        <f>+'VAL. PRINC'!U360</f>
        <v>0</v>
      </c>
      <c r="G356" s="2251"/>
    </row>
    <row r="357" spans="3:7" hidden="1">
      <c r="C357" s="1268" t="s">
        <v>1006</v>
      </c>
      <c r="D357" s="1241" t="s">
        <v>3147</v>
      </c>
      <c r="E357" s="1245" t="s">
        <v>37</v>
      </c>
      <c r="F357" s="2273">
        <f>+'VAL. PRINC'!U361</f>
        <v>0</v>
      </c>
      <c r="G357" s="2251"/>
    </row>
    <row r="358" spans="3:7" hidden="1">
      <c r="C358" s="1268" t="s">
        <v>2436</v>
      </c>
      <c r="D358" s="1241" t="s">
        <v>3148</v>
      </c>
      <c r="E358" s="1245" t="s">
        <v>37</v>
      </c>
      <c r="F358" s="2273">
        <f>+'VAL. PRINC'!U362</f>
        <v>0</v>
      </c>
      <c r="G358" s="2251"/>
    </row>
    <row r="359" spans="3:7" hidden="1">
      <c r="C359" s="1268" t="s">
        <v>2437</v>
      </c>
      <c r="D359" s="1241" t="s">
        <v>3149</v>
      </c>
      <c r="E359" s="1245" t="s">
        <v>37</v>
      </c>
      <c r="F359" s="2273">
        <f>+'VAL. PRINC'!U363</f>
        <v>0</v>
      </c>
      <c r="G359" s="2251"/>
    </row>
    <row r="360" spans="3:7">
      <c r="C360" s="1272" t="s">
        <v>1007</v>
      </c>
      <c r="D360" s="1262" t="s">
        <v>3150</v>
      </c>
      <c r="E360" s="1273"/>
      <c r="F360" s="2273"/>
      <c r="G360" s="2251"/>
    </row>
    <row r="361" spans="3:7" hidden="1">
      <c r="C361" s="1268" t="s">
        <v>1008</v>
      </c>
      <c r="D361" s="1241" t="s">
        <v>3151</v>
      </c>
      <c r="E361" s="1245" t="s">
        <v>38</v>
      </c>
      <c r="F361" s="2273">
        <f>+'VAL. PRINC'!U365</f>
        <v>0</v>
      </c>
      <c r="G361" s="2251"/>
    </row>
    <row r="362" spans="3:7" hidden="1">
      <c r="C362" s="1268" t="s">
        <v>2438</v>
      </c>
      <c r="D362" s="1241" t="s">
        <v>3152</v>
      </c>
      <c r="E362" s="1245" t="s">
        <v>38</v>
      </c>
      <c r="F362" s="2273">
        <f>+'VAL. PRINC'!U366</f>
        <v>0</v>
      </c>
      <c r="G362" s="2251"/>
    </row>
    <row r="363" spans="3:7" hidden="1">
      <c r="C363" s="1268" t="s">
        <v>2439</v>
      </c>
      <c r="D363" s="1241" t="s">
        <v>3153</v>
      </c>
      <c r="E363" s="1245" t="s">
        <v>38</v>
      </c>
      <c r="F363" s="2273">
        <f>+'VAL. PRINC'!U367</f>
        <v>0</v>
      </c>
      <c r="G363" s="2251"/>
    </row>
    <row r="364" spans="3:7" hidden="1">
      <c r="C364" s="1268" t="s">
        <v>2440</v>
      </c>
      <c r="D364" s="1241" t="s">
        <v>3154</v>
      </c>
      <c r="E364" s="1245" t="s">
        <v>38</v>
      </c>
      <c r="F364" s="2273">
        <f>+'VAL. PRINC'!U368</f>
        <v>0</v>
      </c>
      <c r="G364" s="2251"/>
    </row>
    <row r="365" spans="3:7" hidden="1">
      <c r="C365" s="1268" t="s">
        <v>2441</v>
      </c>
      <c r="D365" s="1241" t="s">
        <v>3155</v>
      </c>
      <c r="E365" s="1245" t="s">
        <v>38</v>
      </c>
      <c r="F365" s="2273">
        <f>+'VAL. PRINC'!U369</f>
        <v>0</v>
      </c>
      <c r="G365" s="2251"/>
    </row>
    <row r="366" spans="3:7">
      <c r="C366" s="1268" t="s">
        <v>2442</v>
      </c>
      <c r="D366" s="1241" t="s">
        <v>3156</v>
      </c>
      <c r="E366" s="1245" t="s">
        <v>38</v>
      </c>
      <c r="F366" s="2273">
        <f>+'VAL. PRINC'!U370</f>
        <v>148.9</v>
      </c>
      <c r="G366" s="2251"/>
    </row>
    <row r="367" spans="3:7" hidden="1">
      <c r="C367" s="1268" t="s">
        <v>2443</v>
      </c>
      <c r="D367" s="1241" t="s">
        <v>3157</v>
      </c>
      <c r="E367" s="1245" t="s">
        <v>38</v>
      </c>
      <c r="F367" s="2273">
        <f>+'VAL. PRINC'!U371</f>
        <v>0</v>
      </c>
      <c r="G367" s="2251"/>
    </row>
    <row r="368" spans="3:7" hidden="1">
      <c r="C368" s="1268" t="s">
        <v>2444</v>
      </c>
      <c r="D368" s="1241" t="s">
        <v>3158</v>
      </c>
      <c r="E368" s="1245" t="s">
        <v>38</v>
      </c>
      <c r="F368" s="2273">
        <f>+'VAL. PRINC'!U372</f>
        <v>0</v>
      </c>
      <c r="G368" s="2251"/>
    </row>
    <row r="369" spans="3:7" hidden="1">
      <c r="C369" s="1268" t="s">
        <v>2445</v>
      </c>
      <c r="D369" s="1241" t="s">
        <v>3159</v>
      </c>
      <c r="E369" s="1245" t="s">
        <v>38</v>
      </c>
      <c r="F369" s="2273">
        <f>+'VAL. PRINC'!U373</f>
        <v>0</v>
      </c>
      <c r="G369" s="2251"/>
    </row>
    <row r="370" spans="3:7" hidden="1">
      <c r="C370" s="1272" t="s">
        <v>1009</v>
      </c>
      <c r="D370" s="1262" t="s">
        <v>3160</v>
      </c>
      <c r="E370" s="1273"/>
      <c r="F370" s="2273"/>
      <c r="G370" s="2251"/>
    </row>
    <row r="371" spans="3:7" hidden="1">
      <c r="C371" s="1268" t="s">
        <v>1010</v>
      </c>
      <c r="D371" s="1241" t="s">
        <v>3161</v>
      </c>
      <c r="E371" s="1245" t="s">
        <v>38</v>
      </c>
      <c r="F371" s="2273">
        <f>+'VAL. PRINC'!U375</f>
        <v>0</v>
      </c>
      <c r="G371" s="2251"/>
    </row>
    <row r="372" spans="3:7" hidden="1">
      <c r="C372" s="1268" t="s">
        <v>2446</v>
      </c>
      <c r="D372" s="1241" t="s">
        <v>3162</v>
      </c>
      <c r="E372" s="1245" t="s">
        <v>38</v>
      </c>
      <c r="F372" s="2273">
        <f>+'VAL. PRINC'!U376</f>
        <v>0</v>
      </c>
      <c r="G372" s="2251"/>
    </row>
    <row r="373" spans="3:7" hidden="1">
      <c r="C373" s="1268" t="s">
        <v>2447</v>
      </c>
      <c r="D373" s="1241" t="s">
        <v>3163</v>
      </c>
      <c r="E373" s="1245" t="s">
        <v>36</v>
      </c>
      <c r="F373" s="2273">
        <f>+'VAL. PRINC'!U377</f>
        <v>0</v>
      </c>
      <c r="G373" s="2251"/>
    </row>
    <row r="374" spans="3:7" hidden="1">
      <c r="C374" s="1268" t="s">
        <v>2448</v>
      </c>
      <c r="D374" s="1241" t="s">
        <v>3164</v>
      </c>
      <c r="E374" s="1245" t="s">
        <v>36</v>
      </c>
      <c r="F374" s="2273">
        <f>+'VAL. PRINC'!U378</f>
        <v>0</v>
      </c>
      <c r="G374" s="2251"/>
    </row>
    <row r="375" spans="3:7" hidden="1">
      <c r="C375" s="1268" t="s">
        <v>2449</v>
      </c>
      <c r="D375" s="1241" t="s">
        <v>3165</v>
      </c>
      <c r="E375" s="1245" t="s">
        <v>36</v>
      </c>
      <c r="F375" s="2273">
        <f>+'VAL. PRINC'!U379</f>
        <v>0</v>
      </c>
      <c r="G375" s="2251"/>
    </row>
    <row r="376" spans="3:7" hidden="1">
      <c r="C376" s="1268" t="s">
        <v>2450</v>
      </c>
      <c r="D376" s="1241" t="s">
        <v>3166</v>
      </c>
      <c r="E376" s="1245" t="s">
        <v>36</v>
      </c>
      <c r="F376" s="2273">
        <f>+'VAL. PRINC'!U380</f>
        <v>0</v>
      </c>
      <c r="G376" s="2251"/>
    </row>
    <row r="377" spans="3:7" hidden="1">
      <c r="C377" s="1268" t="s">
        <v>2451</v>
      </c>
      <c r="D377" s="1241" t="s">
        <v>3167</v>
      </c>
      <c r="E377" s="1245" t="s">
        <v>36</v>
      </c>
      <c r="F377" s="2273">
        <f>+'VAL. PRINC'!U381</f>
        <v>0</v>
      </c>
      <c r="G377" s="2251"/>
    </row>
    <row r="378" spans="3:7" hidden="1">
      <c r="C378" s="1268" t="s">
        <v>2452</v>
      </c>
      <c r="D378" s="1241" t="s">
        <v>3168</v>
      </c>
      <c r="E378" s="1245" t="s">
        <v>36</v>
      </c>
      <c r="F378" s="2273">
        <f>+'VAL. PRINC'!U382</f>
        <v>0</v>
      </c>
      <c r="G378" s="2251"/>
    </row>
    <row r="379" spans="3:7" hidden="1">
      <c r="C379" s="1263" t="s">
        <v>1011</v>
      </c>
      <c r="D379" s="1264" t="s">
        <v>3169</v>
      </c>
      <c r="E379" s="1265"/>
      <c r="F379" s="2273"/>
      <c r="G379" s="2251"/>
    </row>
    <row r="380" spans="3:7" hidden="1">
      <c r="C380" s="1268" t="s">
        <v>1012</v>
      </c>
      <c r="D380" s="1241" t="s">
        <v>3170</v>
      </c>
      <c r="E380" s="1245" t="s">
        <v>1450</v>
      </c>
      <c r="F380" s="2273">
        <f>+'VAL. PRINC'!U384</f>
        <v>0</v>
      </c>
      <c r="G380" s="2251"/>
    </row>
    <row r="381" spans="3:7" hidden="1">
      <c r="C381" s="1268" t="s">
        <v>2453</v>
      </c>
      <c r="D381" s="1241" t="s">
        <v>3171</v>
      </c>
      <c r="E381" s="1245" t="s">
        <v>36</v>
      </c>
      <c r="F381" s="2273">
        <f>+'VAL. PRINC'!U385</f>
        <v>0</v>
      </c>
      <c r="G381" s="2251"/>
    </row>
    <row r="382" spans="3:7" hidden="1">
      <c r="C382" s="1268" t="s">
        <v>2454</v>
      </c>
      <c r="D382" s="1241" t="s">
        <v>3172</v>
      </c>
      <c r="E382" s="1245" t="s">
        <v>36</v>
      </c>
      <c r="F382" s="2273">
        <f>+'VAL. PRINC'!U386</f>
        <v>0</v>
      </c>
      <c r="G382" s="2251"/>
    </row>
    <row r="383" spans="3:7" hidden="1">
      <c r="C383" s="1268" t="s">
        <v>2455</v>
      </c>
      <c r="D383" s="1241" t="s">
        <v>3173</v>
      </c>
      <c r="E383" s="1245" t="s">
        <v>36</v>
      </c>
      <c r="F383" s="2273">
        <f>+'VAL. PRINC'!U387</f>
        <v>0</v>
      </c>
      <c r="G383" s="2251"/>
    </row>
    <row r="384" spans="3:7" hidden="1">
      <c r="C384" s="1268" t="s">
        <v>2456</v>
      </c>
      <c r="D384" s="1241" t="s">
        <v>3174</v>
      </c>
      <c r="E384" s="1245" t="s">
        <v>36</v>
      </c>
      <c r="F384" s="2273">
        <f>+'VAL. PRINC'!U388</f>
        <v>0</v>
      </c>
      <c r="G384" s="2251"/>
    </row>
    <row r="385" spans="3:7" hidden="1">
      <c r="C385" s="1268" t="s">
        <v>2457</v>
      </c>
      <c r="D385" s="1241" t="s">
        <v>3175</v>
      </c>
      <c r="E385" s="1245" t="s">
        <v>36</v>
      </c>
      <c r="F385" s="2273">
        <f>+'VAL. PRINC'!U389</f>
        <v>0</v>
      </c>
      <c r="G385" s="2251"/>
    </row>
    <row r="386" spans="3:7" hidden="1">
      <c r="C386" s="1268" t="s">
        <v>2458</v>
      </c>
      <c r="D386" s="1241" t="s">
        <v>3176</v>
      </c>
      <c r="E386" s="1245" t="s">
        <v>36</v>
      </c>
      <c r="F386" s="2273">
        <f>+'VAL. PRINC'!U390</f>
        <v>0</v>
      </c>
      <c r="G386" s="2251"/>
    </row>
    <row r="387" spans="3:7" hidden="1">
      <c r="C387" s="1268" t="s">
        <v>2459</v>
      </c>
      <c r="D387" s="1241" t="s">
        <v>3177</v>
      </c>
      <c r="E387" s="1245" t="s">
        <v>36</v>
      </c>
      <c r="F387" s="2273">
        <f>+'VAL. PRINC'!U391</f>
        <v>0</v>
      </c>
      <c r="G387" s="2251"/>
    </row>
    <row r="388" spans="3:7" hidden="1">
      <c r="C388" s="1268" t="s">
        <v>2460</v>
      </c>
      <c r="D388" s="1241" t="s">
        <v>3178</v>
      </c>
      <c r="E388" s="1245" t="s">
        <v>36</v>
      </c>
      <c r="F388" s="2273">
        <f>+'VAL. PRINC'!U392</f>
        <v>0</v>
      </c>
      <c r="G388" s="2251"/>
    </row>
    <row r="389" spans="3:7" hidden="1">
      <c r="C389" s="1268" t="s">
        <v>2461</v>
      </c>
      <c r="D389" s="1241" t="s">
        <v>3179</v>
      </c>
      <c r="E389" s="1245" t="s">
        <v>36</v>
      </c>
      <c r="F389" s="2273">
        <f>+'VAL. PRINC'!U393</f>
        <v>0</v>
      </c>
      <c r="G389" s="2251"/>
    </row>
    <row r="390" spans="3:7" hidden="1">
      <c r="C390" s="1263" t="s">
        <v>2462</v>
      </c>
      <c r="D390" s="1264" t="s">
        <v>3180</v>
      </c>
      <c r="E390" s="1265"/>
      <c r="F390" s="2273"/>
      <c r="G390" s="2251"/>
    </row>
    <row r="391" spans="3:7" hidden="1">
      <c r="C391" s="1268" t="s">
        <v>2463</v>
      </c>
      <c r="D391" s="1241" t="s">
        <v>3181</v>
      </c>
      <c r="E391" s="1245" t="s">
        <v>37</v>
      </c>
      <c r="F391" s="2273">
        <f>+'VAL. PRINC'!U395</f>
        <v>0</v>
      </c>
      <c r="G391" s="2251"/>
    </row>
    <row r="392" spans="3:7" hidden="1">
      <c r="C392" s="1268" t="s">
        <v>2464</v>
      </c>
      <c r="D392" s="1241" t="s">
        <v>3182</v>
      </c>
      <c r="E392" s="1245" t="s">
        <v>37</v>
      </c>
      <c r="F392" s="2273">
        <f>+'VAL. PRINC'!U396</f>
        <v>0</v>
      </c>
      <c r="G392" s="2251"/>
    </row>
    <row r="393" spans="3:7" hidden="1">
      <c r="C393" s="1268" t="s">
        <v>2465</v>
      </c>
      <c r="D393" s="1241" t="s">
        <v>3183</v>
      </c>
      <c r="E393" s="1245" t="s">
        <v>36</v>
      </c>
      <c r="F393" s="2273">
        <f>+'VAL. PRINC'!U397</f>
        <v>0</v>
      </c>
      <c r="G393" s="2251"/>
    </row>
    <row r="394" spans="3:7" hidden="1">
      <c r="C394" s="1263" t="s">
        <v>2466</v>
      </c>
      <c r="D394" s="1264" t="s">
        <v>3184</v>
      </c>
      <c r="E394" s="1265"/>
      <c r="F394" s="2273"/>
      <c r="G394" s="2251"/>
    </row>
    <row r="395" spans="3:7" hidden="1">
      <c r="C395" s="1268" t="s">
        <v>2467</v>
      </c>
      <c r="D395" s="1241" t="s">
        <v>3185</v>
      </c>
      <c r="E395" s="1245" t="s">
        <v>37</v>
      </c>
      <c r="F395" s="2273">
        <f>+'VAL. PRINC'!U399</f>
        <v>0</v>
      </c>
      <c r="G395" s="2254"/>
    </row>
    <row r="396" spans="3:7" hidden="1">
      <c r="C396" s="1268" t="s">
        <v>2468</v>
      </c>
      <c r="D396" s="1241" t="s">
        <v>3186</v>
      </c>
      <c r="E396" s="1245" t="s">
        <v>37</v>
      </c>
      <c r="F396" s="2273">
        <f>+'VAL. PRINC'!U400</f>
        <v>0</v>
      </c>
      <c r="G396" s="2254"/>
    </row>
    <row r="397" spans="3:7" hidden="1">
      <c r="C397" s="1268" t="s">
        <v>2469</v>
      </c>
      <c r="D397" s="1241" t="s">
        <v>3187</v>
      </c>
      <c r="E397" s="1245" t="s">
        <v>37</v>
      </c>
      <c r="F397" s="2273">
        <f>+'VAL. PRINC'!U401</f>
        <v>0</v>
      </c>
      <c r="G397" s="2254"/>
    </row>
    <row r="398" spans="3:7" hidden="1">
      <c r="C398" s="1268" t="s">
        <v>2470</v>
      </c>
      <c r="D398" s="1241" t="s">
        <v>3188</v>
      </c>
      <c r="E398" s="1245" t="s">
        <v>37</v>
      </c>
      <c r="F398" s="2273">
        <f>+'VAL. PRINC'!U402</f>
        <v>0</v>
      </c>
      <c r="G398" s="2254"/>
    </row>
    <row r="399" spans="3:7" hidden="1">
      <c r="C399" s="1268" t="s">
        <v>2471</v>
      </c>
      <c r="D399" s="1241" t="s">
        <v>3189</v>
      </c>
      <c r="E399" s="1245" t="s">
        <v>37</v>
      </c>
      <c r="F399" s="2273">
        <f>+'VAL. PRINC'!U403</f>
        <v>0</v>
      </c>
      <c r="G399" s="2254"/>
    </row>
    <row r="400" spans="3:7" hidden="1">
      <c r="C400" s="1268" t="s">
        <v>2472</v>
      </c>
      <c r="D400" s="1241" t="s">
        <v>3190</v>
      </c>
      <c r="E400" s="1245" t="s">
        <v>37</v>
      </c>
      <c r="F400" s="2273">
        <f>+'VAL. PRINC'!U404</f>
        <v>0</v>
      </c>
      <c r="G400" s="2251"/>
    </row>
    <row r="401" spans="3:7" hidden="1">
      <c r="C401" s="1268" t="s">
        <v>2473</v>
      </c>
      <c r="D401" s="1241" t="s">
        <v>3191</v>
      </c>
      <c r="E401" s="1245" t="s">
        <v>37</v>
      </c>
      <c r="F401" s="2273">
        <f>+'VAL. PRINC'!U405</f>
        <v>0</v>
      </c>
      <c r="G401" s="2251"/>
    </row>
    <row r="402" spans="3:7" hidden="1">
      <c r="C402" s="1268" t="s">
        <v>2474</v>
      </c>
      <c r="D402" s="1241" t="s">
        <v>3192</v>
      </c>
      <c r="E402" s="1245" t="s">
        <v>37</v>
      </c>
      <c r="F402" s="2273">
        <f>+'VAL. PRINC'!U406</f>
        <v>0</v>
      </c>
      <c r="G402" s="2251"/>
    </row>
    <row r="403" spans="3:7" hidden="1">
      <c r="C403" s="1268" t="s">
        <v>2475</v>
      </c>
      <c r="D403" s="1241" t="s">
        <v>3193</v>
      </c>
      <c r="E403" s="1245" t="s">
        <v>37</v>
      </c>
      <c r="F403" s="2273">
        <f>+'VAL. PRINC'!U407</f>
        <v>0</v>
      </c>
      <c r="G403" s="2251"/>
    </row>
    <row r="404" spans="3:7" hidden="1">
      <c r="C404" s="1268" t="s">
        <v>2476</v>
      </c>
      <c r="D404" s="1241" t="s">
        <v>3194</v>
      </c>
      <c r="E404" s="1245" t="s">
        <v>37</v>
      </c>
      <c r="F404" s="2273">
        <f>+'VAL. PRINC'!U408</f>
        <v>0</v>
      </c>
      <c r="G404" s="2251"/>
    </row>
    <row r="405" spans="3:7" hidden="1">
      <c r="C405" s="1268" t="s">
        <v>2477</v>
      </c>
      <c r="D405" s="1241" t="s">
        <v>3195</v>
      </c>
      <c r="E405" s="1245" t="s">
        <v>37</v>
      </c>
      <c r="F405" s="2273">
        <f>+'VAL. PRINC'!U409</f>
        <v>0</v>
      </c>
      <c r="G405" s="2251"/>
    </row>
    <row r="406" spans="3:7" hidden="1">
      <c r="C406" s="1268" t="s">
        <v>2478</v>
      </c>
      <c r="D406" s="1241" t="s">
        <v>3196</v>
      </c>
      <c r="E406" s="1245" t="s">
        <v>37</v>
      </c>
      <c r="F406" s="2273">
        <f>+'VAL. PRINC'!U410</f>
        <v>0</v>
      </c>
      <c r="G406" s="2251"/>
    </row>
    <row r="407" spans="3:7" hidden="1">
      <c r="C407" s="1268" t="s">
        <v>2479</v>
      </c>
      <c r="D407" s="1241" t="s">
        <v>3197</v>
      </c>
      <c r="E407" s="1245" t="s">
        <v>37</v>
      </c>
      <c r="F407" s="2273">
        <f>+'VAL. PRINC'!U411</f>
        <v>0</v>
      </c>
      <c r="G407" s="2251"/>
    </row>
    <row r="408" spans="3:7" hidden="1">
      <c r="C408" s="1268" t="s">
        <v>2480</v>
      </c>
      <c r="D408" s="1241" t="s">
        <v>3198</v>
      </c>
      <c r="E408" s="1245" t="s">
        <v>37</v>
      </c>
      <c r="F408" s="2273">
        <f>+'VAL. PRINC'!U412</f>
        <v>0</v>
      </c>
      <c r="G408" s="2251"/>
    </row>
    <row r="409" spans="3:7">
      <c r="C409" s="1263" t="s">
        <v>2481</v>
      </c>
      <c r="D409" s="1264" t="s">
        <v>3199</v>
      </c>
      <c r="E409" s="1265"/>
      <c r="F409" s="2273"/>
      <c r="G409" s="2251"/>
    </row>
    <row r="410" spans="3:7" hidden="1">
      <c r="C410" s="1268" t="s">
        <v>2482</v>
      </c>
      <c r="D410" s="1241" t="s">
        <v>3200</v>
      </c>
      <c r="E410" s="1245" t="s">
        <v>40</v>
      </c>
      <c r="F410" s="2273">
        <f>+'VAL. PRINC'!U414</f>
        <v>0</v>
      </c>
      <c r="G410" s="2251"/>
    </row>
    <row r="411" spans="3:7">
      <c r="C411" s="1268" t="s">
        <v>2483</v>
      </c>
      <c r="D411" s="1241" t="s">
        <v>3201</v>
      </c>
      <c r="E411" s="1245" t="s">
        <v>37</v>
      </c>
      <c r="F411" s="2273">
        <f>+'VAL. PRINC'!U415</f>
        <v>109.1</v>
      </c>
      <c r="G411" s="2251"/>
    </row>
    <row r="412" spans="3:7" hidden="1">
      <c r="C412" s="1268" t="s">
        <v>2484</v>
      </c>
      <c r="D412" s="1241" t="s">
        <v>3202</v>
      </c>
      <c r="E412" s="1245" t="s">
        <v>41</v>
      </c>
      <c r="F412" s="2273">
        <f>+'VAL. PRINC'!U416</f>
        <v>0</v>
      </c>
      <c r="G412" s="2251"/>
    </row>
    <row r="413" spans="3:7" hidden="1">
      <c r="C413" s="1263" t="s">
        <v>2485</v>
      </c>
      <c r="D413" s="1264" t="s">
        <v>3203</v>
      </c>
      <c r="E413" s="1265"/>
      <c r="F413" s="2273"/>
      <c r="G413" s="2251"/>
    </row>
    <row r="414" spans="3:7" hidden="1">
      <c r="C414" s="1268" t="s">
        <v>2486</v>
      </c>
      <c r="D414" s="1241" t="s">
        <v>3204</v>
      </c>
      <c r="E414" s="1245" t="s">
        <v>36</v>
      </c>
      <c r="F414" s="2273">
        <f>+'VAL. PRINC'!U418</f>
        <v>0</v>
      </c>
      <c r="G414" s="2251"/>
    </row>
    <row r="415" spans="3:7" hidden="1">
      <c r="C415" s="1268" t="s">
        <v>2487</v>
      </c>
      <c r="D415" s="1241" t="s">
        <v>3205</v>
      </c>
      <c r="E415" s="1245" t="s">
        <v>36</v>
      </c>
      <c r="F415" s="2273">
        <f>+'VAL. PRINC'!U419</f>
        <v>0</v>
      </c>
      <c r="G415" s="2251"/>
    </row>
    <row r="416" spans="3:7" hidden="1">
      <c r="C416" s="1268" t="s">
        <v>2488</v>
      </c>
      <c r="D416" s="1241" t="s">
        <v>3206</v>
      </c>
      <c r="E416" s="1245" t="s">
        <v>36</v>
      </c>
      <c r="F416" s="2273">
        <f>+'VAL. PRINC'!U420</f>
        <v>0</v>
      </c>
      <c r="G416" s="2251"/>
    </row>
    <row r="417" spans="3:7" hidden="1">
      <c r="C417" s="1268" t="s">
        <v>2489</v>
      </c>
      <c r="D417" s="1241" t="s">
        <v>3207</v>
      </c>
      <c r="E417" s="1245" t="s">
        <v>36</v>
      </c>
      <c r="F417" s="2273">
        <f>+'VAL. PRINC'!U421</f>
        <v>0</v>
      </c>
      <c r="G417" s="2251"/>
    </row>
    <row r="418" spans="3:7" hidden="1">
      <c r="C418" s="1268" t="s">
        <v>2490</v>
      </c>
      <c r="D418" s="1241" t="s">
        <v>3208</v>
      </c>
      <c r="E418" s="1245" t="s">
        <v>36</v>
      </c>
      <c r="F418" s="2273">
        <f>+'VAL. PRINC'!U422</f>
        <v>0</v>
      </c>
      <c r="G418" s="2251"/>
    </row>
    <row r="419" spans="3:7" hidden="1">
      <c r="C419" s="1268" t="s">
        <v>2491</v>
      </c>
      <c r="D419" s="1241" t="s">
        <v>3209</v>
      </c>
      <c r="E419" s="1245" t="s">
        <v>36</v>
      </c>
      <c r="F419" s="2273">
        <f>+'VAL. PRINC'!U423</f>
        <v>0</v>
      </c>
      <c r="G419" s="2251"/>
    </row>
    <row r="420" spans="3:7" hidden="1">
      <c r="C420" s="1263" t="s">
        <v>2492</v>
      </c>
      <c r="D420" s="1264" t="s">
        <v>3210</v>
      </c>
      <c r="E420" s="1265"/>
      <c r="F420" s="2273"/>
      <c r="G420" s="2251"/>
    </row>
    <row r="421" spans="3:7" hidden="1">
      <c r="C421" s="1268" t="s">
        <v>2493</v>
      </c>
      <c r="D421" s="1241" t="s">
        <v>3211</v>
      </c>
      <c r="E421" s="1245" t="s">
        <v>38</v>
      </c>
      <c r="F421" s="2273">
        <f>+'VAL. PRINC'!U425</f>
        <v>0</v>
      </c>
      <c r="G421" s="2251"/>
    </row>
    <row r="422" spans="3:7" hidden="1">
      <c r="C422" s="1268" t="s">
        <v>2494</v>
      </c>
      <c r="D422" s="1241" t="s">
        <v>3212</v>
      </c>
      <c r="E422" s="1245" t="s">
        <v>38</v>
      </c>
      <c r="F422" s="2273">
        <f>+'VAL. PRINC'!U426</f>
        <v>0</v>
      </c>
      <c r="G422" s="2251"/>
    </row>
    <row r="423" spans="3:7" hidden="1">
      <c r="C423" s="1268" t="s">
        <v>2495</v>
      </c>
      <c r="D423" s="1241" t="s">
        <v>3213</v>
      </c>
      <c r="E423" s="1245" t="s">
        <v>38</v>
      </c>
      <c r="F423" s="2273">
        <f>+'VAL. PRINC'!U427</f>
        <v>0</v>
      </c>
      <c r="G423" s="2251"/>
    </row>
    <row r="424" spans="3:7" hidden="1">
      <c r="C424" s="1268" t="s">
        <v>2496</v>
      </c>
      <c r="D424" s="1241" t="s">
        <v>3214</v>
      </c>
      <c r="E424" s="1245" t="s">
        <v>38</v>
      </c>
      <c r="F424" s="2273">
        <f>+'VAL. PRINC'!U428</f>
        <v>0</v>
      </c>
      <c r="G424" s="2251"/>
    </row>
    <row r="425" spans="3:7" hidden="1">
      <c r="C425" s="1268" t="s">
        <v>2497</v>
      </c>
      <c r="D425" s="1241" t="s">
        <v>3215</v>
      </c>
      <c r="E425" s="1245" t="s">
        <v>38</v>
      </c>
      <c r="F425" s="2273">
        <f>+'VAL. PRINC'!U429</f>
        <v>0</v>
      </c>
      <c r="G425" s="2251"/>
    </row>
    <row r="426" spans="3:7">
      <c r="C426" s="1263" t="s">
        <v>2498</v>
      </c>
      <c r="D426" s="1264" t="s">
        <v>3063</v>
      </c>
      <c r="E426" s="1265"/>
      <c r="F426" s="2273"/>
      <c r="G426" s="2251"/>
    </row>
    <row r="427" spans="3:7" hidden="1">
      <c r="C427" s="1268" t="s">
        <v>2499</v>
      </c>
      <c r="D427" s="1241" t="s">
        <v>3216</v>
      </c>
      <c r="E427" s="1245" t="s">
        <v>40</v>
      </c>
      <c r="F427" s="2273">
        <f>+'VAL. PRINC'!U431</f>
        <v>0</v>
      </c>
      <c r="G427" s="2251"/>
    </row>
    <row r="428" spans="3:7" hidden="1">
      <c r="C428" s="1268" t="s">
        <v>2500</v>
      </c>
      <c r="D428" s="1241" t="s">
        <v>3217</v>
      </c>
      <c r="E428" s="1245" t="s">
        <v>38</v>
      </c>
      <c r="F428" s="2273">
        <f>+'VAL. PRINC'!U432</f>
        <v>0</v>
      </c>
      <c r="G428" s="2251"/>
    </row>
    <row r="429" spans="3:7" hidden="1">
      <c r="C429" s="1268" t="s">
        <v>2501</v>
      </c>
      <c r="D429" s="1241" t="s">
        <v>3218</v>
      </c>
      <c r="E429" s="1245" t="s">
        <v>36</v>
      </c>
      <c r="F429" s="2273">
        <f>+'VAL. PRINC'!U433</f>
        <v>0</v>
      </c>
      <c r="G429" s="2251"/>
    </row>
    <row r="430" spans="3:7" hidden="1">
      <c r="C430" s="1268" t="s">
        <v>2502</v>
      </c>
      <c r="D430" s="1241" t="s">
        <v>3219</v>
      </c>
      <c r="E430" s="1245" t="s">
        <v>37</v>
      </c>
      <c r="F430" s="2273">
        <f>+'VAL. PRINC'!U434</f>
        <v>0</v>
      </c>
      <c r="G430" s="2251"/>
    </row>
    <row r="431" spans="3:7">
      <c r="C431" s="1268" t="s">
        <v>2503</v>
      </c>
      <c r="D431" s="1241" t="s">
        <v>3220</v>
      </c>
      <c r="E431" s="1245" t="s">
        <v>36</v>
      </c>
      <c r="F431" s="2273">
        <f>+'VAL. PRINC'!U435</f>
        <v>1</v>
      </c>
      <c r="G431" s="2251"/>
    </row>
    <row r="432" spans="3:7" hidden="1">
      <c r="C432" s="1268" t="s">
        <v>2504</v>
      </c>
      <c r="D432" s="1241" t="s">
        <v>3221</v>
      </c>
      <c r="E432" s="1245" t="s">
        <v>40</v>
      </c>
      <c r="F432" s="2273">
        <f>+'VAL. PRINC'!U436</f>
        <v>0</v>
      </c>
      <c r="G432" s="2251"/>
    </row>
    <row r="433" spans="3:7" hidden="1">
      <c r="C433" s="1268" t="s">
        <v>2505</v>
      </c>
      <c r="D433" s="1241" t="s">
        <v>3222</v>
      </c>
      <c r="E433" s="1245" t="s">
        <v>40</v>
      </c>
      <c r="F433" s="2273">
        <f>+'VAL. PRINC'!U437</f>
        <v>0</v>
      </c>
      <c r="G433" s="2251"/>
    </row>
    <row r="434" spans="3:7" hidden="1">
      <c r="C434" s="1268" t="s">
        <v>2506</v>
      </c>
      <c r="D434" s="1241" t="s">
        <v>3223</v>
      </c>
      <c r="E434" s="1245" t="s">
        <v>36</v>
      </c>
      <c r="F434" s="2273">
        <f>+'VAL. PRINC'!U438</f>
        <v>0</v>
      </c>
      <c r="G434" s="2251"/>
    </row>
    <row r="435" spans="3:7" hidden="1">
      <c r="C435" s="1268" t="s">
        <v>2507</v>
      </c>
      <c r="D435" s="1241" t="s">
        <v>3224</v>
      </c>
      <c r="E435" s="1245" t="s">
        <v>36</v>
      </c>
      <c r="F435" s="2273">
        <f>+'VAL. PRINC'!U439</f>
        <v>0</v>
      </c>
      <c r="G435" s="2251"/>
    </row>
    <row r="436" spans="3:7" hidden="1">
      <c r="C436" s="1268" t="s">
        <v>2508</v>
      </c>
      <c r="D436" s="1241" t="s">
        <v>3225</v>
      </c>
      <c r="E436" s="1245" t="s">
        <v>36</v>
      </c>
      <c r="F436" s="2273">
        <f>+'VAL. PRINC'!U440</f>
        <v>0</v>
      </c>
      <c r="G436" s="2251"/>
    </row>
    <row r="437" spans="3:7">
      <c r="C437" s="1549" t="s">
        <v>487</v>
      </c>
      <c r="D437" s="1270" t="s">
        <v>1326</v>
      </c>
      <c r="E437" s="1271"/>
      <c r="F437" s="2273"/>
      <c r="G437" s="2251"/>
    </row>
    <row r="438" spans="3:7">
      <c r="C438" s="1263" t="s">
        <v>488</v>
      </c>
      <c r="D438" s="1264" t="s">
        <v>3226</v>
      </c>
      <c r="E438" s="1265"/>
      <c r="F438" s="2273"/>
      <c r="G438" s="2251"/>
    </row>
    <row r="439" spans="3:7">
      <c r="C439" s="1272" t="s">
        <v>489</v>
      </c>
      <c r="D439" s="1262" t="s">
        <v>3227</v>
      </c>
      <c r="E439" s="1273"/>
      <c r="F439" s="2273"/>
      <c r="G439" s="2251"/>
    </row>
    <row r="440" spans="3:7" hidden="1">
      <c r="C440" s="1268" t="s">
        <v>2509</v>
      </c>
      <c r="D440" s="1241" t="s">
        <v>3228</v>
      </c>
      <c r="E440" s="1245" t="s">
        <v>36</v>
      </c>
      <c r="F440" s="2273">
        <f>+'VAL. PRINC'!U444</f>
        <v>0</v>
      </c>
      <c r="G440" s="2251"/>
    </row>
    <row r="441" spans="3:7">
      <c r="C441" s="1268" t="s">
        <v>2510</v>
      </c>
      <c r="D441" s="1241" t="s">
        <v>3229</v>
      </c>
      <c r="E441" s="1245" t="s">
        <v>36</v>
      </c>
      <c r="F441" s="2273">
        <f>+'VAL. PRINC'!U445</f>
        <v>2</v>
      </c>
      <c r="G441" s="2251"/>
    </row>
    <row r="442" spans="3:7">
      <c r="C442" s="1268" t="s">
        <v>2511</v>
      </c>
      <c r="D442" s="1241" t="s">
        <v>3230</v>
      </c>
      <c r="E442" s="1245" t="s">
        <v>36</v>
      </c>
      <c r="F442" s="2273">
        <f>+'VAL. PRINC'!U446</f>
        <v>7</v>
      </c>
      <c r="G442" s="2251"/>
    </row>
    <row r="443" spans="3:7">
      <c r="C443" s="1268" t="s">
        <v>2512</v>
      </c>
      <c r="D443" s="1241" t="s">
        <v>3231</v>
      </c>
      <c r="E443" s="1245" t="s">
        <v>36</v>
      </c>
      <c r="F443" s="2273">
        <f>+'VAL. PRINC'!U447</f>
        <v>13</v>
      </c>
      <c r="G443" s="2251"/>
    </row>
    <row r="444" spans="3:7" hidden="1">
      <c r="C444" s="1268" t="s">
        <v>2513</v>
      </c>
      <c r="D444" s="1241" t="s">
        <v>3232</v>
      </c>
      <c r="E444" s="1245" t="s">
        <v>36</v>
      </c>
      <c r="F444" s="2273">
        <f>+'VAL. PRINC'!U448</f>
        <v>0</v>
      </c>
      <c r="G444" s="2251"/>
    </row>
    <row r="445" spans="3:7">
      <c r="C445" s="1268" t="s">
        <v>2514</v>
      </c>
      <c r="D445" s="1241" t="s">
        <v>3233</v>
      </c>
      <c r="E445" s="1245" t="s">
        <v>36</v>
      </c>
      <c r="F445" s="2273">
        <f>+'VAL. PRINC'!U449</f>
        <v>1</v>
      </c>
      <c r="G445" s="2251"/>
    </row>
    <row r="446" spans="3:7" hidden="1">
      <c r="C446" s="1268" t="s">
        <v>2515</v>
      </c>
      <c r="D446" s="1241" t="s">
        <v>3234</v>
      </c>
      <c r="E446" s="1245" t="s">
        <v>36</v>
      </c>
      <c r="F446" s="2273">
        <f>+'VAL. PRINC'!U450</f>
        <v>0</v>
      </c>
      <c r="G446" s="2251"/>
    </row>
    <row r="447" spans="3:7">
      <c r="C447" s="1272" t="s">
        <v>490</v>
      </c>
      <c r="D447" s="1262" t="s">
        <v>3235</v>
      </c>
      <c r="E447" s="1273"/>
      <c r="F447" s="2273"/>
      <c r="G447" s="2251"/>
    </row>
    <row r="448" spans="3:7">
      <c r="C448" s="1268" t="s">
        <v>2516</v>
      </c>
      <c r="D448" s="1241" t="s">
        <v>3236</v>
      </c>
      <c r="E448" s="1245" t="s">
        <v>36</v>
      </c>
      <c r="F448" s="2273">
        <f>+'VAL. PRINC'!U452</f>
        <v>47</v>
      </c>
      <c r="G448" s="2251"/>
    </row>
    <row r="449" spans="3:7" hidden="1">
      <c r="C449" s="1268" t="s">
        <v>2517</v>
      </c>
      <c r="D449" s="1241" t="s">
        <v>3237</v>
      </c>
      <c r="E449" s="1245" t="s">
        <v>36</v>
      </c>
      <c r="F449" s="2273">
        <f>+'VAL. PRINC'!U453</f>
        <v>0</v>
      </c>
      <c r="G449" s="2251"/>
    </row>
    <row r="450" spans="3:7">
      <c r="C450" s="1268" t="s">
        <v>2518</v>
      </c>
      <c r="D450" s="1241" t="s">
        <v>3238</v>
      </c>
      <c r="E450" s="1245" t="s">
        <v>36</v>
      </c>
      <c r="F450" s="2273">
        <f>+'VAL. PRINC'!U454</f>
        <v>21</v>
      </c>
      <c r="G450" s="2251"/>
    </row>
    <row r="451" spans="3:7">
      <c r="C451" s="1268" t="s">
        <v>2519</v>
      </c>
      <c r="D451" s="1241" t="s">
        <v>3239</v>
      </c>
      <c r="E451" s="1245" t="s">
        <v>36</v>
      </c>
      <c r="F451" s="2273">
        <f>+'VAL. PRINC'!U455</f>
        <v>2</v>
      </c>
      <c r="G451" s="2251"/>
    </row>
    <row r="452" spans="3:7">
      <c r="C452" s="1268" t="s">
        <v>2520</v>
      </c>
      <c r="D452" s="1241" t="s">
        <v>3240</v>
      </c>
      <c r="E452" s="1245" t="s">
        <v>36</v>
      </c>
      <c r="F452" s="2273">
        <f>+'VAL. PRINC'!U456</f>
        <v>15</v>
      </c>
      <c r="G452" s="2251"/>
    </row>
    <row r="453" spans="3:7">
      <c r="C453" s="1268" t="s">
        <v>2521</v>
      </c>
      <c r="D453" s="1241" t="s">
        <v>3241</v>
      </c>
      <c r="E453" s="1245" t="s">
        <v>36</v>
      </c>
      <c r="F453" s="2273">
        <f>+'VAL. PRINC'!U457</f>
        <v>10</v>
      </c>
      <c r="G453" s="2251"/>
    </row>
    <row r="454" spans="3:7">
      <c r="C454" s="1268" t="s">
        <v>2522</v>
      </c>
      <c r="D454" s="1241" t="s">
        <v>3242</v>
      </c>
      <c r="E454" s="1245" t="s">
        <v>36</v>
      </c>
      <c r="F454" s="2273">
        <f>+'VAL. PRINC'!U458</f>
        <v>2</v>
      </c>
      <c r="G454" s="2251"/>
    </row>
    <row r="455" spans="3:7">
      <c r="C455" s="1268" t="s">
        <v>2523</v>
      </c>
      <c r="D455" s="1241" t="s">
        <v>3243</v>
      </c>
      <c r="E455" s="1245" t="s">
        <v>36</v>
      </c>
      <c r="F455" s="2273">
        <f>+'VAL. PRINC'!U459</f>
        <v>2</v>
      </c>
      <c r="G455" s="2251"/>
    </row>
    <row r="456" spans="3:7">
      <c r="C456" s="1268" t="s">
        <v>2524</v>
      </c>
      <c r="D456" s="1241" t="s">
        <v>3244</v>
      </c>
      <c r="E456" s="1245" t="s">
        <v>36</v>
      </c>
      <c r="F456" s="2273">
        <f>+'VAL. PRINC'!U460</f>
        <v>45</v>
      </c>
      <c r="G456" s="2251"/>
    </row>
    <row r="457" spans="3:7">
      <c r="C457" s="1268" t="s">
        <v>2525</v>
      </c>
      <c r="D457" s="1241" t="s">
        <v>3245</v>
      </c>
      <c r="E457" s="1245" t="s">
        <v>36</v>
      </c>
      <c r="F457" s="2273">
        <f>+'VAL. PRINC'!U461</f>
        <v>45</v>
      </c>
      <c r="G457" s="2251"/>
    </row>
    <row r="458" spans="3:7">
      <c r="C458" s="1268" t="s">
        <v>2526</v>
      </c>
      <c r="D458" s="1241" t="s">
        <v>3246</v>
      </c>
      <c r="E458" s="1245" t="s">
        <v>36</v>
      </c>
      <c r="F458" s="2273">
        <f>+'VAL. PRINC'!U462</f>
        <v>36</v>
      </c>
      <c r="G458" s="2251"/>
    </row>
    <row r="459" spans="3:7">
      <c r="C459" s="1268" t="s">
        <v>2527</v>
      </c>
      <c r="D459" s="1241" t="s">
        <v>3247</v>
      </c>
      <c r="E459" s="1245" t="s">
        <v>36</v>
      </c>
      <c r="F459" s="2273">
        <f>+'VAL. PRINC'!U463</f>
        <v>18</v>
      </c>
      <c r="G459" s="2251"/>
    </row>
    <row r="460" spans="3:7">
      <c r="C460" s="1268" t="s">
        <v>2528</v>
      </c>
      <c r="D460" s="1241" t="s">
        <v>3248</v>
      </c>
      <c r="E460" s="1245" t="s">
        <v>36</v>
      </c>
      <c r="F460" s="2273">
        <f>+'VAL. PRINC'!U464</f>
        <v>9</v>
      </c>
      <c r="G460" s="2251"/>
    </row>
    <row r="461" spans="3:7" hidden="1">
      <c r="C461" s="1268" t="s">
        <v>2529</v>
      </c>
      <c r="D461" s="1241" t="s">
        <v>3249</v>
      </c>
      <c r="E461" s="1245" t="s">
        <v>36</v>
      </c>
      <c r="F461" s="2273">
        <f>+'VAL. PRINC'!U465</f>
        <v>0</v>
      </c>
      <c r="G461" s="2251"/>
    </row>
    <row r="462" spans="3:7">
      <c r="C462" s="1268" t="s">
        <v>2530</v>
      </c>
      <c r="D462" s="1241" t="s">
        <v>3250</v>
      </c>
      <c r="E462" s="1245" t="s">
        <v>36</v>
      </c>
      <c r="F462" s="2273">
        <f>+'VAL. PRINC'!U466</f>
        <v>2</v>
      </c>
      <c r="G462" s="2251"/>
    </row>
    <row r="463" spans="3:7">
      <c r="C463" s="1268" t="s">
        <v>2531</v>
      </c>
      <c r="D463" s="1241" t="s">
        <v>3251</v>
      </c>
      <c r="E463" s="1245" t="s">
        <v>36</v>
      </c>
      <c r="F463" s="2273">
        <f>+'VAL. PRINC'!U467</f>
        <v>23</v>
      </c>
      <c r="G463" s="2251"/>
    </row>
    <row r="464" spans="3:7">
      <c r="C464" s="1268" t="s">
        <v>2532</v>
      </c>
      <c r="D464" s="1241" t="s">
        <v>3252</v>
      </c>
      <c r="E464" s="1245" t="s">
        <v>36</v>
      </c>
      <c r="F464" s="2273">
        <f>+'VAL. PRINC'!U468</f>
        <v>45</v>
      </c>
      <c r="G464" s="2251"/>
    </row>
    <row r="465" spans="3:7">
      <c r="C465" s="1268" t="s">
        <v>2533</v>
      </c>
      <c r="D465" s="1241" t="s">
        <v>3253</v>
      </c>
      <c r="E465" s="1245" t="s">
        <v>36</v>
      </c>
      <c r="F465" s="2273">
        <f>+'VAL. PRINC'!U469</f>
        <v>32</v>
      </c>
      <c r="G465" s="2251"/>
    </row>
    <row r="466" spans="3:7">
      <c r="C466" s="1268" t="s">
        <v>2534</v>
      </c>
      <c r="D466" s="1241" t="s">
        <v>3254</v>
      </c>
      <c r="E466" s="1245" t="s">
        <v>36</v>
      </c>
      <c r="F466" s="2273">
        <f>+'VAL. PRINC'!U470</f>
        <v>11</v>
      </c>
      <c r="G466" s="2251"/>
    </row>
    <row r="467" spans="3:7">
      <c r="C467" s="1268" t="s">
        <v>2535</v>
      </c>
      <c r="D467" s="1241" t="s">
        <v>3255</v>
      </c>
      <c r="E467" s="1245" t="s">
        <v>36</v>
      </c>
      <c r="F467" s="2273">
        <f>+'VAL. PRINC'!U471</f>
        <v>2</v>
      </c>
      <c r="G467" s="2251"/>
    </row>
    <row r="468" spans="3:7" hidden="1">
      <c r="C468" s="1268" t="s">
        <v>2536</v>
      </c>
      <c r="D468" s="1241" t="s">
        <v>3256</v>
      </c>
      <c r="E468" s="1245" t="s">
        <v>36</v>
      </c>
      <c r="F468" s="2273">
        <f>+'VAL. PRINC'!U472</f>
        <v>0</v>
      </c>
      <c r="G468" s="2251"/>
    </row>
    <row r="469" spans="3:7">
      <c r="C469" s="1272" t="s">
        <v>491</v>
      </c>
      <c r="D469" s="1262" t="s">
        <v>3257</v>
      </c>
      <c r="E469" s="1273"/>
      <c r="F469" s="2273"/>
      <c r="G469" s="2251"/>
    </row>
    <row r="470" spans="3:7">
      <c r="C470" s="1268" t="s">
        <v>2537</v>
      </c>
      <c r="D470" s="1241" t="s">
        <v>3258</v>
      </c>
      <c r="E470" s="1245" t="s">
        <v>36</v>
      </c>
      <c r="F470" s="2273">
        <f>+'VAL. PRINC'!U474</f>
        <v>32</v>
      </c>
      <c r="G470" s="2251"/>
    </row>
    <row r="471" spans="3:7" hidden="1">
      <c r="C471" s="1272" t="s">
        <v>1016</v>
      </c>
      <c r="D471" s="1262" t="s">
        <v>3259</v>
      </c>
      <c r="E471" s="1273"/>
      <c r="F471" s="2273">
        <f>+'VAL. PRINC'!U475</f>
        <v>0</v>
      </c>
      <c r="G471" s="2251"/>
    </row>
    <row r="472" spans="3:7" hidden="1">
      <c r="C472" s="1268" t="s">
        <v>2538</v>
      </c>
      <c r="D472" s="1241" t="s">
        <v>3260</v>
      </c>
      <c r="E472" s="1245" t="s">
        <v>36</v>
      </c>
      <c r="F472" s="2273">
        <f>+'VAL. PRINC'!U476</f>
        <v>0</v>
      </c>
      <c r="G472" s="2251"/>
    </row>
    <row r="473" spans="3:7">
      <c r="C473" s="1263" t="s">
        <v>492</v>
      </c>
      <c r="D473" s="1264" t="s">
        <v>3261</v>
      </c>
      <c r="E473" s="1265"/>
      <c r="F473" s="2273"/>
      <c r="G473" s="2251"/>
    </row>
    <row r="474" spans="3:7" hidden="1">
      <c r="C474" s="1272" t="s">
        <v>493</v>
      </c>
      <c r="D474" s="1262" t="s">
        <v>3262</v>
      </c>
      <c r="E474" s="1273"/>
      <c r="F474" s="2273">
        <f>+'VAL. PRINC'!U478</f>
        <v>0</v>
      </c>
      <c r="G474" s="2251"/>
    </row>
    <row r="475" spans="3:7" hidden="1">
      <c r="C475" s="1268" t="s">
        <v>2539</v>
      </c>
      <c r="D475" s="1241" t="s">
        <v>3263</v>
      </c>
      <c r="E475" s="1245" t="s">
        <v>1451</v>
      </c>
      <c r="F475" s="2273">
        <f>+'VAL. PRINC'!U479</f>
        <v>0</v>
      </c>
      <c r="G475" s="2251"/>
    </row>
    <row r="476" spans="3:7" hidden="1">
      <c r="C476" s="1268" t="s">
        <v>2540</v>
      </c>
      <c r="D476" s="1241" t="s">
        <v>3264</v>
      </c>
      <c r="E476" s="1245" t="s">
        <v>1451</v>
      </c>
      <c r="F476" s="2273">
        <f>+'VAL. PRINC'!U480</f>
        <v>0</v>
      </c>
      <c r="G476" s="2251"/>
    </row>
    <row r="477" spans="3:7">
      <c r="C477" s="1272" t="s">
        <v>494</v>
      </c>
      <c r="D477" s="1262" t="s">
        <v>3265</v>
      </c>
      <c r="E477" s="1273"/>
      <c r="F477" s="2273"/>
      <c r="G477" s="2251"/>
    </row>
    <row r="478" spans="3:7" hidden="1">
      <c r="C478" s="1268" t="s">
        <v>2541</v>
      </c>
      <c r="D478" s="1241" t="s">
        <v>3266</v>
      </c>
      <c r="E478" s="1245" t="s">
        <v>38</v>
      </c>
      <c r="F478" s="2273">
        <f>+'VAL. PRINC'!U482</f>
        <v>0</v>
      </c>
      <c r="G478" s="2251"/>
    </row>
    <row r="479" spans="3:7" hidden="1">
      <c r="C479" s="1268" t="s">
        <v>2542</v>
      </c>
      <c r="D479" s="1241" t="s">
        <v>3267</v>
      </c>
      <c r="E479" s="1245" t="s">
        <v>38</v>
      </c>
      <c r="F479" s="2273">
        <f>+'VAL. PRINC'!U483</f>
        <v>0</v>
      </c>
      <c r="G479" s="2251"/>
    </row>
    <row r="480" spans="3:7" hidden="1">
      <c r="C480" s="1268" t="s">
        <v>2543</v>
      </c>
      <c r="D480" s="1241" t="s">
        <v>3268</v>
      </c>
      <c r="E480" s="1245" t="s">
        <v>38</v>
      </c>
      <c r="F480" s="2273">
        <f>+'VAL. PRINC'!U484</f>
        <v>0</v>
      </c>
      <c r="G480" s="2251"/>
    </row>
    <row r="481" spans="3:7" hidden="1">
      <c r="C481" s="1268" t="s">
        <v>2544</v>
      </c>
      <c r="D481" s="1241" t="s">
        <v>3269</v>
      </c>
      <c r="E481" s="1245" t="s">
        <v>38</v>
      </c>
      <c r="F481" s="2273">
        <f>+'VAL. PRINC'!U485</f>
        <v>0</v>
      </c>
      <c r="G481" s="2251"/>
    </row>
    <row r="482" spans="3:7" hidden="1">
      <c r="C482" s="1268" t="s">
        <v>2545</v>
      </c>
      <c r="D482" s="1241" t="s">
        <v>3270</v>
      </c>
      <c r="E482" s="1245" t="s">
        <v>38</v>
      </c>
      <c r="F482" s="2273">
        <f>+'VAL. PRINC'!U486</f>
        <v>0</v>
      </c>
      <c r="G482" s="2251"/>
    </row>
    <row r="483" spans="3:7">
      <c r="C483" s="1268" t="s">
        <v>2546</v>
      </c>
      <c r="D483" s="1241" t="s">
        <v>3271</v>
      </c>
      <c r="E483" s="1245" t="s">
        <v>38</v>
      </c>
      <c r="F483" s="2273">
        <f>+'VAL. PRINC'!U487</f>
        <v>2.2000000000000002</v>
      </c>
      <c r="G483" s="2251"/>
    </row>
    <row r="484" spans="3:7">
      <c r="C484" s="1272" t="s">
        <v>495</v>
      </c>
      <c r="D484" s="1262" t="s">
        <v>3272</v>
      </c>
      <c r="E484" s="1273"/>
      <c r="F484" s="2273"/>
      <c r="G484" s="2251"/>
    </row>
    <row r="485" spans="3:7">
      <c r="C485" s="1268" t="s">
        <v>2547</v>
      </c>
      <c r="D485" s="1241" t="s">
        <v>3269</v>
      </c>
      <c r="E485" s="1245" t="s">
        <v>38</v>
      </c>
      <c r="F485" s="2273">
        <f>+'VAL. PRINC'!U489</f>
        <v>10</v>
      </c>
      <c r="G485" s="2251"/>
    </row>
    <row r="486" spans="3:7">
      <c r="C486" s="1268" t="s">
        <v>2548</v>
      </c>
      <c r="D486" s="1241" t="s">
        <v>3270</v>
      </c>
      <c r="E486" s="1245" t="s">
        <v>38</v>
      </c>
      <c r="F486" s="2273">
        <f>+'VAL. PRINC'!U490</f>
        <v>40</v>
      </c>
      <c r="G486" s="2251"/>
    </row>
    <row r="487" spans="3:7">
      <c r="C487" s="1272" t="s">
        <v>1024</v>
      </c>
      <c r="D487" s="1262" t="s">
        <v>3273</v>
      </c>
      <c r="E487" s="1273"/>
      <c r="F487" s="2273"/>
      <c r="G487" s="2251"/>
    </row>
    <row r="488" spans="3:7" hidden="1">
      <c r="C488" s="1268" t="s">
        <v>2549</v>
      </c>
      <c r="D488" s="1241" t="s">
        <v>3274</v>
      </c>
      <c r="E488" s="1245" t="s">
        <v>36</v>
      </c>
      <c r="F488" s="2273">
        <f>+'VAL. PRINC'!U492</f>
        <v>0</v>
      </c>
      <c r="G488" s="2251"/>
    </row>
    <row r="489" spans="3:7" hidden="1">
      <c r="C489" s="1268" t="s">
        <v>2550</v>
      </c>
      <c r="D489" s="1241" t="s">
        <v>3275</v>
      </c>
      <c r="E489" s="1245" t="s">
        <v>36</v>
      </c>
      <c r="F489" s="2273">
        <f>+'VAL. PRINC'!U493</f>
        <v>0</v>
      </c>
      <c r="G489" s="2251"/>
    </row>
    <row r="490" spans="3:7" hidden="1">
      <c r="C490" s="1268" t="s">
        <v>2551</v>
      </c>
      <c r="D490" s="1241" t="s">
        <v>3276</v>
      </c>
      <c r="E490" s="1245" t="s">
        <v>36</v>
      </c>
      <c r="F490" s="2273">
        <f>+'VAL. PRINC'!U494</f>
        <v>0</v>
      </c>
      <c r="G490" s="2251"/>
    </row>
    <row r="491" spans="3:7" hidden="1">
      <c r="C491" s="1268" t="s">
        <v>2552</v>
      </c>
      <c r="D491" s="1241" t="s">
        <v>3277</v>
      </c>
      <c r="E491" s="1245" t="s">
        <v>36</v>
      </c>
      <c r="F491" s="2273">
        <f>+'VAL. PRINC'!U495</f>
        <v>0</v>
      </c>
      <c r="G491" s="2251"/>
    </row>
    <row r="492" spans="3:7" hidden="1">
      <c r="C492" s="1268" t="s">
        <v>2553</v>
      </c>
      <c r="D492" s="1241" t="s">
        <v>3278</v>
      </c>
      <c r="E492" s="1245" t="s">
        <v>36</v>
      </c>
      <c r="F492" s="2273">
        <f>+'VAL. PRINC'!U496</f>
        <v>0</v>
      </c>
      <c r="G492" s="2251"/>
    </row>
    <row r="493" spans="3:7">
      <c r="C493" s="1268" t="s">
        <v>2554</v>
      </c>
      <c r="D493" s="1241" t="s">
        <v>3279</v>
      </c>
      <c r="E493" s="1245" t="s">
        <v>36</v>
      </c>
      <c r="F493" s="2273">
        <f>+'VAL. PRINC'!U497</f>
        <v>2</v>
      </c>
      <c r="G493" s="2251"/>
    </row>
    <row r="494" spans="3:7" hidden="1">
      <c r="C494" s="1268" t="s">
        <v>2555</v>
      </c>
      <c r="D494" s="1241" t="s">
        <v>3280</v>
      </c>
      <c r="E494" s="1245" t="s">
        <v>36</v>
      </c>
      <c r="F494" s="2273">
        <f>+'VAL. PRINC'!U498</f>
        <v>0</v>
      </c>
      <c r="G494" s="2251"/>
    </row>
    <row r="495" spans="3:7" hidden="1">
      <c r="C495" s="1268" t="s">
        <v>2556</v>
      </c>
      <c r="D495" s="1241" t="s">
        <v>3281</v>
      </c>
      <c r="E495" s="1245" t="s">
        <v>36</v>
      </c>
      <c r="F495" s="2273">
        <f>+'VAL. PRINC'!U499</f>
        <v>0</v>
      </c>
      <c r="G495" s="2251"/>
    </row>
    <row r="496" spans="3:7" hidden="1">
      <c r="C496" s="1268" t="s">
        <v>2557</v>
      </c>
      <c r="D496" s="1241" t="s">
        <v>3282</v>
      </c>
      <c r="E496" s="1245" t="s">
        <v>36</v>
      </c>
      <c r="F496" s="2273">
        <f>+'VAL. PRINC'!U500</f>
        <v>0</v>
      </c>
      <c r="G496" s="2251"/>
    </row>
    <row r="497" spans="3:7" hidden="1">
      <c r="C497" s="1268" t="s">
        <v>2558</v>
      </c>
      <c r="D497" s="1241" t="s">
        <v>3283</v>
      </c>
      <c r="E497" s="1245" t="s">
        <v>36</v>
      </c>
      <c r="F497" s="2273">
        <f>+'VAL. PRINC'!U501</f>
        <v>0</v>
      </c>
      <c r="G497" s="2251"/>
    </row>
    <row r="498" spans="3:7" hidden="1">
      <c r="C498" s="1268" t="s">
        <v>2559</v>
      </c>
      <c r="D498" s="1241" t="s">
        <v>3284</v>
      </c>
      <c r="E498" s="1245" t="s">
        <v>36</v>
      </c>
      <c r="F498" s="2273">
        <f>+'VAL. PRINC'!U502</f>
        <v>0</v>
      </c>
      <c r="G498" s="2251"/>
    </row>
    <row r="499" spans="3:7" hidden="1">
      <c r="C499" s="1268" t="s">
        <v>2560</v>
      </c>
      <c r="D499" s="1241" t="s">
        <v>3285</v>
      </c>
      <c r="E499" s="1245" t="s">
        <v>36</v>
      </c>
      <c r="F499" s="2273">
        <f>+'VAL. PRINC'!U503</f>
        <v>0</v>
      </c>
      <c r="G499" s="2251"/>
    </row>
    <row r="500" spans="3:7" hidden="1">
      <c r="C500" s="1268" t="s">
        <v>2561</v>
      </c>
      <c r="D500" s="1241" t="s">
        <v>3286</v>
      </c>
      <c r="E500" s="1245" t="s">
        <v>36</v>
      </c>
      <c r="F500" s="2273">
        <f>+'VAL. PRINC'!U504</f>
        <v>0</v>
      </c>
      <c r="G500" s="2251"/>
    </row>
    <row r="501" spans="3:7" hidden="1">
      <c r="C501" s="1268" t="s">
        <v>2562</v>
      </c>
      <c r="D501" s="1241" t="s">
        <v>3287</v>
      </c>
      <c r="E501" s="1245" t="s">
        <v>36</v>
      </c>
      <c r="F501" s="2273">
        <f>+'VAL. PRINC'!U505</f>
        <v>0</v>
      </c>
      <c r="G501" s="2251"/>
    </row>
    <row r="502" spans="3:7" hidden="1">
      <c r="C502" s="1268" t="s">
        <v>2563</v>
      </c>
      <c r="D502" s="1241" t="s">
        <v>3288</v>
      </c>
      <c r="E502" s="1245" t="s">
        <v>36</v>
      </c>
      <c r="F502" s="2273">
        <f>+'VAL. PRINC'!U506</f>
        <v>0</v>
      </c>
      <c r="G502" s="2251"/>
    </row>
    <row r="503" spans="3:7" hidden="1">
      <c r="C503" s="1268" t="s">
        <v>2564</v>
      </c>
      <c r="D503" s="1241" t="s">
        <v>3289</v>
      </c>
      <c r="E503" s="1245" t="s">
        <v>36</v>
      </c>
      <c r="F503" s="2273">
        <f>+'VAL. PRINC'!U507</f>
        <v>0</v>
      </c>
      <c r="G503" s="2251"/>
    </row>
    <row r="504" spans="3:7" hidden="1">
      <c r="C504" s="1268" t="s">
        <v>2565</v>
      </c>
      <c r="D504" s="1241" t="s">
        <v>3290</v>
      </c>
      <c r="E504" s="1245" t="s">
        <v>36</v>
      </c>
      <c r="F504" s="2273">
        <f>+'VAL. PRINC'!U508</f>
        <v>0</v>
      </c>
      <c r="G504" s="2251"/>
    </row>
    <row r="505" spans="3:7" hidden="1">
      <c r="C505" s="1268" t="s">
        <v>2566</v>
      </c>
      <c r="D505" s="1241" t="s">
        <v>3291</v>
      </c>
      <c r="E505" s="1245" t="s">
        <v>36</v>
      </c>
      <c r="F505" s="2273">
        <f>+'VAL. PRINC'!U509</f>
        <v>0</v>
      </c>
      <c r="G505" s="2251"/>
    </row>
    <row r="506" spans="3:7" hidden="1">
      <c r="C506" s="1268" t="s">
        <v>2567</v>
      </c>
      <c r="D506" s="1241" t="s">
        <v>3292</v>
      </c>
      <c r="E506" s="1245" t="s">
        <v>36</v>
      </c>
      <c r="F506" s="2273">
        <f>+'VAL. PRINC'!U510</f>
        <v>0</v>
      </c>
      <c r="G506" s="2251"/>
    </row>
    <row r="507" spans="3:7" hidden="1">
      <c r="C507" s="1268" t="s">
        <v>2568</v>
      </c>
      <c r="D507" s="1241" t="s">
        <v>3293</v>
      </c>
      <c r="E507" s="1245" t="s">
        <v>36</v>
      </c>
      <c r="F507" s="2273">
        <f>+'VAL. PRINC'!U511</f>
        <v>0</v>
      </c>
      <c r="G507" s="2251"/>
    </row>
    <row r="508" spans="3:7" hidden="1">
      <c r="C508" s="1268" t="s">
        <v>2569</v>
      </c>
      <c r="D508" s="1241" t="s">
        <v>3294</v>
      </c>
      <c r="E508" s="1245" t="s">
        <v>36</v>
      </c>
      <c r="F508" s="2273">
        <f>+'VAL. PRINC'!U512</f>
        <v>0</v>
      </c>
      <c r="G508" s="2251"/>
    </row>
    <row r="509" spans="3:7" hidden="1">
      <c r="C509" s="1272" t="s">
        <v>1025</v>
      </c>
      <c r="D509" s="1262" t="s">
        <v>3295</v>
      </c>
      <c r="E509" s="1273"/>
      <c r="F509" s="2273"/>
      <c r="G509" s="2251"/>
    </row>
    <row r="510" spans="3:7" hidden="1">
      <c r="C510" s="1268" t="s">
        <v>2570</v>
      </c>
      <c r="D510" s="1241" t="s">
        <v>3296</v>
      </c>
      <c r="E510" s="1245" t="s">
        <v>1450</v>
      </c>
      <c r="F510" s="2273">
        <f>+'VAL. PRINC'!U514</f>
        <v>0</v>
      </c>
      <c r="G510" s="2251"/>
    </row>
    <row r="511" spans="3:7" hidden="1">
      <c r="C511" s="1268" t="s">
        <v>2571</v>
      </c>
      <c r="D511" s="1241" t="s">
        <v>3297</v>
      </c>
      <c r="E511" s="1245" t="s">
        <v>1450</v>
      </c>
      <c r="F511" s="2273">
        <f>+'VAL. PRINC'!U515</f>
        <v>0</v>
      </c>
      <c r="G511" s="2251"/>
    </row>
    <row r="512" spans="3:7" hidden="1">
      <c r="C512" s="1268" t="s">
        <v>2572</v>
      </c>
      <c r="D512" s="1241" t="s">
        <v>3298</v>
      </c>
      <c r="E512" s="1245" t="s">
        <v>1450</v>
      </c>
      <c r="F512" s="2273">
        <f>+'VAL. PRINC'!U516</f>
        <v>0</v>
      </c>
      <c r="G512" s="2251"/>
    </row>
    <row r="513" spans="3:7" hidden="1">
      <c r="C513" s="1268" t="s">
        <v>2573</v>
      </c>
      <c r="D513" s="1241" t="s">
        <v>3299</v>
      </c>
      <c r="E513" s="1245" t="s">
        <v>1450</v>
      </c>
      <c r="F513" s="2273">
        <f>+'VAL. PRINC'!U517</f>
        <v>0</v>
      </c>
      <c r="G513" s="2251"/>
    </row>
    <row r="514" spans="3:7" hidden="1">
      <c r="C514" s="1272" t="s">
        <v>1026</v>
      </c>
      <c r="D514" s="1262" t="s">
        <v>3300</v>
      </c>
      <c r="E514" s="1273"/>
      <c r="F514" s="2273">
        <f>+'VAL. PRINC'!U518</f>
        <v>0</v>
      </c>
      <c r="G514" s="2251"/>
    </row>
    <row r="515" spans="3:7" hidden="1">
      <c r="C515" s="1268" t="s">
        <v>2574</v>
      </c>
      <c r="D515" s="1241" t="s">
        <v>3301</v>
      </c>
      <c r="E515" s="1245" t="s">
        <v>41</v>
      </c>
      <c r="F515" s="2273">
        <f>+'VAL. PRINC'!U519</f>
        <v>0</v>
      </c>
      <c r="G515" s="2251"/>
    </row>
    <row r="516" spans="3:7" hidden="1">
      <c r="C516" s="1268" t="s">
        <v>2575</v>
      </c>
      <c r="D516" s="1241" t="s">
        <v>3302</v>
      </c>
      <c r="E516" s="1245" t="s">
        <v>41</v>
      </c>
      <c r="F516" s="2273">
        <f>+'VAL. PRINC'!U520</f>
        <v>0</v>
      </c>
      <c r="G516" s="2251"/>
    </row>
    <row r="517" spans="3:7">
      <c r="C517" s="1272" t="s">
        <v>1027</v>
      </c>
      <c r="D517" s="1262" t="s">
        <v>3303</v>
      </c>
      <c r="E517" s="1273"/>
      <c r="F517" s="2273"/>
      <c r="G517" s="2251"/>
    </row>
    <row r="518" spans="3:7" hidden="1">
      <c r="C518" s="1268" t="s">
        <v>2576</v>
      </c>
      <c r="D518" s="1241" t="s">
        <v>3304</v>
      </c>
      <c r="E518" s="1245" t="s">
        <v>36</v>
      </c>
      <c r="F518" s="2273">
        <f>+'VAL. PRINC'!U522</f>
        <v>0</v>
      </c>
      <c r="G518" s="2251"/>
    </row>
    <row r="519" spans="3:7" hidden="1">
      <c r="C519" s="1268" t="s">
        <v>2577</v>
      </c>
      <c r="D519" s="1241" t="s">
        <v>3305</v>
      </c>
      <c r="E519" s="1245" t="s">
        <v>41</v>
      </c>
      <c r="F519" s="2273">
        <f>+'VAL. PRINC'!U523</f>
        <v>0</v>
      </c>
      <c r="G519" s="2251"/>
    </row>
    <row r="520" spans="3:7">
      <c r="C520" s="1268" t="s">
        <v>2578</v>
      </c>
      <c r="D520" s="1241" t="s">
        <v>3306</v>
      </c>
      <c r="E520" s="1245" t="s">
        <v>36</v>
      </c>
      <c r="F520" s="2273">
        <f>+'VAL. PRINC'!U524</f>
        <v>2</v>
      </c>
      <c r="G520" s="2251"/>
    </row>
    <row r="521" spans="3:7">
      <c r="C521" s="1263" t="s">
        <v>496</v>
      </c>
      <c r="D521" s="1264" t="s">
        <v>3307</v>
      </c>
      <c r="E521" s="1265"/>
      <c r="F521" s="2273"/>
      <c r="G521" s="2251"/>
    </row>
    <row r="522" spans="3:7">
      <c r="C522" s="1272" t="s">
        <v>497</v>
      </c>
      <c r="D522" s="1262" t="s">
        <v>3308</v>
      </c>
      <c r="E522" s="1273"/>
      <c r="F522" s="2273"/>
      <c r="G522" s="2251"/>
    </row>
    <row r="523" spans="3:7" hidden="1">
      <c r="C523" s="1268" t="s">
        <v>2579</v>
      </c>
      <c r="D523" s="1241" t="s">
        <v>3309</v>
      </c>
      <c r="E523" s="1245" t="s">
        <v>38</v>
      </c>
      <c r="F523" s="2273">
        <f>+'VAL. PRINC'!U527</f>
        <v>0</v>
      </c>
      <c r="G523" s="2251"/>
    </row>
    <row r="524" spans="3:7">
      <c r="C524" s="1268" t="s">
        <v>2580</v>
      </c>
      <c r="D524" s="1241" t="s">
        <v>3310</v>
      </c>
      <c r="E524" s="1245" t="s">
        <v>38</v>
      </c>
      <c r="F524" s="2273">
        <f>+'VAL. PRINC'!U528</f>
        <v>53.5</v>
      </c>
      <c r="G524" s="2251"/>
    </row>
    <row r="525" spans="3:7">
      <c r="C525" s="1268" t="s">
        <v>2581</v>
      </c>
      <c r="D525" s="1241" t="s">
        <v>3311</v>
      </c>
      <c r="E525" s="1245" t="s">
        <v>38</v>
      </c>
      <c r="F525" s="2273">
        <f>+'VAL. PRINC'!U529</f>
        <v>103.6</v>
      </c>
      <c r="G525" s="2251"/>
    </row>
    <row r="526" spans="3:7" hidden="1">
      <c r="C526" s="1268" t="s">
        <v>2582</v>
      </c>
      <c r="D526" s="1241" t="s">
        <v>3312</v>
      </c>
      <c r="E526" s="1245" t="s">
        <v>38</v>
      </c>
      <c r="F526" s="2273">
        <f>+'VAL. PRINC'!U530</f>
        <v>0</v>
      </c>
      <c r="G526" s="2251"/>
    </row>
    <row r="527" spans="3:7" hidden="1">
      <c r="C527" s="1268" t="s">
        <v>2583</v>
      </c>
      <c r="D527" s="1241" t="s">
        <v>3313</v>
      </c>
      <c r="E527" s="1245" t="s">
        <v>38</v>
      </c>
      <c r="F527" s="2273">
        <f>+'VAL. PRINC'!U531</f>
        <v>0</v>
      </c>
      <c r="G527" s="2251"/>
    </row>
    <row r="528" spans="3:7" hidden="1">
      <c r="C528" s="1268" t="s">
        <v>2584</v>
      </c>
      <c r="D528" s="1241" t="s">
        <v>3314</v>
      </c>
      <c r="E528" s="1245" t="s">
        <v>38</v>
      </c>
      <c r="F528" s="2273">
        <f>+'VAL. PRINC'!U532</f>
        <v>0</v>
      </c>
      <c r="G528" s="2251"/>
    </row>
    <row r="529" spans="3:7" hidden="1">
      <c r="C529" s="1268" t="s">
        <v>2585</v>
      </c>
      <c r="D529" s="1241" t="s">
        <v>3315</v>
      </c>
      <c r="E529" s="1245" t="s">
        <v>36</v>
      </c>
      <c r="F529" s="2273">
        <f>+'VAL. PRINC'!U533</f>
        <v>0</v>
      </c>
      <c r="G529" s="2251"/>
    </row>
    <row r="530" spans="3:7" hidden="1">
      <c r="C530" s="1268" t="s">
        <v>2586</v>
      </c>
      <c r="D530" s="1241" t="s">
        <v>3316</v>
      </c>
      <c r="E530" s="1245" t="s">
        <v>36</v>
      </c>
      <c r="F530" s="2273">
        <f>+'VAL. PRINC'!U534</f>
        <v>0</v>
      </c>
      <c r="G530" s="2251"/>
    </row>
    <row r="531" spans="3:7">
      <c r="C531" s="1272" t="s">
        <v>498</v>
      </c>
      <c r="D531" s="1262" t="s">
        <v>3317</v>
      </c>
      <c r="E531" s="1273"/>
      <c r="F531" s="2273"/>
      <c r="G531" s="2251"/>
    </row>
    <row r="532" spans="3:7" hidden="1">
      <c r="C532" s="1268" t="s">
        <v>2587</v>
      </c>
      <c r="D532" s="1241" t="s">
        <v>3318</v>
      </c>
      <c r="E532" s="1245" t="s">
        <v>38</v>
      </c>
      <c r="F532" s="2273">
        <f>+'VAL. PRINC'!U536</f>
        <v>0</v>
      </c>
      <c r="G532" s="2251"/>
    </row>
    <row r="533" spans="3:7">
      <c r="C533" s="1268" t="s">
        <v>2588</v>
      </c>
      <c r="D533" s="1241" t="s">
        <v>3319</v>
      </c>
      <c r="E533" s="1245" t="s">
        <v>38</v>
      </c>
      <c r="F533" s="2273">
        <f>+'VAL. PRINC'!U537</f>
        <v>29.55</v>
      </c>
      <c r="G533" s="2251"/>
    </row>
    <row r="534" spans="3:7" hidden="1">
      <c r="C534" s="1268" t="s">
        <v>2589</v>
      </c>
      <c r="D534" s="1241" t="s">
        <v>3320</v>
      </c>
      <c r="E534" s="1245" t="s">
        <v>38</v>
      </c>
      <c r="F534" s="2273">
        <f>+'VAL. PRINC'!U538</f>
        <v>0</v>
      </c>
      <c r="G534" s="2251"/>
    </row>
    <row r="535" spans="3:7" hidden="1">
      <c r="C535" s="1268" t="s">
        <v>2590</v>
      </c>
      <c r="D535" s="1241" t="s">
        <v>3321</v>
      </c>
      <c r="E535" s="1245" t="s">
        <v>38</v>
      </c>
      <c r="F535" s="2273">
        <f>+'VAL. PRINC'!U539</f>
        <v>0</v>
      </c>
      <c r="G535" s="2251"/>
    </row>
    <row r="536" spans="3:7" hidden="1">
      <c r="C536" s="1268" t="s">
        <v>2591</v>
      </c>
      <c r="D536" s="1241" t="s">
        <v>3322</v>
      </c>
      <c r="E536" s="1245" t="s">
        <v>38</v>
      </c>
      <c r="F536" s="2273">
        <f>+'VAL. PRINC'!U540</f>
        <v>0</v>
      </c>
      <c r="G536" s="2251"/>
    </row>
    <row r="537" spans="3:7" hidden="1">
      <c r="C537" s="1268" t="s">
        <v>2592</v>
      </c>
      <c r="D537" s="1241" t="s">
        <v>3323</v>
      </c>
      <c r="E537" s="1245" t="s">
        <v>38</v>
      </c>
      <c r="F537" s="2273">
        <f>+'VAL. PRINC'!U541</f>
        <v>0</v>
      </c>
      <c r="G537" s="2251"/>
    </row>
    <row r="538" spans="3:7" hidden="1">
      <c r="C538" s="1268" t="s">
        <v>2593</v>
      </c>
      <c r="D538" s="1241" t="s">
        <v>3324</v>
      </c>
      <c r="E538" s="1245" t="s">
        <v>38</v>
      </c>
      <c r="F538" s="2273">
        <f>+'VAL. PRINC'!U542</f>
        <v>0</v>
      </c>
      <c r="G538" s="2251"/>
    </row>
    <row r="539" spans="3:7">
      <c r="C539" s="1268" t="s">
        <v>2594</v>
      </c>
      <c r="D539" s="1241" t="s">
        <v>3325</v>
      </c>
      <c r="E539" s="1245" t="s">
        <v>38</v>
      </c>
      <c r="F539" s="2273">
        <f>+'VAL. PRINC'!U543</f>
        <v>4.9000000000000004</v>
      </c>
      <c r="G539" s="2251"/>
    </row>
    <row r="540" spans="3:7" hidden="1">
      <c r="C540" s="1268" t="s">
        <v>2595</v>
      </c>
      <c r="D540" s="1241" t="s">
        <v>3326</v>
      </c>
      <c r="E540" s="1245" t="s">
        <v>38</v>
      </c>
      <c r="F540" s="2273">
        <f>+'VAL. PRINC'!U544</f>
        <v>0</v>
      </c>
      <c r="G540" s="2251"/>
    </row>
    <row r="541" spans="3:7" hidden="1">
      <c r="C541" s="1268" t="s">
        <v>2596</v>
      </c>
      <c r="D541" s="1241" t="s">
        <v>3327</v>
      </c>
      <c r="E541" s="1245" t="s">
        <v>38</v>
      </c>
      <c r="F541" s="2273">
        <f>+'VAL. PRINC'!U545</f>
        <v>0</v>
      </c>
      <c r="G541" s="2251"/>
    </row>
    <row r="542" spans="3:7" hidden="1">
      <c r="C542" s="1268" t="s">
        <v>2597</v>
      </c>
      <c r="D542" s="1241" t="s">
        <v>3328</v>
      </c>
      <c r="E542" s="1245" t="s">
        <v>38</v>
      </c>
      <c r="F542" s="2273">
        <f>+'VAL. PRINC'!U546</f>
        <v>0</v>
      </c>
      <c r="G542" s="2251"/>
    </row>
    <row r="543" spans="3:7" hidden="1">
      <c r="C543" s="1268" t="s">
        <v>2598</v>
      </c>
      <c r="D543" s="1241" t="s">
        <v>3329</v>
      </c>
      <c r="E543" s="1245" t="s">
        <v>38</v>
      </c>
      <c r="F543" s="2273">
        <f>+'VAL. PRINC'!U547</f>
        <v>0</v>
      </c>
      <c r="G543" s="2251"/>
    </row>
    <row r="544" spans="3:7" hidden="1">
      <c r="C544" s="1268" t="s">
        <v>2599</v>
      </c>
      <c r="D544" s="1241" t="s">
        <v>3330</v>
      </c>
      <c r="E544" s="1245" t="s">
        <v>36</v>
      </c>
      <c r="F544" s="2273">
        <f>+'VAL. PRINC'!U548</f>
        <v>0</v>
      </c>
      <c r="G544" s="2251"/>
    </row>
    <row r="545" spans="3:7" hidden="1">
      <c r="C545" s="1268" t="s">
        <v>2600</v>
      </c>
      <c r="D545" s="1241" t="s">
        <v>3331</v>
      </c>
      <c r="E545" s="1245" t="s">
        <v>36</v>
      </c>
      <c r="F545" s="2273">
        <f>+'VAL. PRINC'!U549</f>
        <v>0</v>
      </c>
      <c r="G545" s="2251"/>
    </row>
    <row r="546" spans="3:7" hidden="1">
      <c r="C546" s="1268" t="s">
        <v>2601</v>
      </c>
      <c r="D546" s="1241" t="s">
        <v>3332</v>
      </c>
      <c r="E546" s="1245" t="s">
        <v>36</v>
      </c>
      <c r="F546" s="2273">
        <f>+'VAL. PRINC'!U550</f>
        <v>0</v>
      </c>
      <c r="G546" s="2251"/>
    </row>
    <row r="547" spans="3:7">
      <c r="C547" s="1272" t="s">
        <v>1031</v>
      </c>
      <c r="D547" s="1262" t="s">
        <v>3333</v>
      </c>
      <c r="E547" s="1273"/>
      <c r="F547" s="2273"/>
      <c r="G547" s="2251"/>
    </row>
    <row r="548" spans="3:7" hidden="1">
      <c r="C548" s="1268" t="s">
        <v>2602</v>
      </c>
      <c r="D548" s="1241" t="s">
        <v>3334</v>
      </c>
      <c r="E548" s="1245" t="s">
        <v>36</v>
      </c>
      <c r="F548" s="2273">
        <f>+'VAL. PRINC'!U552</f>
        <v>0</v>
      </c>
      <c r="G548" s="2251"/>
    </row>
    <row r="549" spans="3:7" hidden="1">
      <c r="C549" s="1268" t="s">
        <v>2603</v>
      </c>
      <c r="D549" s="1241" t="s">
        <v>3335</v>
      </c>
      <c r="E549" s="1245" t="s">
        <v>36</v>
      </c>
      <c r="F549" s="2273">
        <f>+'VAL. PRINC'!U553</f>
        <v>0</v>
      </c>
      <c r="G549" s="2251"/>
    </row>
    <row r="550" spans="3:7" hidden="1">
      <c r="C550" s="1268" t="s">
        <v>2604</v>
      </c>
      <c r="D550" s="1241" t="s">
        <v>3336</v>
      </c>
      <c r="E550" s="1245" t="s">
        <v>36</v>
      </c>
      <c r="F550" s="2273">
        <f>+'VAL. PRINC'!U554</f>
        <v>0</v>
      </c>
      <c r="G550" s="2251"/>
    </row>
    <row r="551" spans="3:7" hidden="1">
      <c r="C551" s="1268" t="s">
        <v>2605</v>
      </c>
      <c r="D551" s="1241" t="s">
        <v>3337</v>
      </c>
      <c r="E551" s="1245" t="s">
        <v>36</v>
      </c>
      <c r="F551" s="2273">
        <f>+'VAL. PRINC'!U555</f>
        <v>0</v>
      </c>
      <c r="G551" s="2251"/>
    </row>
    <row r="552" spans="3:7" hidden="1">
      <c r="C552" s="1268" t="s">
        <v>2606</v>
      </c>
      <c r="D552" s="1241" t="s">
        <v>3338</v>
      </c>
      <c r="E552" s="1245" t="s">
        <v>36</v>
      </c>
      <c r="F552" s="2273">
        <f>+'VAL. PRINC'!U556</f>
        <v>0</v>
      </c>
      <c r="G552" s="2251"/>
    </row>
    <row r="553" spans="3:7" hidden="1">
      <c r="C553" s="1268" t="s">
        <v>2607</v>
      </c>
      <c r="D553" s="1241" t="s">
        <v>3339</v>
      </c>
      <c r="E553" s="1245" t="s">
        <v>36</v>
      </c>
      <c r="F553" s="2273">
        <f>+'VAL. PRINC'!U557</f>
        <v>0</v>
      </c>
      <c r="G553" s="2251"/>
    </row>
    <row r="554" spans="3:7">
      <c r="C554" s="1268" t="s">
        <v>2608</v>
      </c>
      <c r="D554" s="1241" t="s">
        <v>3340</v>
      </c>
      <c r="E554" s="1245" t="s">
        <v>36</v>
      </c>
      <c r="F554" s="2273">
        <f>+'VAL. PRINC'!U558</f>
        <v>1</v>
      </c>
      <c r="G554" s="2251"/>
    </row>
    <row r="555" spans="3:7" hidden="1">
      <c r="C555" s="1263" t="s">
        <v>499</v>
      </c>
      <c r="D555" s="1264" t="s">
        <v>3341</v>
      </c>
      <c r="E555" s="1265"/>
      <c r="F555" s="2273"/>
      <c r="G555" s="2251"/>
    </row>
    <row r="556" spans="3:7" hidden="1">
      <c r="C556" s="1272" t="s">
        <v>500</v>
      </c>
      <c r="D556" s="1262" t="s">
        <v>3342</v>
      </c>
      <c r="E556" s="1273"/>
      <c r="F556" s="2273"/>
      <c r="G556" s="2251"/>
    </row>
    <row r="557" spans="3:7" hidden="1">
      <c r="C557" s="1268" t="s">
        <v>2609</v>
      </c>
      <c r="D557" s="1241" t="s">
        <v>3343</v>
      </c>
      <c r="E557" s="1245" t="s">
        <v>1451</v>
      </c>
      <c r="F557" s="2273">
        <f>+'VAL. PRINC'!U561</f>
        <v>0</v>
      </c>
      <c r="G557" s="2251"/>
    </row>
    <row r="558" spans="3:7" hidden="1">
      <c r="C558" s="1268" t="s">
        <v>2610</v>
      </c>
      <c r="D558" s="1241" t="s">
        <v>3344</v>
      </c>
      <c r="E558" s="1245" t="s">
        <v>1451</v>
      </c>
      <c r="F558" s="2273">
        <f>+'VAL. PRINC'!U562</f>
        <v>0</v>
      </c>
      <c r="G558" s="2251"/>
    </row>
    <row r="559" spans="3:7" hidden="1">
      <c r="C559" s="1268" t="s">
        <v>2611</v>
      </c>
      <c r="D559" s="1241" t="s">
        <v>3345</v>
      </c>
      <c r="E559" s="1245" t="s">
        <v>1451</v>
      </c>
      <c r="F559" s="2273">
        <f>+'VAL. PRINC'!U563</f>
        <v>0</v>
      </c>
      <c r="G559" s="2251"/>
    </row>
    <row r="560" spans="3:7" hidden="1">
      <c r="C560" s="1268" t="s">
        <v>2612</v>
      </c>
      <c r="D560" s="1241" t="s">
        <v>3346</v>
      </c>
      <c r="E560" s="1245" t="s">
        <v>1451</v>
      </c>
      <c r="F560" s="2273">
        <f>+'VAL. PRINC'!U564</f>
        <v>0</v>
      </c>
      <c r="G560" s="2251"/>
    </row>
    <row r="561" spans="3:7" hidden="1">
      <c r="C561" s="1272" t="s">
        <v>501</v>
      </c>
      <c r="D561" s="1262" t="s">
        <v>3347</v>
      </c>
      <c r="E561" s="1273"/>
      <c r="F561" s="2273"/>
      <c r="G561" s="2251"/>
    </row>
    <row r="562" spans="3:7" hidden="1">
      <c r="C562" s="1268" t="s">
        <v>2613</v>
      </c>
      <c r="D562" s="1241" t="s">
        <v>3348</v>
      </c>
      <c r="E562" s="1245" t="s">
        <v>38</v>
      </c>
      <c r="F562" s="2273">
        <f>+'VAL. PRINC'!U566</f>
        <v>0</v>
      </c>
      <c r="G562" s="2251"/>
    </row>
    <row r="563" spans="3:7" hidden="1">
      <c r="C563" s="1268" t="s">
        <v>2614</v>
      </c>
      <c r="D563" s="1241" t="s">
        <v>3349</v>
      </c>
      <c r="E563" s="1245" t="s">
        <v>38</v>
      </c>
      <c r="F563" s="2273">
        <f>+'VAL. PRINC'!U567</f>
        <v>0</v>
      </c>
      <c r="G563" s="2251"/>
    </row>
    <row r="564" spans="3:7" hidden="1">
      <c r="C564" s="1268" t="s">
        <v>2615</v>
      </c>
      <c r="D564" s="1241" t="s">
        <v>3350</v>
      </c>
      <c r="E564" s="1245" t="s">
        <v>38</v>
      </c>
      <c r="F564" s="2273">
        <f>+'VAL. PRINC'!U568</f>
        <v>0</v>
      </c>
      <c r="G564" s="2251"/>
    </row>
    <row r="565" spans="3:7" hidden="1">
      <c r="C565" s="1268" t="s">
        <v>2616</v>
      </c>
      <c r="D565" s="1241" t="s">
        <v>3351</v>
      </c>
      <c r="E565" s="1245" t="s">
        <v>38</v>
      </c>
      <c r="F565" s="2273">
        <f>+'VAL. PRINC'!U569</f>
        <v>0</v>
      </c>
      <c r="G565" s="2251"/>
    </row>
    <row r="566" spans="3:7" hidden="1">
      <c r="C566" s="1268" t="s">
        <v>2617</v>
      </c>
      <c r="D566" s="1241" t="s">
        <v>3352</v>
      </c>
      <c r="E566" s="1245" t="s">
        <v>38</v>
      </c>
      <c r="F566" s="2273">
        <f>+'VAL. PRINC'!U570</f>
        <v>0</v>
      </c>
      <c r="G566" s="2251"/>
    </row>
    <row r="567" spans="3:7" hidden="1">
      <c r="C567" s="1268" t="s">
        <v>2618</v>
      </c>
      <c r="D567" s="1241" t="s">
        <v>3353</v>
      </c>
      <c r="E567" s="1245" t="s">
        <v>38</v>
      </c>
      <c r="F567" s="2273">
        <f>+'VAL. PRINC'!U571</f>
        <v>0</v>
      </c>
      <c r="G567" s="2251"/>
    </row>
    <row r="568" spans="3:7" hidden="1">
      <c r="C568" s="1272" t="s">
        <v>502</v>
      </c>
      <c r="D568" s="1262" t="s">
        <v>3354</v>
      </c>
      <c r="E568" s="1273"/>
      <c r="F568" s="2273"/>
      <c r="G568" s="2251"/>
    </row>
    <row r="569" spans="3:7" hidden="1">
      <c r="C569" s="1268" t="s">
        <v>2619</v>
      </c>
      <c r="D569" s="1241" t="s">
        <v>3350</v>
      </c>
      <c r="E569" s="1245" t="s">
        <v>38</v>
      </c>
      <c r="F569" s="2273">
        <f>+'VAL. PRINC'!U573</f>
        <v>0</v>
      </c>
      <c r="G569" s="2251"/>
    </row>
    <row r="570" spans="3:7" hidden="1">
      <c r="C570" s="1268" t="s">
        <v>2620</v>
      </c>
      <c r="D570" s="1241" t="s">
        <v>3355</v>
      </c>
      <c r="E570" s="1245" t="s">
        <v>38</v>
      </c>
      <c r="F570" s="2273">
        <f>+'VAL. PRINC'!U574</f>
        <v>0</v>
      </c>
      <c r="G570" s="2251"/>
    </row>
    <row r="571" spans="3:7" hidden="1">
      <c r="C571" s="1268" t="s">
        <v>2621</v>
      </c>
      <c r="D571" s="1241" t="s">
        <v>3356</v>
      </c>
      <c r="E571" s="1245" t="s">
        <v>38</v>
      </c>
      <c r="F571" s="2273">
        <f>+'VAL. PRINC'!U575</f>
        <v>0</v>
      </c>
      <c r="G571" s="2251"/>
    </row>
    <row r="572" spans="3:7">
      <c r="C572" s="1272" t="s">
        <v>503</v>
      </c>
      <c r="D572" s="1262" t="s">
        <v>3357</v>
      </c>
      <c r="E572" s="1273"/>
      <c r="F572" s="2273"/>
      <c r="G572" s="2251"/>
    </row>
    <row r="573" spans="3:7" hidden="1">
      <c r="C573" s="1268" t="s">
        <v>2622</v>
      </c>
      <c r="D573" s="1241" t="s">
        <v>3358</v>
      </c>
      <c r="E573" s="1245" t="s">
        <v>36</v>
      </c>
      <c r="F573" s="2273">
        <f>+'VAL. PRINC'!U577</f>
        <v>0</v>
      </c>
      <c r="G573" s="2251"/>
    </row>
    <row r="574" spans="3:7" hidden="1">
      <c r="C574" s="1268" t="s">
        <v>2623</v>
      </c>
      <c r="D574" s="1241" t="s">
        <v>3359</v>
      </c>
      <c r="E574" s="1245" t="s">
        <v>36</v>
      </c>
      <c r="F574" s="2273">
        <f>+'VAL. PRINC'!U578</f>
        <v>0</v>
      </c>
      <c r="G574" s="2251"/>
    </row>
    <row r="575" spans="3:7" hidden="1">
      <c r="C575" s="1268" t="s">
        <v>2624</v>
      </c>
      <c r="D575" s="1241" t="s">
        <v>3360</v>
      </c>
      <c r="E575" s="1245" t="s">
        <v>36</v>
      </c>
      <c r="F575" s="2273">
        <f>+'VAL. PRINC'!U579</f>
        <v>0</v>
      </c>
      <c r="G575" s="2251"/>
    </row>
    <row r="576" spans="3:7" hidden="1">
      <c r="C576" s="1268" t="s">
        <v>2625</v>
      </c>
      <c r="D576" s="1241" t="s">
        <v>3361</v>
      </c>
      <c r="E576" s="1245" t="s">
        <v>36</v>
      </c>
      <c r="F576" s="2273">
        <f>+'VAL. PRINC'!U580</f>
        <v>0</v>
      </c>
      <c r="G576" s="2251"/>
    </row>
    <row r="577" spans="3:7" hidden="1">
      <c r="C577" s="1268" t="s">
        <v>2626</v>
      </c>
      <c r="D577" s="1241" t="s">
        <v>3362</v>
      </c>
      <c r="E577" s="1245" t="s">
        <v>36</v>
      </c>
      <c r="F577" s="2273">
        <f>+'VAL. PRINC'!U581</f>
        <v>0</v>
      </c>
      <c r="G577" s="2251"/>
    </row>
    <row r="578" spans="3:7" hidden="1">
      <c r="C578" s="1268" t="s">
        <v>2627</v>
      </c>
      <c r="D578" s="1241" t="s">
        <v>3363</v>
      </c>
      <c r="E578" s="1245" t="s">
        <v>36</v>
      </c>
      <c r="F578" s="2273">
        <f>+'VAL. PRINC'!U582</f>
        <v>0</v>
      </c>
      <c r="G578" s="2251"/>
    </row>
    <row r="579" spans="3:7" hidden="1">
      <c r="C579" s="1268" t="s">
        <v>2628</v>
      </c>
      <c r="D579" s="1241" t="s">
        <v>3364</v>
      </c>
      <c r="E579" s="1245" t="s">
        <v>36</v>
      </c>
      <c r="F579" s="2273">
        <f>+'VAL. PRINC'!U583</f>
        <v>0</v>
      </c>
      <c r="G579" s="2251"/>
    </row>
    <row r="580" spans="3:7" hidden="1">
      <c r="C580" s="1268" t="s">
        <v>2629</v>
      </c>
      <c r="D580" s="1241" t="s">
        <v>3365</v>
      </c>
      <c r="E580" s="1245" t="s">
        <v>36</v>
      </c>
      <c r="F580" s="2273">
        <f>+'VAL. PRINC'!U584</f>
        <v>0</v>
      </c>
      <c r="G580" s="2251"/>
    </row>
    <row r="581" spans="3:7" hidden="1">
      <c r="C581" s="1268" t="s">
        <v>2630</v>
      </c>
      <c r="D581" s="1241" t="s">
        <v>3366</v>
      </c>
      <c r="E581" s="1245" t="s">
        <v>36</v>
      </c>
      <c r="F581" s="2273">
        <f>+'VAL. PRINC'!U585</f>
        <v>0</v>
      </c>
      <c r="G581" s="2251"/>
    </row>
    <row r="582" spans="3:7" hidden="1">
      <c r="C582" s="1268" t="s">
        <v>2631</v>
      </c>
      <c r="D582" s="1241" t="s">
        <v>3367</v>
      </c>
      <c r="E582" s="1245" t="s">
        <v>36</v>
      </c>
      <c r="F582" s="2273">
        <f>+'VAL. PRINC'!U586</f>
        <v>0</v>
      </c>
      <c r="G582" s="2251"/>
    </row>
    <row r="583" spans="3:7" hidden="1">
      <c r="C583" s="1268" t="s">
        <v>2632</v>
      </c>
      <c r="D583" s="1241" t="s">
        <v>3368</v>
      </c>
      <c r="E583" s="1245" t="s">
        <v>36</v>
      </c>
      <c r="F583" s="2273">
        <f>+'VAL. PRINC'!U587</f>
        <v>0</v>
      </c>
      <c r="G583" s="2251"/>
    </row>
    <row r="584" spans="3:7" hidden="1">
      <c r="C584" s="1268" t="s">
        <v>2633</v>
      </c>
      <c r="D584" s="1241" t="s">
        <v>3369</v>
      </c>
      <c r="E584" s="1245" t="s">
        <v>36</v>
      </c>
      <c r="F584" s="2273">
        <f>+'VAL. PRINC'!U588</f>
        <v>0</v>
      </c>
      <c r="G584" s="2251"/>
    </row>
    <row r="585" spans="3:7">
      <c r="C585" s="1268" t="s">
        <v>2634</v>
      </c>
      <c r="D585" s="1241" t="s">
        <v>3370</v>
      </c>
      <c r="E585" s="1245" t="s">
        <v>36</v>
      </c>
      <c r="F585" s="2273">
        <f>+'VAL. PRINC'!U589</f>
        <v>2</v>
      </c>
      <c r="G585" s="2251"/>
    </row>
    <row r="586" spans="3:7">
      <c r="C586" s="1268" t="s">
        <v>2635</v>
      </c>
      <c r="D586" s="1241" t="s">
        <v>3371</v>
      </c>
      <c r="E586" s="1245" t="s">
        <v>36</v>
      </c>
      <c r="F586" s="2273">
        <f>+'VAL. PRINC'!U590</f>
        <v>21</v>
      </c>
      <c r="G586" s="2251"/>
    </row>
    <row r="587" spans="3:7">
      <c r="C587" s="1268" t="s">
        <v>2636</v>
      </c>
      <c r="D587" s="1241" t="s">
        <v>3372</v>
      </c>
      <c r="E587" s="1245" t="s">
        <v>36</v>
      </c>
      <c r="F587" s="2273">
        <f>+'VAL. PRINC'!U591</f>
        <v>24</v>
      </c>
      <c r="G587" s="2251"/>
    </row>
    <row r="588" spans="3:7" hidden="1">
      <c r="C588" s="1268" t="s">
        <v>2637</v>
      </c>
      <c r="D588" s="1241" t="s">
        <v>3373</v>
      </c>
      <c r="E588" s="1245" t="s">
        <v>36</v>
      </c>
      <c r="F588" s="2273">
        <f>+'VAL. PRINC'!U592</f>
        <v>0</v>
      </c>
      <c r="G588" s="2251"/>
    </row>
    <row r="589" spans="3:7" hidden="1">
      <c r="C589" s="1268" t="s">
        <v>2638</v>
      </c>
      <c r="D589" s="1241" t="s">
        <v>3374</v>
      </c>
      <c r="E589" s="1245" t="s">
        <v>36</v>
      </c>
      <c r="F589" s="2273">
        <f>+'VAL. PRINC'!U593</f>
        <v>0</v>
      </c>
      <c r="G589" s="2251"/>
    </row>
    <row r="590" spans="3:7" hidden="1">
      <c r="C590" s="1272" t="s">
        <v>1033</v>
      </c>
      <c r="D590" s="1262" t="s">
        <v>3375</v>
      </c>
      <c r="E590" s="1273"/>
      <c r="F590" s="2273"/>
      <c r="G590" s="2251"/>
    </row>
    <row r="591" spans="3:7" hidden="1">
      <c r="C591" s="1268" t="s">
        <v>2639</v>
      </c>
      <c r="D591" s="1241" t="s">
        <v>3376</v>
      </c>
      <c r="E591" s="1245" t="s">
        <v>36</v>
      </c>
      <c r="F591" s="2273">
        <f>+'VAL. PRINC'!U595</f>
        <v>0</v>
      </c>
      <c r="G591" s="2251"/>
    </row>
    <row r="592" spans="3:7" hidden="1">
      <c r="C592" s="1268" t="s">
        <v>2640</v>
      </c>
      <c r="D592" s="1241" t="s">
        <v>3377</v>
      </c>
      <c r="E592" s="1245" t="s">
        <v>36</v>
      </c>
      <c r="F592" s="2273">
        <f>+'VAL. PRINC'!U596</f>
        <v>0</v>
      </c>
      <c r="G592" s="2251"/>
    </row>
    <row r="593" spans="3:7" hidden="1">
      <c r="C593" s="1268" t="s">
        <v>2641</v>
      </c>
      <c r="D593" s="1241" t="s">
        <v>3378</v>
      </c>
      <c r="E593" s="1245" t="s">
        <v>36</v>
      </c>
      <c r="F593" s="2273">
        <f>+'VAL. PRINC'!U597</f>
        <v>0</v>
      </c>
      <c r="G593" s="2251"/>
    </row>
    <row r="594" spans="3:7" hidden="1">
      <c r="C594" s="1268" t="s">
        <v>2642</v>
      </c>
      <c r="D594" s="1241" t="s">
        <v>3379</v>
      </c>
      <c r="E594" s="1245" t="s">
        <v>36</v>
      </c>
      <c r="F594" s="2273">
        <f>+'VAL. PRINC'!U598</f>
        <v>0</v>
      </c>
      <c r="G594" s="2251"/>
    </row>
    <row r="595" spans="3:7" hidden="1">
      <c r="C595" s="1272" t="s">
        <v>2643</v>
      </c>
      <c r="D595" s="1262" t="s">
        <v>3380</v>
      </c>
      <c r="E595" s="1273"/>
      <c r="F595" s="2273"/>
      <c r="G595" s="2251"/>
    </row>
    <row r="596" spans="3:7" hidden="1">
      <c r="C596" s="1268" t="s">
        <v>2644</v>
      </c>
      <c r="D596" s="1241" t="s">
        <v>3381</v>
      </c>
      <c r="E596" s="1245" t="s">
        <v>36</v>
      </c>
      <c r="F596" s="2273">
        <f>+'VAL. PRINC'!U600</f>
        <v>0</v>
      </c>
      <c r="G596" s="2251"/>
    </row>
    <row r="597" spans="3:7" hidden="1">
      <c r="C597" s="1272" t="s">
        <v>2645</v>
      </c>
      <c r="D597" s="1262" t="s">
        <v>3382</v>
      </c>
      <c r="E597" s="1273"/>
      <c r="F597" s="2273"/>
      <c r="G597" s="2251"/>
    </row>
    <row r="598" spans="3:7" hidden="1">
      <c r="C598" s="1268" t="s">
        <v>2646</v>
      </c>
      <c r="D598" s="1241" t="s">
        <v>3383</v>
      </c>
      <c r="E598" s="1245" t="s">
        <v>41</v>
      </c>
      <c r="F598" s="2273">
        <f>+'VAL. PRINC'!U602</f>
        <v>0</v>
      </c>
      <c r="G598" s="2251"/>
    </row>
    <row r="599" spans="3:7" hidden="1">
      <c r="C599" s="1268" t="s">
        <v>2647</v>
      </c>
      <c r="D599" s="1241" t="s">
        <v>3384</v>
      </c>
      <c r="E599" s="1245" t="s">
        <v>41</v>
      </c>
      <c r="F599" s="2273">
        <f>+'VAL. PRINC'!U603</f>
        <v>0</v>
      </c>
      <c r="G599" s="2251"/>
    </row>
    <row r="600" spans="3:7">
      <c r="C600" s="1549" t="s">
        <v>510</v>
      </c>
      <c r="D600" s="1270" t="s">
        <v>1382</v>
      </c>
      <c r="E600" s="1271"/>
      <c r="F600" s="2273"/>
      <c r="G600" s="2251"/>
    </row>
    <row r="601" spans="3:7">
      <c r="C601" s="1263" t="s">
        <v>511</v>
      </c>
      <c r="D601" s="1264" t="s">
        <v>2892</v>
      </c>
      <c r="E601" s="1265"/>
      <c r="F601" s="2273"/>
      <c r="G601" s="2251"/>
    </row>
    <row r="602" spans="3:7">
      <c r="C602" s="1268" t="s">
        <v>1052</v>
      </c>
      <c r="D602" s="1241" t="s">
        <v>3385</v>
      </c>
      <c r="E602" s="1245" t="s">
        <v>40</v>
      </c>
      <c r="F602" s="2273">
        <f>+'VAL. PRINC'!U606</f>
        <v>10</v>
      </c>
      <c r="G602" s="2251"/>
    </row>
    <row r="603" spans="3:7" hidden="1">
      <c r="C603" s="1268" t="s">
        <v>1057</v>
      </c>
      <c r="D603" s="1241" t="s">
        <v>3386</v>
      </c>
      <c r="E603" s="1245" t="s">
        <v>40</v>
      </c>
      <c r="F603" s="2273">
        <f>+'VAL. PRINC'!U607</f>
        <v>0</v>
      </c>
      <c r="G603" s="2251"/>
    </row>
    <row r="604" spans="3:7">
      <c r="C604" s="1268" t="s">
        <v>1060</v>
      </c>
      <c r="D604" s="1241" t="s">
        <v>3387</v>
      </c>
      <c r="E604" s="1245" t="s">
        <v>40</v>
      </c>
      <c r="F604" s="2273">
        <f>+'VAL. PRINC'!U608</f>
        <v>3.2</v>
      </c>
      <c r="G604" s="2251"/>
    </row>
    <row r="605" spans="3:7">
      <c r="C605" s="1268" t="s">
        <v>1066</v>
      </c>
      <c r="D605" s="1241" t="s">
        <v>3388</v>
      </c>
      <c r="E605" s="1245" t="s">
        <v>40</v>
      </c>
      <c r="F605" s="2273">
        <f>+'VAL. PRINC'!U609</f>
        <v>1.2</v>
      </c>
      <c r="G605" s="2251"/>
    </row>
    <row r="606" spans="3:7">
      <c r="C606" s="1263" t="s">
        <v>2734</v>
      </c>
      <c r="D606" s="1264" t="s">
        <v>3488</v>
      </c>
      <c r="E606" s="1265"/>
      <c r="F606" s="2273"/>
      <c r="G606" s="2251"/>
    </row>
    <row r="607" spans="3:7">
      <c r="C607" s="1272" t="s">
        <v>2743</v>
      </c>
      <c r="D607" s="1262" t="s">
        <v>3460</v>
      </c>
      <c r="E607" s="1273"/>
      <c r="F607" s="2273"/>
      <c r="G607" s="2251"/>
    </row>
    <row r="608" spans="3:7">
      <c r="C608" s="1543" t="s">
        <v>2744</v>
      </c>
      <c r="D608" s="1544" t="s">
        <v>3467</v>
      </c>
      <c r="E608" s="1545"/>
      <c r="F608" s="2273"/>
      <c r="G608" s="2251"/>
    </row>
    <row r="609" spans="3:36">
      <c r="C609" s="1268" t="s">
        <v>2745</v>
      </c>
      <c r="D609" s="1241" t="s">
        <v>3490</v>
      </c>
      <c r="E609" s="1245" t="s">
        <v>36</v>
      </c>
      <c r="F609" s="2273">
        <f>+'VAL. PRINC'!U724</f>
        <v>15</v>
      </c>
      <c r="G609" s="2251"/>
    </row>
    <row r="611" spans="3:36" ht="15" customHeight="1">
      <c r="G611" s="2278"/>
      <c r="H611" s="2278"/>
      <c r="I611" s="2278"/>
      <c r="J611" s="2278"/>
      <c r="K611" s="2278"/>
      <c r="L611" s="2278"/>
      <c r="M611" s="2278"/>
      <c r="N611" s="2278"/>
      <c r="O611" s="2278"/>
      <c r="P611" s="2278"/>
      <c r="Q611" s="2278"/>
      <c r="R611" s="2278"/>
      <c r="S611" s="2278"/>
      <c r="T611" s="2278"/>
      <c r="U611" s="2278"/>
      <c r="V611" s="2278"/>
      <c r="W611" s="2278"/>
      <c r="X611" s="2278"/>
      <c r="Y611" s="2278"/>
      <c r="Z611" s="2278"/>
      <c r="AA611" s="2278"/>
      <c r="AB611" s="2278"/>
      <c r="AC611" s="2278"/>
      <c r="AD611" s="2278"/>
      <c r="AE611" s="2278"/>
      <c r="AF611" s="2278"/>
      <c r="AG611" s="2278"/>
      <c r="AH611" s="2278"/>
      <c r="AI611" s="2278"/>
      <c r="AJ611" s="2279"/>
    </row>
    <row r="614" spans="3:36" ht="19.899999999999999"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1" manualBreakCount="1">
    <brk id="456" min="1" max="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2:F255"/>
  <sheetViews>
    <sheetView view="pageBreakPreview" zoomScale="115" zoomScaleNormal="100" zoomScaleSheetLayoutView="115" workbookViewId="0">
      <selection activeCell="D254" sqref="D254"/>
    </sheetView>
  </sheetViews>
  <sheetFormatPr baseColWidth="10" defaultRowHeight="12.75"/>
  <cols>
    <col min="2" max="2" width="1.28515625" customWidth="1"/>
    <col min="3" max="3" width="12" customWidth="1"/>
    <col min="4" max="4" width="64.42578125" customWidth="1"/>
    <col min="5" max="5" width="10.5703125" customWidth="1"/>
    <col min="6" max="6" width="11.5703125" style="2255"/>
    <col min="7" max="7" width="1" customWidth="1"/>
  </cols>
  <sheetData>
    <row r="2" spans="3:6" ht="15">
      <c r="C2" s="1456" t="s">
        <v>4324</v>
      </c>
      <c r="D2" s="1448"/>
      <c r="E2" s="1448"/>
      <c r="F2" s="1448"/>
    </row>
    <row r="3" spans="3:6" ht="15.75" thickBot="1">
      <c r="C3" s="1456"/>
      <c r="D3" s="1448"/>
      <c r="E3" s="1448"/>
      <c r="F3" s="1448"/>
    </row>
    <row r="4" spans="3:6">
      <c r="C4" s="3038" t="s">
        <v>20</v>
      </c>
      <c r="D4" s="3038" t="s">
        <v>21</v>
      </c>
      <c r="E4" s="3038" t="s">
        <v>4309</v>
      </c>
      <c r="F4" s="3038" t="s">
        <v>4323</v>
      </c>
    </row>
    <row r="5" spans="3:6">
      <c r="C5" s="3039"/>
      <c r="D5" s="3039"/>
      <c r="E5" s="3039"/>
      <c r="F5" s="3039"/>
    </row>
    <row r="6" spans="3:6">
      <c r="C6" s="3039"/>
      <c r="D6" s="3039"/>
      <c r="E6" s="3039"/>
      <c r="F6" s="3039"/>
    </row>
    <row r="7" spans="3:6" ht="13.5" thickBot="1">
      <c r="C7" s="3040"/>
      <c r="D7" s="3040"/>
      <c r="E7" s="3040"/>
      <c r="F7" s="3040"/>
    </row>
    <row r="8" spans="3:6" ht="13.15" customHeight="1">
      <c r="C8" s="1268" t="s">
        <v>33</v>
      </c>
      <c r="D8" s="2089" t="s">
        <v>3615</v>
      </c>
      <c r="E8" s="1633"/>
      <c r="F8" s="1854"/>
    </row>
    <row r="9" spans="3:6" ht="13.15" hidden="1" customHeight="1">
      <c r="C9" s="1725" t="s">
        <v>35</v>
      </c>
      <c r="D9" s="1721" t="s">
        <v>2892</v>
      </c>
      <c r="E9" s="1645"/>
      <c r="F9" s="1867"/>
    </row>
    <row r="10" spans="3:6" ht="13.15" hidden="1" customHeight="1">
      <c r="C10" s="1632" t="s">
        <v>536</v>
      </c>
      <c r="D10" s="1644" t="s">
        <v>2893</v>
      </c>
      <c r="E10" s="1645" t="s">
        <v>40</v>
      </c>
      <c r="F10" s="1867">
        <f>+'VAL AMP4 MM'!L17</f>
        <v>0</v>
      </c>
    </row>
    <row r="11" spans="3:6" ht="13.15" hidden="1" customHeight="1">
      <c r="C11" s="1632" t="s">
        <v>537</v>
      </c>
      <c r="D11" s="1644" t="s">
        <v>2895</v>
      </c>
      <c r="E11" s="1645" t="s">
        <v>40</v>
      </c>
      <c r="F11" s="1867">
        <f>+'VAL AMP4 MM'!L18</f>
        <v>0</v>
      </c>
    </row>
    <row r="12" spans="3:6" ht="13.15" hidden="1" customHeight="1">
      <c r="C12" s="1632" t="s">
        <v>538</v>
      </c>
      <c r="D12" s="1644" t="s">
        <v>2896</v>
      </c>
      <c r="E12" s="1645" t="s">
        <v>40</v>
      </c>
      <c r="F12" s="1867">
        <f>+'VAL AMP4 MM'!L19</f>
        <v>0</v>
      </c>
    </row>
    <row r="13" spans="3:6" ht="13.15" hidden="1" customHeight="1">
      <c r="C13" s="1632" t="s">
        <v>539</v>
      </c>
      <c r="D13" s="1644" t="s">
        <v>2897</v>
      </c>
      <c r="E13" s="1645" t="s">
        <v>40</v>
      </c>
      <c r="F13" s="1867">
        <f>+'VAL AMP4 MM'!L20</f>
        <v>0</v>
      </c>
    </row>
    <row r="14" spans="3:6" ht="13.15" hidden="1" customHeight="1">
      <c r="C14" s="1632" t="s">
        <v>540</v>
      </c>
      <c r="D14" s="1644" t="s">
        <v>3723</v>
      </c>
      <c r="E14" s="1645" t="s">
        <v>40</v>
      </c>
      <c r="F14" s="1867">
        <f>+'VAL AMP4 MM'!L21</f>
        <v>0</v>
      </c>
    </row>
    <row r="15" spans="3:6" ht="13.15" hidden="1" customHeight="1">
      <c r="C15" s="1632" t="s">
        <v>3724</v>
      </c>
      <c r="D15" s="1644" t="s">
        <v>2894</v>
      </c>
      <c r="E15" s="1645" t="s">
        <v>37</v>
      </c>
      <c r="F15" s="1867">
        <f>+'VAL AMP4 MM'!L22</f>
        <v>0</v>
      </c>
    </row>
    <row r="16" spans="3:6" ht="13.15" hidden="1" customHeight="1">
      <c r="C16" s="1725" t="s">
        <v>39</v>
      </c>
      <c r="D16" s="1721" t="s">
        <v>3725</v>
      </c>
      <c r="E16" s="1645"/>
      <c r="F16" s="1867"/>
    </row>
    <row r="17" spans="3:6" ht="13.15" hidden="1" customHeight="1">
      <c r="C17" s="1725" t="s">
        <v>541</v>
      </c>
      <c r="D17" s="1721" t="s">
        <v>2900</v>
      </c>
      <c r="E17" s="1645"/>
      <c r="F17" s="1867"/>
    </row>
    <row r="18" spans="3:6" ht="13.15" hidden="1" customHeight="1">
      <c r="C18" s="1632" t="s">
        <v>3726</v>
      </c>
      <c r="D18" s="1644" t="s">
        <v>3727</v>
      </c>
      <c r="E18" s="1645" t="s">
        <v>37</v>
      </c>
      <c r="F18" s="1867">
        <f>+'VAL AMP4 MM'!L25</f>
        <v>0</v>
      </c>
    </row>
    <row r="19" spans="3:6" ht="13.15" hidden="1" customHeight="1">
      <c r="C19" s="1725" t="s">
        <v>542</v>
      </c>
      <c r="D19" s="1721" t="s">
        <v>2904</v>
      </c>
      <c r="E19" s="1645"/>
      <c r="F19" s="1867"/>
    </row>
    <row r="20" spans="3:6" ht="13.15" hidden="1" customHeight="1">
      <c r="C20" s="1632" t="s">
        <v>3728</v>
      </c>
      <c r="D20" s="1644" t="s">
        <v>3729</v>
      </c>
      <c r="E20" s="1645" t="s">
        <v>40</v>
      </c>
      <c r="F20" s="1867">
        <f>+'VAL AMP4 MM'!L27</f>
        <v>0</v>
      </c>
    </row>
    <row r="21" spans="3:6" ht="13.15" hidden="1" customHeight="1">
      <c r="C21" s="1632" t="s">
        <v>3730</v>
      </c>
      <c r="D21" s="1644" t="s">
        <v>3731</v>
      </c>
      <c r="E21" s="1645" t="s">
        <v>37</v>
      </c>
      <c r="F21" s="1867">
        <f>+'VAL AMP4 MM'!L28</f>
        <v>0</v>
      </c>
    </row>
    <row r="22" spans="3:6" ht="13.15" hidden="1" customHeight="1">
      <c r="C22" s="1725" t="s">
        <v>543</v>
      </c>
      <c r="D22" s="1721" t="s">
        <v>2907</v>
      </c>
      <c r="E22" s="1645"/>
      <c r="F22" s="1867"/>
    </row>
    <row r="23" spans="3:6" ht="13.15" hidden="1" customHeight="1">
      <c r="C23" s="1632" t="s">
        <v>3732</v>
      </c>
      <c r="D23" s="1644" t="s">
        <v>2908</v>
      </c>
      <c r="E23" s="1645" t="s">
        <v>40</v>
      </c>
      <c r="F23" s="1867">
        <f>+'VAL AMP4 MM'!L30</f>
        <v>0</v>
      </c>
    </row>
    <row r="24" spans="3:6" ht="13.15" hidden="1" customHeight="1">
      <c r="C24" s="1632" t="s">
        <v>3733</v>
      </c>
      <c r="D24" s="1644" t="s">
        <v>2909</v>
      </c>
      <c r="E24" s="1645" t="s">
        <v>37</v>
      </c>
      <c r="F24" s="1867">
        <f>+'VAL AMP4 MM'!L31</f>
        <v>0</v>
      </c>
    </row>
    <row r="25" spans="3:6" ht="13.15" customHeight="1">
      <c r="C25" s="1725" t="s">
        <v>544</v>
      </c>
      <c r="D25" s="1721" t="s">
        <v>2928</v>
      </c>
      <c r="E25" s="1645"/>
      <c r="F25" s="1867"/>
    </row>
    <row r="26" spans="3:6" ht="13.15" customHeight="1">
      <c r="C26" s="1725" t="s">
        <v>545</v>
      </c>
      <c r="D26" s="1721" t="s">
        <v>2929</v>
      </c>
      <c r="E26" s="1645"/>
      <c r="F26" s="1867"/>
    </row>
    <row r="27" spans="3:6" ht="13.15" customHeight="1">
      <c r="C27" s="1632" t="s">
        <v>3734</v>
      </c>
      <c r="D27" s="1644" t="s">
        <v>2930</v>
      </c>
      <c r="E27" s="1645" t="s">
        <v>40</v>
      </c>
      <c r="F27" s="1867">
        <f>+'VAL AMP4 MM'!L34</f>
        <v>2.48</v>
      </c>
    </row>
    <row r="28" spans="3:6" ht="13.15" customHeight="1">
      <c r="C28" s="1632" t="s">
        <v>3735</v>
      </c>
      <c r="D28" s="1644" t="s">
        <v>2931</v>
      </c>
      <c r="E28" s="1645" t="s">
        <v>48</v>
      </c>
      <c r="F28" s="1867">
        <f>+'VAL AMP4 MM'!L35</f>
        <v>95.67</v>
      </c>
    </row>
    <row r="29" spans="3:6" ht="13.15" hidden="1" customHeight="1">
      <c r="C29" s="1725" t="s">
        <v>546</v>
      </c>
      <c r="D29" s="1721" t="s">
        <v>2932</v>
      </c>
      <c r="E29" s="1645"/>
      <c r="F29" s="1867"/>
    </row>
    <row r="30" spans="3:6" ht="13.15" hidden="1" customHeight="1">
      <c r="C30" s="1632" t="s">
        <v>3736</v>
      </c>
      <c r="D30" s="1644" t="s">
        <v>3737</v>
      </c>
      <c r="E30" s="1645" t="s">
        <v>40</v>
      </c>
      <c r="F30" s="1867">
        <f>+'VAL AMP4 MM'!L37</f>
        <v>0</v>
      </c>
    </row>
    <row r="31" spans="3:6" ht="13.15" hidden="1" customHeight="1">
      <c r="C31" s="1632" t="s">
        <v>3738</v>
      </c>
      <c r="D31" s="1644" t="s">
        <v>2934</v>
      </c>
      <c r="E31" s="1645" t="s">
        <v>37</v>
      </c>
      <c r="F31" s="1867">
        <f>+'VAL AMP4 MM'!L38</f>
        <v>0</v>
      </c>
    </row>
    <row r="32" spans="3:6" ht="13.15" hidden="1" customHeight="1">
      <c r="C32" s="1632" t="s">
        <v>3739</v>
      </c>
      <c r="D32" s="1644" t="s">
        <v>2935</v>
      </c>
      <c r="E32" s="1645" t="s">
        <v>48</v>
      </c>
      <c r="F32" s="1867">
        <f>+'VAL AMP4 MM'!L39</f>
        <v>0</v>
      </c>
    </row>
    <row r="33" spans="3:6" ht="13.15" hidden="1" customHeight="1">
      <c r="C33" s="1725" t="s">
        <v>2243</v>
      </c>
      <c r="D33" s="1721" t="s">
        <v>2940</v>
      </c>
      <c r="E33" s="1645"/>
      <c r="F33" s="1867"/>
    </row>
    <row r="34" spans="3:6" ht="13.15" hidden="1" customHeight="1">
      <c r="C34" s="1632" t="s">
        <v>3740</v>
      </c>
      <c r="D34" s="1644" t="s">
        <v>3741</v>
      </c>
      <c r="E34" s="1645" t="s">
        <v>40</v>
      </c>
      <c r="F34" s="1867">
        <f>+'VAL AMP4 MM'!L41</f>
        <v>0</v>
      </c>
    </row>
    <row r="35" spans="3:6" ht="13.15" hidden="1" customHeight="1">
      <c r="C35" s="1632" t="s">
        <v>3742</v>
      </c>
      <c r="D35" s="1644" t="s">
        <v>2942</v>
      </c>
      <c r="E35" s="1645" t="s">
        <v>37</v>
      </c>
      <c r="F35" s="1867">
        <f>+'VAL AMP4 MM'!L42</f>
        <v>0</v>
      </c>
    </row>
    <row r="36" spans="3:6" ht="13.15" hidden="1" customHeight="1">
      <c r="C36" s="1632" t="s">
        <v>3743</v>
      </c>
      <c r="D36" s="1644" t="s">
        <v>2943</v>
      </c>
      <c r="E36" s="1645" t="s">
        <v>48</v>
      </c>
      <c r="F36" s="1867">
        <f>+'VAL AMP4 MM'!L43</f>
        <v>0</v>
      </c>
    </row>
    <row r="37" spans="3:6" ht="13.15" hidden="1" customHeight="1">
      <c r="C37" s="1725" t="s">
        <v>2244</v>
      </c>
      <c r="D37" s="1721" t="s">
        <v>2945</v>
      </c>
      <c r="E37" s="1645"/>
      <c r="F37" s="1867"/>
    </row>
    <row r="38" spans="3:6" ht="13.15" hidden="1" customHeight="1">
      <c r="C38" s="1632" t="s">
        <v>3744</v>
      </c>
      <c r="D38" s="1644" t="s">
        <v>2946</v>
      </c>
      <c r="E38" s="1645" t="s">
        <v>40</v>
      </c>
      <c r="F38" s="1867">
        <f>+'VAL AMP4 MM'!L45</f>
        <v>0</v>
      </c>
    </row>
    <row r="39" spans="3:6" ht="13.15" hidden="1" customHeight="1">
      <c r="C39" s="1632" t="s">
        <v>3745</v>
      </c>
      <c r="D39" s="1644" t="s">
        <v>2947</v>
      </c>
      <c r="E39" s="1645" t="s">
        <v>37</v>
      </c>
      <c r="F39" s="1867">
        <f>+'VAL AMP4 MM'!L46</f>
        <v>0</v>
      </c>
    </row>
    <row r="40" spans="3:6" ht="13.15" hidden="1" customHeight="1">
      <c r="C40" s="1632" t="s">
        <v>3746</v>
      </c>
      <c r="D40" s="1644" t="s">
        <v>2948</v>
      </c>
      <c r="E40" s="1645" t="s">
        <v>48</v>
      </c>
      <c r="F40" s="1867">
        <f>+'VAL AMP4 MM'!L47</f>
        <v>0</v>
      </c>
    </row>
    <row r="41" spans="3:6" ht="13.15" hidden="1" customHeight="1">
      <c r="C41" s="1725" t="s">
        <v>3747</v>
      </c>
      <c r="D41" s="1721" t="s">
        <v>2953</v>
      </c>
      <c r="E41" s="1645"/>
      <c r="F41" s="1867"/>
    </row>
    <row r="42" spans="3:6" ht="13.15" hidden="1" customHeight="1">
      <c r="C42" s="1632" t="s">
        <v>3748</v>
      </c>
      <c r="D42" s="1644" t="s">
        <v>3749</v>
      </c>
      <c r="E42" s="1645" t="s">
        <v>40</v>
      </c>
      <c r="F42" s="1867">
        <f>+'VAL AMP4 MM'!L49</f>
        <v>0</v>
      </c>
    </row>
    <row r="43" spans="3:6" ht="13.15" hidden="1" customHeight="1">
      <c r="C43" s="1632" t="s">
        <v>3750</v>
      </c>
      <c r="D43" s="1644" t="s">
        <v>2955</v>
      </c>
      <c r="E43" s="1645" t="s">
        <v>37</v>
      </c>
      <c r="F43" s="1867">
        <f>+'VAL AMP4 MM'!L50</f>
        <v>0</v>
      </c>
    </row>
    <row r="44" spans="3:6" ht="13.15" hidden="1" customHeight="1">
      <c r="C44" s="1632" t="s">
        <v>3751</v>
      </c>
      <c r="D44" s="1644" t="s">
        <v>2956</v>
      </c>
      <c r="E44" s="1645" t="s">
        <v>48</v>
      </c>
      <c r="F44" s="1867">
        <f>+'VAL AMP4 MM'!L51</f>
        <v>0</v>
      </c>
    </row>
    <row r="45" spans="3:6" ht="13.15" hidden="1" customHeight="1">
      <c r="C45" s="1725" t="s">
        <v>3752</v>
      </c>
      <c r="D45" s="1721" t="s">
        <v>2957</v>
      </c>
      <c r="E45" s="1645"/>
      <c r="F45" s="1867">
        <f>+'VAL AMP4 MM'!L52</f>
        <v>0</v>
      </c>
    </row>
    <row r="46" spans="3:6" ht="13.15" hidden="1" customHeight="1">
      <c r="C46" s="1632" t="s">
        <v>3753</v>
      </c>
      <c r="D46" s="1644" t="s">
        <v>3754</v>
      </c>
      <c r="E46" s="1645" t="s">
        <v>40</v>
      </c>
      <c r="F46" s="1867">
        <f>+'VAL AMP4 MM'!L53</f>
        <v>0</v>
      </c>
    </row>
    <row r="47" spans="3:6" ht="13.15" hidden="1" customHeight="1">
      <c r="C47" s="1632" t="s">
        <v>3755</v>
      </c>
      <c r="D47" s="1644" t="s">
        <v>2959</v>
      </c>
      <c r="E47" s="1645" t="s">
        <v>37</v>
      </c>
      <c r="F47" s="1867">
        <f>+'VAL AMP4 MM'!L54</f>
        <v>0</v>
      </c>
    </row>
    <row r="48" spans="3:6" ht="13.15" hidden="1" customHeight="1">
      <c r="C48" s="1632" t="s">
        <v>3756</v>
      </c>
      <c r="D48" s="1644" t="s">
        <v>2960</v>
      </c>
      <c r="E48" s="1645" t="s">
        <v>48</v>
      </c>
      <c r="F48" s="1867">
        <f>+'VAL AMP4 MM'!L55</f>
        <v>0</v>
      </c>
    </row>
    <row r="49" spans="3:6" ht="13.15" hidden="1" customHeight="1">
      <c r="C49" s="1725" t="s">
        <v>3757</v>
      </c>
      <c r="D49" s="1721" t="s">
        <v>3758</v>
      </c>
      <c r="E49" s="1645"/>
      <c r="F49" s="1867"/>
    </row>
    <row r="50" spans="3:6" ht="13.15" hidden="1" customHeight="1">
      <c r="C50" s="1632" t="s">
        <v>3759</v>
      </c>
      <c r="D50" s="1644" t="s">
        <v>2962</v>
      </c>
      <c r="E50" s="1645" t="s">
        <v>40</v>
      </c>
      <c r="F50" s="1867">
        <f>+'VAL AMP4 MM'!L57</f>
        <v>0</v>
      </c>
    </row>
    <row r="51" spans="3:6" ht="13.15" hidden="1" customHeight="1">
      <c r="C51" s="1632" t="s">
        <v>3760</v>
      </c>
      <c r="D51" s="1644" t="s">
        <v>2963</v>
      </c>
      <c r="E51" s="1645" t="s">
        <v>37</v>
      </c>
      <c r="F51" s="1867">
        <f>+'VAL AMP4 MM'!L58</f>
        <v>0</v>
      </c>
    </row>
    <row r="52" spans="3:6" ht="13.15" hidden="1" customHeight="1">
      <c r="C52" s="1632" t="s">
        <v>3761</v>
      </c>
      <c r="D52" s="1644" t="s">
        <v>2964</v>
      </c>
      <c r="E52" s="1645" t="s">
        <v>48</v>
      </c>
      <c r="F52" s="1867">
        <f>+'VAL AMP4 MM'!L59</f>
        <v>0</v>
      </c>
    </row>
    <row r="53" spans="3:6" ht="13.15" hidden="1" customHeight="1">
      <c r="C53" s="1632" t="s">
        <v>3762</v>
      </c>
      <c r="D53" s="1644" t="s">
        <v>2965</v>
      </c>
      <c r="E53" s="1645" t="s">
        <v>36</v>
      </c>
      <c r="F53" s="1867">
        <f>+'VAL AMP4 MM'!L60</f>
        <v>0</v>
      </c>
    </row>
    <row r="54" spans="3:6" ht="13.15" hidden="1" customHeight="1">
      <c r="C54" s="1725" t="s">
        <v>3763</v>
      </c>
      <c r="D54" s="1721" t="s">
        <v>2966</v>
      </c>
      <c r="E54" s="1645"/>
      <c r="F54" s="1867"/>
    </row>
    <row r="55" spans="3:6" ht="13.15" hidden="1" customHeight="1">
      <c r="C55" s="1632" t="s">
        <v>3764</v>
      </c>
      <c r="D55" s="1644" t="s">
        <v>2962</v>
      </c>
      <c r="E55" s="1645" t="s">
        <v>40</v>
      </c>
      <c r="F55" s="1867">
        <f>+'VAL AMP4 MM'!L62</f>
        <v>0</v>
      </c>
    </row>
    <row r="56" spans="3:6" ht="13.15" hidden="1" customHeight="1">
      <c r="C56" s="1632" t="s">
        <v>3765</v>
      </c>
      <c r="D56" s="1644" t="s">
        <v>2963</v>
      </c>
      <c r="E56" s="1645" t="s">
        <v>37</v>
      </c>
      <c r="F56" s="1867">
        <f>+'VAL AMP4 MM'!L63</f>
        <v>0</v>
      </c>
    </row>
    <row r="57" spans="3:6" ht="13.15" hidden="1" customHeight="1">
      <c r="C57" s="1632" t="s">
        <v>3766</v>
      </c>
      <c r="D57" s="1644" t="s">
        <v>2964</v>
      </c>
      <c r="E57" s="1645" t="s">
        <v>48</v>
      </c>
      <c r="F57" s="1867">
        <f>+'VAL AMP4 MM'!L64</f>
        <v>0</v>
      </c>
    </row>
    <row r="58" spans="3:6" ht="13.15" hidden="1" customHeight="1">
      <c r="C58" s="1632" t="s">
        <v>3767</v>
      </c>
      <c r="D58" s="1644" t="s">
        <v>2967</v>
      </c>
      <c r="E58" s="1645" t="s">
        <v>36</v>
      </c>
      <c r="F58" s="1867">
        <f>+'VAL AMP4 MM'!L65</f>
        <v>0</v>
      </c>
    </row>
    <row r="59" spans="3:6" ht="13.15" hidden="1" customHeight="1">
      <c r="C59" s="1725" t="s">
        <v>3768</v>
      </c>
      <c r="D59" s="1721" t="s">
        <v>2970</v>
      </c>
      <c r="E59" s="1645"/>
      <c r="F59" s="1867"/>
    </row>
    <row r="60" spans="3:6" ht="13.15" hidden="1" customHeight="1">
      <c r="C60" s="1632" t="s">
        <v>3769</v>
      </c>
      <c r="D60" s="1644" t="s">
        <v>3770</v>
      </c>
      <c r="E60" s="1645" t="s">
        <v>40</v>
      </c>
      <c r="F60" s="1867">
        <f>+'VAL AMP4 MM'!L67</f>
        <v>0</v>
      </c>
    </row>
    <row r="61" spans="3:6" ht="13.15" hidden="1" customHeight="1">
      <c r="C61" s="1632" t="s">
        <v>3771</v>
      </c>
      <c r="D61" s="1644" t="s">
        <v>2972</v>
      </c>
      <c r="E61" s="1645" t="s">
        <v>37</v>
      </c>
      <c r="F61" s="1867">
        <f>+'VAL AMP4 MM'!L68</f>
        <v>0</v>
      </c>
    </row>
    <row r="62" spans="3:6" ht="13.15" hidden="1" customHeight="1">
      <c r="C62" s="1632" t="s">
        <v>3772</v>
      </c>
      <c r="D62" s="1644" t="s">
        <v>2973</v>
      </c>
      <c r="E62" s="1645" t="s">
        <v>48</v>
      </c>
      <c r="F62" s="1867">
        <f>+'VAL AMP4 MM'!L69</f>
        <v>0</v>
      </c>
    </row>
    <row r="63" spans="3:6" ht="13.15" hidden="1" customHeight="1">
      <c r="C63" s="1632" t="s">
        <v>3773</v>
      </c>
      <c r="D63" s="1644" t="s">
        <v>2974</v>
      </c>
      <c r="E63" s="1645" t="s">
        <v>36</v>
      </c>
      <c r="F63" s="1867">
        <f>+'VAL AMP4 MM'!L70</f>
        <v>0</v>
      </c>
    </row>
    <row r="64" spans="3:6" ht="13.15" hidden="1" customHeight="1">
      <c r="C64" s="1725" t="s">
        <v>3774</v>
      </c>
      <c r="D64" s="1721" t="s">
        <v>2975</v>
      </c>
      <c r="E64" s="1645"/>
      <c r="F64" s="1867"/>
    </row>
    <row r="65" spans="3:6" ht="13.15" hidden="1" customHeight="1">
      <c r="C65" s="1632" t="s">
        <v>3775</v>
      </c>
      <c r="D65" s="1644" t="s">
        <v>3770</v>
      </c>
      <c r="E65" s="1645" t="s">
        <v>40</v>
      </c>
      <c r="F65" s="1867">
        <f>+'VAL AMP4 MM'!L72</f>
        <v>0</v>
      </c>
    </row>
    <row r="66" spans="3:6" ht="13.15" hidden="1" customHeight="1">
      <c r="C66" s="1632" t="s">
        <v>3776</v>
      </c>
      <c r="D66" s="1644" t="s">
        <v>2972</v>
      </c>
      <c r="E66" s="1645" t="s">
        <v>37</v>
      </c>
      <c r="F66" s="1867">
        <f>+'VAL AMP4 MM'!L73</f>
        <v>0</v>
      </c>
    </row>
    <row r="67" spans="3:6" ht="13.15" hidden="1" customHeight="1">
      <c r="C67" s="1632" t="s">
        <v>3777</v>
      </c>
      <c r="D67" s="1644" t="s">
        <v>2973</v>
      </c>
      <c r="E67" s="1645" t="s">
        <v>48</v>
      </c>
      <c r="F67" s="1867">
        <f>+'VAL AMP4 MM'!L74</f>
        <v>0</v>
      </c>
    </row>
    <row r="68" spans="3:6" ht="13.15" hidden="1" customHeight="1">
      <c r="C68" s="1632" t="s">
        <v>3778</v>
      </c>
      <c r="D68" s="1644" t="s">
        <v>3779</v>
      </c>
      <c r="E68" s="1645" t="s">
        <v>36</v>
      </c>
      <c r="F68" s="1867">
        <f>+'VAL AMP4 MM'!L75</f>
        <v>0</v>
      </c>
    </row>
    <row r="69" spans="3:6" ht="13.15" hidden="1" customHeight="1">
      <c r="C69" s="1725" t="s">
        <v>3780</v>
      </c>
      <c r="D69" s="1721" t="s">
        <v>2978</v>
      </c>
      <c r="E69" s="1645"/>
      <c r="F69" s="1867"/>
    </row>
    <row r="70" spans="3:6" ht="13.15" hidden="1" customHeight="1">
      <c r="C70" s="1632" t="s">
        <v>3781</v>
      </c>
      <c r="D70" s="1644" t="s">
        <v>2979</v>
      </c>
      <c r="E70" s="1645" t="s">
        <v>40</v>
      </c>
      <c r="F70" s="1867">
        <f>+'VAL AMP4 MM'!L77</f>
        <v>0</v>
      </c>
    </row>
    <row r="71" spans="3:6" ht="13.15" hidden="1" customHeight="1">
      <c r="C71" s="1632" t="s">
        <v>3782</v>
      </c>
      <c r="D71" s="1644" t="s">
        <v>2980</v>
      </c>
      <c r="E71" s="1645" t="s">
        <v>37</v>
      </c>
      <c r="F71" s="1867">
        <f>+'VAL AMP4 MM'!L78</f>
        <v>0</v>
      </c>
    </row>
    <row r="72" spans="3:6" ht="13.15" hidden="1" customHeight="1">
      <c r="C72" s="1632" t="s">
        <v>3783</v>
      </c>
      <c r="D72" s="1644" t="s">
        <v>2981</v>
      </c>
      <c r="E72" s="1645" t="s">
        <v>48</v>
      </c>
      <c r="F72" s="1867">
        <f>+'VAL AMP4 MM'!L79</f>
        <v>0</v>
      </c>
    </row>
    <row r="73" spans="3:6" ht="13.15" hidden="1" customHeight="1">
      <c r="C73" s="1725" t="s">
        <v>3784</v>
      </c>
      <c r="D73" s="1721" t="s">
        <v>2986</v>
      </c>
      <c r="E73" s="1645"/>
      <c r="F73" s="1867"/>
    </row>
    <row r="74" spans="3:6" ht="13.15" hidden="1" customHeight="1">
      <c r="C74" s="1632" t="s">
        <v>3785</v>
      </c>
      <c r="D74" s="1644" t="s">
        <v>2987</v>
      </c>
      <c r="E74" s="1645" t="s">
        <v>40</v>
      </c>
      <c r="F74" s="1867">
        <f>+'VAL AMP4 MM'!L81</f>
        <v>0</v>
      </c>
    </row>
    <row r="75" spans="3:6" ht="13.15" hidden="1" customHeight="1">
      <c r="C75" s="1632" t="s">
        <v>3786</v>
      </c>
      <c r="D75" s="1644" t="s">
        <v>2988</v>
      </c>
      <c r="E75" s="1645" t="s">
        <v>37</v>
      </c>
      <c r="F75" s="1867">
        <f>+'VAL AMP4 MM'!L82</f>
        <v>0</v>
      </c>
    </row>
    <row r="76" spans="3:6" ht="13.15" hidden="1" customHeight="1">
      <c r="C76" s="1632" t="s">
        <v>3787</v>
      </c>
      <c r="D76" s="1644" t="s">
        <v>2989</v>
      </c>
      <c r="E76" s="1645" t="s">
        <v>48</v>
      </c>
      <c r="F76" s="1867">
        <f>+'VAL AMP4 MM'!L83</f>
        <v>0</v>
      </c>
    </row>
    <row r="77" spans="3:6" ht="13.15" hidden="1" customHeight="1">
      <c r="C77" s="1725" t="s">
        <v>3788</v>
      </c>
      <c r="D77" s="1721" t="s">
        <v>2990</v>
      </c>
      <c r="E77" s="1645"/>
      <c r="F77" s="1867"/>
    </row>
    <row r="78" spans="3:6" ht="13.15" hidden="1" customHeight="1">
      <c r="C78" s="1632" t="s">
        <v>3789</v>
      </c>
      <c r="D78" s="1644" t="s">
        <v>3790</v>
      </c>
      <c r="E78" s="1645" t="s">
        <v>40</v>
      </c>
      <c r="F78" s="1867">
        <f>+'VAL AMP4 MM'!L85</f>
        <v>0</v>
      </c>
    </row>
    <row r="79" spans="3:6" ht="13.15" hidden="1" customHeight="1">
      <c r="C79" s="1632" t="s">
        <v>3791</v>
      </c>
      <c r="D79" s="1644" t="s">
        <v>2991</v>
      </c>
      <c r="E79" s="1645" t="s">
        <v>37</v>
      </c>
      <c r="F79" s="1867">
        <f>+'VAL AMP4 MM'!L86</f>
        <v>0</v>
      </c>
    </row>
    <row r="80" spans="3:6" ht="13.15" hidden="1" customHeight="1">
      <c r="C80" s="1632" t="s">
        <v>3792</v>
      </c>
      <c r="D80" s="1644" t="s">
        <v>2992</v>
      </c>
      <c r="E80" s="1645" t="s">
        <v>48</v>
      </c>
      <c r="F80" s="1867">
        <f>+'VAL AMP4 MM'!L87</f>
        <v>0</v>
      </c>
    </row>
    <row r="81" spans="3:6" ht="13.15" hidden="1" customHeight="1">
      <c r="C81" s="1725" t="s">
        <v>3793</v>
      </c>
      <c r="D81" s="1721" t="s">
        <v>3016</v>
      </c>
      <c r="E81" s="1645"/>
      <c r="F81" s="1867">
        <f>+'VAL AMP4 MM'!L88</f>
        <v>0</v>
      </c>
    </row>
    <row r="82" spans="3:6" ht="13.15" hidden="1" customHeight="1">
      <c r="C82" s="1632" t="s">
        <v>3794</v>
      </c>
      <c r="D82" s="1644" t="s">
        <v>3017</v>
      </c>
      <c r="E82" s="1645" t="s">
        <v>2821</v>
      </c>
      <c r="F82" s="1867">
        <f>+'VAL AMP4 MM'!L89</f>
        <v>0</v>
      </c>
    </row>
    <row r="83" spans="3:6" ht="13.15" customHeight="1">
      <c r="C83" s="2088" t="s">
        <v>42</v>
      </c>
      <c r="D83" s="2090" t="s">
        <v>1233</v>
      </c>
      <c r="E83" s="1645"/>
      <c r="F83" s="1867"/>
    </row>
    <row r="84" spans="3:6" ht="13.15" hidden="1" customHeight="1">
      <c r="C84" s="1725" t="s">
        <v>43</v>
      </c>
      <c r="D84" s="1721" t="s">
        <v>3066</v>
      </c>
      <c r="E84" s="1645"/>
      <c r="F84" s="1867"/>
    </row>
    <row r="85" spans="3:6" ht="13.15" hidden="1" customHeight="1">
      <c r="C85" s="1632" t="s">
        <v>53</v>
      </c>
      <c r="D85" s="1644" t="s">
        <v>3795</v>
      </c>
      <c r="E85" s="1645" t="s">
        <v>37</v>
      </c>
      <c r="F85" s="1867">
        <f>+'VAL AMP4 MM'!L92</f>
        <v>0</v>
      </c>
    </row>
    <row r="86" spans="3:6" ht="13.15" hidden="1" customHeight="1">
      <c r="C86" s="1632" t="s">
        <v>563</v>
      </c>
      <c r="D86" s="1644" t="s">
        <v>3796</v>
      </c>
      <c r="E86" s="1645" t="s">
        <v>37</v>
      </c>
      <c r="F86" s="1867">
        <f>+'VAL AMP4 MM'!L93</f>
        <v>0</v>
      </c>
    </row>
    <row r="87" spans="3:6" ht="13.15" hidden="1" customHeight="1">
      <c r="C87" s="1632" t="s">
        <v>570</v>
      </c>
      <c r="D87" s="1644" t="s">
        <v>3797</v>
      </c>
      <c r="E87" s="1645" t="s">
        <v>37</v>
      </c>
      <c r="F87" s="1867">
        <f>+'VAL AMP4 MM'!L94</f>
        <v>0</v>
      </c>
    </row>
    <row r="88" spans="3:6" ht="13.15" hidden="1" customHeight="1">
      <c r="C88" s="1725" t="s">
        <v>44</v>
      </c>
      <c r="D88" s="1721" t="s">
        <v>3074</v>
      </c>
      <c r="E88" s="1645"/>
      <c r="F88" s="1867"/>
    </row>
    <row r="89" spans="3:6" ht="13.15" hidden="1" customHeight="1">
      <c r="C89" s="1632" t="s">
        <v>54</v>
      </c>
      <c r="D89" s="1644" t="s">
        <v>3075</v>
      </c>
      <c r="E89" s="1645" t="s">
        <v>37</v>
      </c>
      <c r="F89" s="1867">
        <f>+'VAL AMP4 MM'!L96</f>
        <v>0</v>
      </c>
    </row>
    <row r="90" spans="3:6" ht="13.15" hidden="1" customHeight="1">
      <c r="C90" s="1632" t="s">
        <v>55</v>
      </c>
      <c r="D90" s="1644" t="s">
        <v>3798</v>
      </c>
      <c r="E90" s="1645" t="s">
        <v>37</v>
      </c>
      <c r="F90" s="1867">
        <f>+'VAL AMP4 MM'!L97</f>
        <v>0</v>
      </c>
    </row>
    <row r="91" spans="3:6" ht="13.15" hidden="1" customHeight="1">
      <c r="C91" s="1632" t="s">
        <v>615</v>
      </c>
      <c r="D91" s="1644" t="s">
        <v>3799</v>
      </c>
      <c r="E91" s="1645" t="s">
        <v>37</v>
      </c>
      <c r="F91" s="1867">
        <f>+'VAL AMP4 MM'!L98</f>
        <v>0</v>
      </c>
    </row>
    <row r="92" spans="3:6" ht="13.15" hidden="1" customHeight="1">
      <c r="C92" s="1632" t="s">
        <v>644</v>
      </c>
      <c r="D92" s="1644" t="s">
        <v>3800</v>
      </c>
      <c r="E92" s="1645" t="s">
        <v>37</v>
      </c>
      <c r="F92" s="1867">
        <f>+'VAL AMP4 MM'!L99</f>
        <v>0</v>
      </c>
    </row>
    <row r="93" spans="3:6" ht="13.15" hidden="1" customHeight="1">
      <c r="C93" s="1632" t="s">
        <v>646</v>
      </c>
      <c r="D93" s="1644" t="s">
        <v>3801</v>
      </c>
      <c r="E93" s="1645" t="s">
        <v>37</v>
      </c>
      <c r="F93" s="1867">
        <f>+'VAL AMP4 MM'!L100</f>
        <v>0</v>
      </c>
    </row>
    <row r="94" spans="3:6" ht="13.15" hidden="1" customHeight="1">
      <c r="C94" s="1632" t="s">
        <v>275</v>
      </c>
      <c r="D94" s="1644" t="s">
        <v>3802</v>
      </c>
      <c r="E94" s="1645" t="s">
        <v>37</v>
      </c>
      <c r="F94" s="1867">
        <f>+'VAL AMP4 MM'!L101</f>
        <v>0</v>
      </c>
    </row>
    <row r="95" spans="3:6" ht="13.15" hidden="1" customHeight="1">
      <c r="C95" s="1632" t="s">
        <v>321</v>
      </c>
      <c r="D95" s="1644" t="s">
        <v>3803</v>
      </c>
      <c r="E95" s="1645" t="s">
        <v>37</v>
      </c>
      <c r="F95" s="1867">
        <f>+'VAL AMP4 MM'!L102</f>
        <v>0</v>
      </c>
    </row>
    <row r="96" spans="3:6" ht="13.15" hidden="1" customHeight="1">
      <c r="C96" s="1632" t="s">
        <v>3804</v>
      </c>
      <c r="D96" s="1644" t="s">
        <v>3805</v>
      </c>
      <c r="E96" s="1645" t="s">
        <v>37</v>
      </c>
      <c r="F96" s="1867">
        <f>+'VAL AMP4 MM'!L103</f>
        <v>0</v>
      </c>
    </row>
    <row r="97" spans="3:6" ht="13.15" hidden="1" customHeight="1">
      <c r="C97" s="1632" t="s">
        <v>2296</v>
      </c>
      <c r="D97" s="1644" t="s">
        <v>3084</v>
      </c>
      <c r="E97" s="1645" t="s">
        <v>37</v>
      </c>
      <c r="F97" s="1867">
        <f>+'VAL AMP4 MM'!L104</f>
        <v>0</v>
      </c>
    </row>
    <row r="98" spans="3:6" ht="13.15" hidden="1" customHeight="1">
      <c r="C98" s="1632" t="s">
        <v>2299</v>
      </c>
      <c r="D98" s="1644" t="s">
        <v>3806</v>
      </c>
      <c r="E98" s="1645" t="s">
        <v>37</v>
      </c>
      <c r="F98" s="1867">
        <f>+'VAL AMP4 MM'!L105</f>
        <v>0</v>
      </c>
    </row>
    <row r="99" spans="3:6" ht="13.15" hidden="1" customHeight="1">
      <c r="C99" s="1632" t="s">
        <v>3807</v>
      </c>
      <c r="D99" s="1644" t="s">
        <v>3092</v>
      </c>
      <c r="E99" s="1645" t="s">
        <v>37</v>
      </c>
      <c r="F99" s="1867">
        <f>+'VAL AMP4 MM'!L106</f>
        <v>0</v>
      </c>
    </row>
    <row r="100" spans="3:6" ht="13.15" hidden="1" customHeight="1">
      <c r="C100" s="1632" t="s">
        <v>3808</v>
      </c>
      <c r="D100" s="1644" t="s">
        <v>3809</v>
      </c>
      <c r="E100" s="1645" t="s">
        <v>38</v>
      </c>
      <c r="F100" s="1867">
        <f>+'VAL AMP4 MM'!L107</f>
        <v>0</v>
      </c>
    </row>
    <row r="101" spans="3:6" ht="13.15" hidden="1" customHeight="1">
      <c r="C101" s="1632" t="s">
        <v>3810</v>
      </c>
      <c r="D101" s="1644" t="s">
        <v>3811</v>
      </c>
      <c r="E101" s="1645" t="s">
        <v>38</v>
      </c>
      <c r="F101" s="1867">
        <f>+'VAL AMP4 MM'!L108</f>
        <v>0</v>
      </c>
    </row>
    <row r="102" spans="3:6" ht="13.15" hidden="1" customHeight="1">
      <c r="C102" s="1725" t="s">
        <v>52</v>
      </c>
      <c r="D102" s="1721" t="s">
        <v>3097</v>
      </c>
      <c r="E102" s="1645"/>
      <c r="F102" s="1867"/>
    </row>
    <row r="103" spans="3:6" ht="13.15" hidden="1" customHeight="1">
      <c r="C103" s="1632" t="s">
        <v>56</v>
      </c>
      <c r="D103" s="1644" t="s">
        <v>3812</v>
      </c>
      <c r="E103" s="1645" t="s">
        <v>37</v>
      </c>
      <c r="F103" s="1867">
        <f>+'VAL AMP4 MM'!L110</f>
        <v>0</v>
      </c>
    </row>
    <row r="104" spans="3:6" ht="13.15" customHeight="1">
      <c r="C104" s="1725" t="s">
        <v>515</v>
      </c>
      <c r="D104" s="1721" t="s">
        <v>3100</v>
      </c>
      <c r="E104" s="1645"/>
      <c r="F104" s="1867"/>
    </row>
    <row r="105" spans="3:6" ht="13.15" customHeight="1">
      <c r="C105" s="1725" t="s">
        <v>516</v>
      </c>
      <c r="D105" s="1721" t="s">
        <v>3101</v>
      </c>
      <c r="E105" s="1645"/>
      <c r="F105" s="1867"/>
    </row>
    <row r="106" spans="3:6" ht="13.15" customHeight="1">
      <c r="C106" s="1632" t="s">
        <v>694</v>
      </c>
      <c r="D106" s="1644" t="s">
        <v>3813</v>
      </c>
      <c r="E106" s="1645" t="s">
        <v>37</v>
      </c>
      <c r="F106" s="1867">
        <f>+'VAL AMP4 MM'!L113</f>
        <v>88.01</v>
      </c>
    </row>
    <row r="107" spans="3:6" ht="13.15" customHeight="1">
      <c r="C107" s="1725" t="s">
        <v>700</v>
      </c>
      <c r="D107" s="1721" t="s">
        <v>3103</v>
      </c>
      <c r="E107" s="1645"/>
      <c r="F107" s="1867"/>
    </row>
    <row r="108" spans="3:6" ht="13.15" hidden="1" customHeight="1">
      <c r="C108" s="1632" t="s">
        <v>701</v>
      </c>
      <c r="D108" s="1644" t="s">
        <v>3112</v>
      </c>
      <c r="E108" s="1645" t="s">
        <v>37</v>
      </c>
      <c r="F108" s="1867">
        <f>+'VAL AMP4 MM'!L115</f>
        <v>0</v>
      </c>
    </row>
    <row r="109" spans="3:6" ht="13.15" hidden="1" customHeight="1">
      <c r="C109" s="1632" t="s">
        <v>702</v>
      </c>
      <c r="D109" s="1644" t="s">
        <v>3113</v>
      </c>
      <c r="E109" s="1645" t="s">
        <v>37</v>
      </c>
      <c r="F109" s="1867">
        <f>+'VAL AMP4 MM'!L116</f>
        <v>0</v>
      </c>
    </row>
    <row r="110" spans="3:6" ht="13.15" customHeight="1">
      <c r="C110" s="1632" t="s">
        <v>703</v>
      </c>
      <c r="D110" s="1644" t="s">
        <v>3116</v>
      </c>
      <c r="E110" s="1645" t="s">
        <v>37</v>
      </c>
      <c r="F110" s="1867">
        <f>+'VAL AMP4 MM'!L117</f>
        <v>171.08</v>
      </c>
    </row>
    <row r="111" spans="3:6" ht="13.15" hidden="1" customHeight="1">
      <c r="C111" s="1725" t="s">
        <v>741</v>
      </c>
      <c r="D111" s="1721" t="s">
        <v>3122</v>
      </c>
      <c r="E111" s="1645"/>
      <c r="F111" s="1867"/>
    </row>
    <row r="112" spans="3:6" ht="13.15" hidden="1" customHeight="1">
      <c r="C112" s="1725" t="s">
        <v>742</v>
      </c>
      <c r="D112" s="1721" t="s">
        <v>3123</v>
      </c>
      <c r="E112" s="1645"/>
      <c r="F112" s="1867"/>
    </row>
    <row r="113" spans="3:6" ht="13.15" hidden="1" customHeight="1">
      <c r="C113" s="1632" t="s">
        <v>743</v>
      </c>
      <c r="D113" s="1644" t="s">
        <v>3814</v>
      </c>
      <c r="E113" s="1645" t="s">
        <v>37</v>
      </c>
      <c r="F113" s="1867">
        <f>+'VAL AMP4 MM'!L120</f>
        <v>0</v>
      </c>
    </row>
    <row r="114" spans="3:6" ht="13.15" hidden="1" customHeight="1">
      <c r="C114" s="1725" t="s">
        <v>762</v>
      </c>
      <c r="D114" s="1721" t="s">
        <v>3132</v>
      </c>
      <c r="E114" s="1645"/>
      <c r="F114" s="1867"/>
    </row>
    <row r="115" spans="3:6" ht="13.15" hidden="1" customHeight="1">
      <c r="C115" s="1632" t="s">
        <v>763</v>
      </c>
      <c r="D115" s="1644" t="s">
        <v>3133</v>
      </c>
      <c r="E115" s="1645" t="s">
        <v>37</v>
      </c>
      <c r="F115" s="1867">
        <f>+'VAL AMP4 MM'!L122</f>
        <v>0</v>
      </c>
    </row>
    <row r="116" spans="3:6" ht="13.15" hidden="1" customHeight="1">
      <c r="C116" s="1632" t="s">
        <v>766</v>
      </c>
      <c r="D116" s="1644" t="s">
        <v>3134</v>
      </c>
      <c r="E116" s="1645" t="s">
        <v>37</v>
      </c>
      <c r="F116" s="1867">
        <f>+'VAL AMP4 MM'!L123</f>
        <v>0</v>
      </c>
    </row>
    <row r="117" spans="3:6" ht="13.15" hidden="1" customHeight="1">
      <c r="C117" s="1632" t="s">
        <v>770</v>
      </c>
      <c r="D117" s="1644" t="s">
        <v>3136</v>
      </c>
      <c r="E117" s="1645" t="s">
        <v>37</v>
      </c>
      <c r="F117" s="1867">
        <f>+'VAL AMP4 MM'!L124</f>
        <v>0</v>
      </c>
    </row>
    <row r="118" spans="3:6" ht="13.15" hidden="1" customHeight="1">
      <c r="C118" s="1632" t="s">
        <v>3815</v>
      </c>
      <c r="D118" s="1644" t="s">
        <v>3816</v>
      </c>
      <c r="E118" s="1645" t="s">
        <v>37</v>
      </c>
      <c r="F118" s="1867">
        <f>+'VAL AMP4 MM'!L125</f>
        <v>0</v>
      </c>
    </row>
    <row r="119" spans="3:6" ht="13.15" customHeight="1">
      <c r="C119" s="1725" t="s">
        <v>773</v>
      </c>
      <c r="D119" s="1721" t="s">
        <v>3817</v>
      </c>
      <c r="E119" s="1645"/>
      <c r="F119" s="1867"/>
    </row>
    <row r="120" spans="3:6" ht="13.15" hidden="1" customHeight="1">
      <c r="C120" s="1725" t="s">
        <v>774</v>
      </c>
      <c r="D120" s="1721" t="s">
        <v>3818</v>
      </c>
      <c r="E120" s="1645"/>
      <c r="F120" s="1867"/>
    </row>
    <row r="121" spans="3:6" ht="13.15" hidden="1" customHeight="1">
      <c r="C121" s="1632" t="s">
        <v>775</v>
      </c>
      <c r="D121" s="1644" t="s">
        <v>3143</v>
      </c>
      <c r="E121" s="1645" t="s">
        <v>36</v>
      </c>
      <c r="F121" s="1867">
        <f>+'VAL AMP4 MM'!L128</f>
        <v>0</v>
      </c>
    </row>
    <row r="122" spans="3:6" ht="13.15" hidden="1" customHeight="1">
      <c r="C122" s="1725" t="s">
        <v>777</v>
      </c>
      <c r="D122" s="1721" t="s">
        <v>3145</v>
      </c>
      <c r="E122" s="1645"/>
      <c r="F122" s="1867">
        <f>+'VAL AMP4 MM'!L129</f>
        <v>0</v>
      </c>
    </row>
    <row r="123" spans="3:6" ht="13.15" hidden="1" customHeight="1">
      <c r="C123" s="1632" t="s">
        <v>778</v>
      </c>
      <c r="D123" s="1644" t="s">
        <v>3146</v>
      </c>
      <c r="E123" s="1645" t="s">
        <v>37</v>
      </c>
      <c r="F123" s="1867">
        <f>+'VAL AMP4 MM'!L130</f>
        <v>0</v>
      </c>
    </row>
    <row r="124" spans="3:6" ht="13.15" customHeight="1">
      <c r="C124" s="1725" t="s">
        <v>3819</v>
      </c>
      <c r="D124" s="1721" t="s">
        <v>3150</v>
      </c>
      <c r="E124" s="1645"/>
      <c r="F124" s="1867"/>
    </row>
    <row r="125" spans="3:6" ht="13.15" hidden="1" customHeight="1">
      <c r="C125" s="1632" t="s">
        <v>3820</v>
      </c>
      <c r="D125" s="1644" t="s">
        <v>3152</v>
      </c>
      <c r="E125" s="1645" t="s">
        <v>38</v>
      </c>
      <c r="F125" s="1867">
        <f>+'VAL AMP4 MM'!L132</f>
        <v>0</v>
      </c>
    </row>
    <row r="126" spans="3:6" ht="13.15" customHeight="1">
      <c r="C126" s="1632" t="s">
        <v>3821</v>
      </c>
      <c r="D126" s="1644" t="s">
        <v>3822</v>
      </c>
      <c r="E126" s="1645" t="s">
        <v>38</v>
      </c>
      <c r="F126" s="1867">
        <f>+'VAL AMP4 MM'!L133</f>
        <v>67.05</v>
      </c>
    </row>
    <row r="127" spans="3:6" ht="13.15" hidden="1" customHeight="1">
      <c r="C127" s="1725" t="s">
        <v>780</v>
      </c>
      <c r="D127" s="1721" t="s">
        <v>3169</v>
      </c>
      <c r="E127" s="1645"/>
      <c r="F127" s="1867"/>
    </row>
    <row r="128" spans="3:6" ht="13.15" hidden="1" customHeight="1">
      <c r="C128" s="1632" t="s">
        <v>781</v>
      </c>
      <c r="D128" s="1644" t="s">
        <v>3170</v>
      </c>
      <c r="E128" s="1645" t="s">
        <v>36</v>
      </c>
      <c r="F128" s="1867">
        <f>+'VAL AMP4 MM'!L135</f>
        <v>0</v>
      </c>
    </row>
    <row r="129" spans="3:6" ht="13.15" hidden="1" customHeight="1">
      <c r="C129" s="1632" t="s">
        <v>785</v>
      </c>
      <c r="D129" s="1644" t="s">
        <v>3823</v>
      </c>
      <c r="E129" s="1645" t="s">
        <v>36</v>
      </c>
      <c r="F129" s="1867">
        <f>+'VAL AMP4 MM'!L136</f>
        <v>0</v>
      </c>
    </row>
    <row r="130" spans="3:6" ht="13.15" hidden="1" customHeight="1">
      <c r="C130" s="1632" t="s">
        <v>788</v>
      </c>
      <c r="D130" s="1644" t="s">
        <v>3173</v>
      </c>
      <c r="E130" s="1645" t="s">
        <v>36</v>
      </c>
      <c r="F130" s="1867">
        <f>+'VAL AMP4 MM'!L137</f>
        <v>0</v>
      </c>
    </row>
    <row r="131" spans="3:6" ht="13.15" hidden="1" customHeight="1">
      <c r="C131" s="1632" t="s">
        <v>792</v>
      </c>
      <c r="D131" s="1644" t="s">
        <v>3174</v>
      </c>
      <c r="E131" s="1645" t="s">
        <v>36</v>
      </c>
      <c r="F131" s="1867">
        <f>+'VAL AMP4 MM'!L138</f>
        <v>0</v>
      </c>
    </row>
    <row r="132" spans="3:6" ht="13.15" hidden="1" customHeight="1">
      <c r="C132" s="1632" t="s">
        <v>798</v>
      </c>
      <c r="D132" s="1644" t="s">
        <v>3175</v>
      </c>
      <c r="E132" s="1645" t="s">
        <v>36</v>
      </c>
      <c r="F132" s="1867">
        <f>+'VAL AMP4 MM'!L139</f>
        <v>0</v>
      </c>
    </row>
    <row r="133" spans="3:6" ht="13.15" hidden="1" customHeight="1">
      <c r="C133" s="1632" t="s">
        <v>3824</v>
      </c>
      <c r="D133" s="1644" t="s">
        <v>3178</v>
      </c>
      <c r="E133" s="1645" t="s">
        <v>36</v>
      </c>
      <c r="F133" s="1867">
        <f>+'VAL AMP4 MM'!L140</f>
        <v>0</v>
      </c>
    </row>
    <row r="134" spans="3:6" ht="13.15" hidden="1" customHeight="1">
      <c r="C134" s="1725" t="s">
        <v>3825</v>
      </c>
      <c r="D134" s="1721" t="s">
        <v>3180</v>
      </c>
      <c r="E134" s="1645"/>
      <c r="F134" s="1867"/>
    </row>
    <row r="135" spans="3:6" ht="13.15" hidden="1" customHeight="1">
      <c r="C135" s="1632" t="s">
        <v>3826</v>
      </c>
      <c r="D135" s="1644" t="s">
        <v>3183</v>
      </c>
      <c r="E135" s="1645" t="s">
        <v>36</v>
      </c>
      <c r="F135" s="1867">
        <f>+'VAL AMP4 MM'!L142</f>
        <v>0</v>
      </c>
    </row>
    <row r="136" spans="3:6" ht="13.15" hidden="1" customHeight="1">
      <c r="C136" s="1632" t="s">
        <v>3827</v>
      </c>
      <c r="D136" s="1644" t="s">
        <v>3181</v>
      </c>
      <c r="E136" s="1645" t="s">
        <v>37</v>
      </c>
      <c r="F136" s="1867">
        <f>+'VAL AMP4 MM'!L143</f>
        <v>0</v>
      </c>
    </row>
    <row r="137" spans="3:6" ht="13.15" hidden="1" customHeight="1">
      <c r="C137" s="1725" t="s">
        <v>3828</v>
      </c>
      <c r="D137" s="1721" t="s">
        <v>3199</v>
      </c>
      <c r="E137" s="1645"/>
      <c r="F137" s="1867"/>
    </row>
    <row r="138" spans="3:6" ht="13.15" hidden="1" customHeight="1">
      <c r="C138" s="1632" t="s">
        <v>3829</v>
      </c>
      <c r="D138" s="1644" t="s">
        <v>3200</v>
      </c>
      <c r="E138" s="1645" t="s">
        <v>40</v>
      </c>
      <c r="F138" s="1867">
        <f>+'VAL AMP4 MM'!L145</f>
        <v>0</v>
      </c>
    </row>
    <row r="139" spans="3:6" ht="13.15" hidden="1" customHeight="1">
      <c r="C139" s="1632" t="s">
        <v>3830</v>
      </c>
      <c r="D139" s="1644" t="s">
        <v>3201</v>
      </c>
      <c r="E139" s="1645" t="s">
        <v>37</v>
      </c>
      <c r="F139" s="1867">
        <f>+'VAL AMP4 MM'!L146</f>
        <v>0</v>
      </c>
    </row>
    <row r="140" spans="3:6" ht="13.15" hidden="1" customHeight="1">
      <c r="C140" s="1725" t="s">
        <v>3831</v>
      </c>
      <c r="D140" s="1721" t="s">
        <v>3210</v>
      </c>
      <c r="E140" s="1645"/>
      <c r="F140" s="1867"/>
    </row>
    <row r="141" spans="3:6" ht="13.15" hidden="1" customHeight="1">
      <c r="C141" s="1632" t="s">
        <v>3832</v>
      </c>
      <c r="D141" s="1644" t="s">
        <v>3212</v>
      </c>
      <c r="E141" s="1645" t="s">
        <v>38</v>
      </c>
      <c r="F141" s="1867">
        <f>+'VAL AMP4 MM'!L148</f>
        <v>0</v>
      </c>
    </row>
    <row r="142" spans="3:6" ht="13.15" hidden="1" customHeight="1">
      <c r="C142" s="1725" t="s">
        <v>3833</v>
      </c>
      <c r="D142" s="1721" t="s">
        <v>3063</v>
      </c>
      <c r="E142" s="1645"/>
      <c r="F142" s="1867"/>
    </row>
    <row r="143" spans="3:6" ht="13.15" hidden="1" customHeight="1">
      <c r="C143" s="1632" t="s">
        <v>3834</v>
      </c>
      <c r="D143" s="1644" t="s">
        <v>3835</v>
      </c>
      <c r="E143" s="1645" t="s">
        <v>36</v>
      </c>
      <c r="F143" s="1867">
        <f>+'VAL AMP4 MM'!L150</f>
        <v>0</v>
      </c>
    </row>
    <row r="144" spans="3:6" ht="13.15" customHeight="1">
      <c r="C144" s="2088" t="s">
        <v>45</v>
      </c>
      <c r="D144" s="2090" t="s">
        <v>1326</v>
      </c>
      <c r="E144" s="1645"/>
      <c r="F144" s="1867"/>
    </row>
    <row r="145" spans="3:6" ht="13.15" customHeight="1">
      <c r="C145" s="1725" t="s">
        <v>47</v>
      </c>
      <c r="D145" s="1721" t="s">
        <v>3226</v>
      </c>
      <c r="E145" s="1645"/>
      <c r="F145" s="1867"/>
    </row>
    <row r="146" spans="3:6" ht="13.15" customHeight="1">
      <c r="C146" s="1725" t="s">
        <v>49</v>
      </c>
      <c r="D146" s="1721" t="s">
        <v>3227</v>
      </c>
      <c r="E146" s="1645"/>
      <c r="F146" s="1867"/>
    </row>
    <row r="147" spans="3:6" ht="13.15" hidden="1" customHeight="1">
      <c r="C147" s="1632" t="s">
        <v>800</v>
      </c>
      <c r="D147" s="1644" t="s">
        <v>3836</v>
      </c>
      <c r="E147" s="1645" t="s">
        <v>36</v>
      </c>
      <c r="F147" s="1867">
        <f>+'VAL AMP4 MM'!L154</f>
        <v>0</v>
      </c>
    </row>
    <row r="148" spans="3:6" ht="13.15" customHeight="1">
      <c r="C148" s="1632" t="s">
        <v>801</v>
      </c>
      <c r="D148" s="1644" t="s">
        <v>3229</v>
      </c>
      <c r="E148" s="1645" t="s">
        <v>36</v>
      </c>
      <c r="F148" s="1867">
        <f>+'VAL AMP4 MM'!L155</f>
        <v>3</v>
      </c>
    </row>
    <row r="149" spans="3:6" ht="13.15" hidden="1" customHeight="1">
      <c r="C149" s="1632" t="s">
        <v>3837</v>
      </c>
      <c r="D149" s="1644" t="s">
        <v>3838</v>
      </c>
      <c r="E149" s="1645" t="s">
        <v>36</v>
      </c>
      <c r="F149" s="1867">
        <f>+'VAL AMP4 MM'!L156</f>
        <v>0</v>
      </c>
    </row>
    <row r="150" spans="3:6" ht="13.15" hidden="1" customHeight="1">
      <c r="C150" s="1632" t="s">
        <v>3839</v>
      </c>
      <c r="D150" s="1644" t="s">
        <v>3231</v>
      </c>
      <c r="E150" s="1645" t="s">
        <v>36</v>
      </c>
      <c r="F150" s="1867">
        <f>+'VAL AMP4 MM'!L157</f>
        <v>0</v>
      </c>
    </row>
    <row r="151" spans="3:6" ht="13.15" hidden="1" customHeight="1">
      <c r="C151" s="1632" t="s">
        <v>3840</v>
      </c>
      <c r="D151" s="1644" t="s">
        <v>3841</v>
      </c>
      <c r="E151" s="1645" t="s">
        <v>36</v>
      </c>
      <c r="F151" s="1867">
        <f>+'VAL AMP4 MM'!L158</f>
        <v>0</v>
      </c>
    </row>
    <row r="152" spans="3:6" ht="13.15" customHeight="1">
      <c r="C152" s="1725" t="s">
        <v>50</v>
      </c>
      <c r="D152" s="1721" t="s">
        <v>3235</v>
      </c>
      <c r="E152" s="1645"/>
      <c r="F152" s="1867"/>
    </row>
    <row r="153" spans="3:6" ht="13.15" customHeight="1">
      <c r="C153" s="1632" t="s">
        <v>802</v>
      </c>
      <c r="D153" s="1644" t="s">
        <v>3236</v>
      </c>
      <c r="E153" s="1645" t="s">
        <v>36</v>
      </c>
      <c r="F153" s="1867">
        <f>+'VAL AMP4 MM'!L160</f>
        <v>6</v>
      </c>
    </row>
    <row r="154" spans="3:6" ht="13.15" hidden="1" customHeight="1">
      <c r="C154" s="1632" t="s">
        <v>803</v>
      </c>
      <c r="D154" s="1644" t="s">
        <v>3842</v>
      </c>
      <c r="E154" s="1645" t="s">
        <v>36</v>
      </c>
      <c r="F154" s="1867">
        <f>+'VAL AMP4 MM'!L161</f>
        <v>0</v>
      </c>
    </row>
    <row r="155" spans="3:6" ht="13.15" customHeight="1">
      <c r="C155" s="1632" t="s">
        <v>804</v>
      </c>
      <c r="D155" s="1644" t="s">
        <v>3843</v>
      </c>
      <c r="E155" s="1645" t="s">
        <v>36</v>
      </c>
      <c r="F155" s="1867">
        <f>+'VAL AMP4 MM'!L162</f>
        <v>1</v>
      </c>
    </row>
    <row r="156" spans="3:6" ht="13.15" customHeight="1">
      <c r="C156" s="1632" t="s">
        <v>805</v>
      </c>
      <c r="D156" s="1644" t="s">
        <v>3244</v>
      </c>
      <c r="E156" s="1645" t="s">
        <v>36</v>
      </c>
      <c r="F156" s="1867">
        <f>+'VAL AMP4 MM'!L163</f>
        <v>4</v>
      </c>
    </row>
    <row r="157" spans="3:6" ht="13.15" customHeight="1">
      <c r="C157" s="1632" t="s">
        <v>806</v>
      </c>
      <c r="D157" s="1644" t="s">
        <v>3245</v>
      </c>
      <c r="E157" s="1645" t="s">
        <v>36</v>
      </c>
      <c r="F157" s="1867">
        <f>+'VAL AMP4 MM'!L164</f>
        <v>6</v>
      </c>
    </row>
    <row r="158" spans="3:6" ht="13.15" customHeight="1">
      <c r="C158" s="1632" t="s">
        <v>807</v>
      </c>
      <c r="D158" s="1644" t="s">
        <v>3246</v>
      </c>
      <c r="E158" s="1645" t="s">
        <v>36</v>
      </c>
      <c r="F158" s="1867">
        <f>+'VAL AMP4 MM'!L165</f>
        <v>6</v>
      </c>
    </row>
    <row r="159" spans="3:6" ht="13.15" customHeight="1">
      <c r="C159" s="1632" t="s">
        <v>808</v>
      </c>
      <c r="D159" s="1644" t="s">
        <v>3844</v>
      </c>
      <c r="E159" s="1645" t="s">
        <v>36</v>
      </c>
      <c r="F159" s="1867">
        <f>+'VAL AMP4 MM'!L166</f>
        <v>4</v>
      </c>
    </row>
    <row r="160" spans="3:6" ht="13.15" customHeight="1">
      <c r="C160" s="1632" t="s">
        <v>3845</v>
      </c>
      <c r="D160" s="1644" t="s">
        <v>3248</v>
      </c>
      <c r="E160" s="1645" t="s">
        <v>36</v>
      </c>
      <c r="F160" s="1867">
        <f>+'VAL AMP4 MM'!L167</f>
        <v>4</v>
      </c>
    </row>
    <row r="161" spans="3:6" ht="13.15" hidden="1" customHeight="1">
      <c r="C161" s="1632" t="s">
        <v>3846</v>
      </c>
      <c r="D161" s="1644" t="s">
        <v>3249</v>
      </c>
      <c r="E161" s="1645" t="s">
        <v>36</v>
      </c>
      <c r="F161" s="1867">
        <f>+'VAL AMP4 MM'!L168</f>
        <v>0</v>
      </c>
    </row>
    <row r="162" spans="3:6" ht="13.15" customHeight="1">
      <c r="C162" s="1632" t="s">
        <v>3847</v>
      </c>
      <c r="D162" s="1644" t="s">
        <v>3251</v>
      </c>
      <c r="E162" s="1645" t="s">
        <v>36</v>
      </c>
      <c r="F162" s="1867">
        <f>+'VAL AMP4 MM'!L169</f>
        <v>2</v>
      </c>
    </row>
    <row r="163" spans="3:6" ht="13.15" customHeight="1">
      <c r="C163" s="1632" t="s">
        <v>3848</v>
      </c>
      <c r="D163" s="1644" t="s">
        <v>3252</v>
      </c>
      <c r="E163" s="1645" t="s">
        <v>36</v>
      </c>
      <c r="F163" s="1867">
        <f>+'VAL AMP4 MM'!L170</f>
        <v>6</v>
      </c>
    </row>
    <row r="164" spans="3:6" ht="13.15" customHeight="1">
      <c r="C164" s="1632" t="s">
        <v>3849</v>
      </c>
      <c r="D164" s="1644" t="s">
        <v>3253</v>
      </c>
      <c r="E164" s="1645" t="s">
        <v>36</v>
      </c>
      <c r="F164" s="1867">
        <f>+'VAL AMP4 MM'!L171</f>
        <v>1</v>
      </c>
    </row>
    <row r="165" spans="3:6" ht="13.15" hidden="1" customHeight="1">
      <c r="C165" s="1725" t="s">
        <v>51</v>
      </c>
      <c r="D165" s="1721" t="s">
        <v>3257</v>
      </c>
      <c r="E165" s="1645"/>
      <c r="F165" s="1867"/>
    </row>
    <row r="166" spans="3:6" ht="13.15" hidden="1" customHeight="1">
      <c r="C166" s="1632" t="s">
        <v>809</v>
      </c>
      <c r="D166" s="1644" t="s">
        <v>3258</v>
      </c>
      <c r="E166" s="1645" t="s">
        <v>36</v>
      </c>
      <c r="F166" s="1867">
        <f>+'VAL AMP4 MM'!L173</f>
        <v>0</v>
      </c>
    </row>
    <row r="167" spans="3:6" ht="13.15" hidden="1" customHeight="1">
      <c r="C167" s="1725" t="s">
        <v>277</v>
      </c>
      <c r="D167" s="1721" t="s">
        <v>3259</v>
      </c>
      <c r="E167" s="1645"/>
      <c r="F167" s="1867">
        <f>+'VAL AMP4 MM'!L174</f>
        <v>0</v>
      </c>
    </row>
    <row r="168" spans="3:6" ht="13.15" hidden="1" customHeight="1">
      <c r="C168" s="1632" t="s">
        <v>810</v>
      </c>
      <c r="D168" s="1644" t="s">
        <v>3260</v>
      </c>
      <c r="E168" s="1645" t="s">
        <v>36</v>
      </c>
      <c r="F168" s="1867">
        <f>+'VAL AMP4 MM'!L175</f>
        <v>0</v>
      </c>
    </row>
    <row r="169" spans="3:6" ht="13.15" hidden="1" customHeight="1">
      <c r="C169" s="2211" t="s">
        <v>474</v>
      </c>
      <c r="D169" s="2212" t="s">
        <v>3261</v>
      </c>
      <c r="E169" s="1645"/>
      <c r="F169" s="1867"/>
    </row>
    <row r="170" spans="3:6" ht="13.15" hidden="1" customHeight="1">
      <c r="C170" s="1725" t="s">
        <v>475</v>
      </c>
      <c r="D170" s="1721" t="s">
        <v>3262</v>
      </c>
      <c r="E170" s="1645"/>
      <c r="F170" s="1867"/>
    </row>
    <row r="171" spans="3:6" ht="13.15" hidden="1" customHeight="1">
      <c r="C171" s="1632" t="s">
        <v>841</v>
      </c>
      <c r="D171" s="1644" t="s">
        <v>3850</v>
      </c>
      <c r="E171" s="1645" t="s">
        <v>1451</v>
      </c>
      <c r="F171" s="1867">
        <f>+'VAL AMP4 MM'!L178</f>
        <v>0</v>
      </c>
    </row>
    <row r="172" spans="3:6" ht="13.15" hidden="1" customHeight="1">
      <c r="C172" s="1632" t="s">
        <v>842</v>
      </c>
      <c r="D172" s="1644" t="s">
        <v>3851</v>
      </c>
      <c r="E172" s="1645" t="s">
        <v>1451</v>
      </c>
      <c r="F172" s="1867">
        <f>+'VAL AMP4 MM'!L179</f>
        <v>0</v>
      </c>
    </row>
    <row r="173" spans="3:6" ht="13.15" hidden="1" customHeight="1">
      <c r="C173" s="1725" t="s">
        <v>476</v>
      </c>
      <c r="D173" s="1721" t="s">
        <v>3852</v>
      </c>
      <c r="E173" s="1645"/>
      <c r="F173" s="1867"/>
    </row>
    <row r="174" spans="3:6" ht="13.15" hidden="1" customHeight="1">
      <c r="C174" s="1632" t="s">
        <v>843</v>
      </c>
      <c r="D174" s="1644" t="s">
        <v>3266</v>
      </c>
      <c r="E174" s="1645" t="s">
        <v>38</v>
      </c>
      <c r="F174" s="1867">
        <f>+'VAL AMP4 MM'!L181</f>
        <v>0</v>
      </c>
    </row>
    <row r="175" spans="3:6" ht="13.15" hidden="1" customHeight="1">
      <c r="C175" s="1632" t="s">
        <v>844</v>
      </c>
      <c r="D175" s="1644" t="s">
        <v>3267</v>
      </c>
      <c r="E175" s="1645" t="s">
        <v>38</v>
      </c>
      <c r="F175" s="1867">
        <f>+'VAL AMP4 MM'!L182</f>
        <v>0</v>
      </c>
    </row>
    <row r="176" spans="3:6" ht="13.15" hidden="1" customHeight="1">
      <c r="C176" s="1632" t="s">
        <v>845</v>
      </c>
      <c r="D176" s="1644" t="s">
        <v>3268</v>
      </c>
      <c r="E176" s="1645" t="s">
        <v>38</v>
      </c>
      <c r="F176" s="1867">
        <f>+'VAL AMP4 MM'!L183</f>
        <v>0</v>
      </c>
    </row>
    <row r="177" spans="3:6" ht="13.15" hidden="1" customHeight="1">
      <c r="C177" s="1632" t="s">
        <v>846</v>
      </c>
      <c r="D177" s="1644" t="s">
        <v>3269</v>
      </c>
      <c r="E177" s="1645" t="s">
        <v>38</v>
      </c>
      <c r="F177" s="1867">
        <f>+'VAL AMP4 MM'!L184</f>
        <v>0</v>
      </c>
    </row>
    <row r="178" spans="3:6" ht="13.15" hidden="1" customHeight="1">
      <c r="C178" s="1725" t="s">
        <v>477</v>
      </c>
      <c r="D178" s="1721" t="s">
        <v>3853</v>
      </c>
      <c r="E178" s="1645"/>
      <c r="F178" s="1867"/>
    </row>
    <row r="179" spans="3:6" ht="13.15" hidden="1" customHeight="1">
      <c r="C179" s="1632" t="s">
        <v>850</v>
      </c>
      <c r="D179" s="1644" t="s">
        <v>3274</v>
      </c>
      <c r="E179" s="1645" t="s">
        <v>36</v>
      </c>
      <c r="F179" s="1867">
        <f>+'VAL AMP4 MM'!L186</f>
        <v>0</v>
      </c>
    </row>
    <row r="180" spans="3:6" ht="13.15" hidden="1" customHeight="1">
      <c r="C180" s="1632" t="s">
        <v>3854</v>
      </c>
      <c r="D180" s="1644" t="s">
        <v>3275</v>
      </c>
      <c r="E180" s="1645" t="s">
        <v>36</v>
      </c>
      <c r="F180" s="1867">
        <f>+'VAL AMP4 MM'!L187</f>
        <v>0</v>
      </c>
    </row>
    <row r="181" spans="3:6" ht="13.15" hidden="1" customHeight="1">
      <c r="C181" s="1632" t="s">
        <v>3855</v>
      </c>
      <c r="D181" s="1644" t="s">
        <v>3276</v>
      </c>
      <c r="E181" s="1645" t="s">
        <v>36</v>
      </c>
      <c r="F181" s="1867">
        <f>+'VAL AMP4 MM'!L188</f>
        <v>0</v>
      </c>
    </row>
    <row r="182" spans="3:6" ht="13.15" hidden="1" customHeight="1">
      <c r="C182" s="1632" t="s">
        <v>3856</v>
      </c>
      <c r="D182" s="1644" t="s">
        <v>3280</v>
      </c>
      <c r="E182" s="1645" t="s">
        <v>36</v>
      </c>
      <c r="F182" s="1867">
        <f>+'VAL AMP4 MM'!L189</f>
        <v>0</v>
      </c>
    </row>
    <row r="183" spans="3:6" ht="13.15" hidden="1" customHeight="1">
      <c r="C183" s="1632" t="s">
        <v>3857</v>
      </c>
      <c r="D183" s="1644" t="s">
        <v>3281</v>
      </c>
      <c r="E183" s="1645" t="s">
        <v>36</v>
      </c>
      <c r="F183" s="1867">
        <f>+'VAL AMP4 MM'!L190</f>
        <v>0</v>
      </c>
    </row>
    <row r="184" spans="3:6" ht="13.15" hidden="1" customHeight="1">
      <c r="C184" s="1632" t="s">
        <v>3858</v>
      </c>
      <c r="D184" s="1644" t="s">
        <v>3282</v>
      </c>
      <c r="E184" s="1645" t="s">
        <v>36</v>
      </c>
      <c r="F184" s="1867">
        <f>+'VAL AMP4 MM'!L191</f>
        <v>0</v>
      </c>
    </row>
    <row r="185" spans="3:6" ht="13.15" hidden="1" customHeight="1">
      <c r="C185" s="1632" t="s">
        <v>3859</v>
      </c>
      <c r="D185" s="1644" t="s">
        <v>3285</v>
      </c>
      <c r="E185" s="1645" t="s">
        <v>36</v>
      </c>
      <c r="F185" s="1867">
        <f>+'VAL AMP4 MM'!L192</f>
        <v>0</v>
      </c>
    </row>
    <row r="186" spans="3:6" ht="13.15" hidden="1" customHeight="1">
      <c r="C186" s="1632" t="s">
        <v>3860</v>
      </c>
      <c r="D186" s="1644" t="s">
        <v>3286</v>
      </c>
      <c r="E186" s="1645" t="s">
        <v>36</v>
      </c>
      <c r="F186" s="1867">
        <f>+'VAL AMP4 MM'!L193</f>
        <v>0</v>
      </c>
    </row>
    <row r="187" spans="3:6" ht="13.15" hidden="1" customHeight="1">
      <c r="C187" s="1632" t="s">
        <v>3861</v>
      </c>
      <c r="D187" s="1644" t="s">
        <v>3287</v>
      </c>
      <c r="E187" s="1645" t="s">
        <v>36</v>
      </c>
      <c r="F187" s="1867">
        <f>+'VAL AMP4 MM'!L194</f>
        <v>0</v>
      </c>
    </row>
    <row r="188" spans="3:6" ht="13.15" hidden="1" customHeight="1">
      <c r="C188" s="1632" t="s">
        <v>3862</v>
      </c>
      <c r="D188" s="1644" t="s">
        <v>3290</v>
      </c>
      <c r="E188" s="1645" t="s">
        <v>36</v>
      </c>
      <c r="F188" s="1867">
        <f>+'VAL AMP4 MM'!L195</f>
        <v>0</v>
      </c>
    </row>
    <row r="189" spans="3:6" ht="13.15" hidden="1" customHeight="1">
      <c r="C189" s="1632" t="s">
        <v>3863</v>
      </c>
      <c r="D189" s="1644" t="s">
        <v>3291</v>
      </c>
      <c r="E189" s="1645" t="s">
        <v>36</v>
      </c>
      <c r="F189" s="1867">
        <f>+'VAL AMP4 MM'!L196</f>
        <v>0</v>
      </c>
    </row>
    <row r="190" spans="3:6" ht="13.15" hidden="1" customHeight="1">
      <c r="C190" s="1725" t="s">
        <v>478</v>
      </c>
      <c r="D190" s="1721" t="s">
        <v>3295</v>
      </c>
      <c r="E190" s="1645"/>
      <c r="F190" s="1867"/>
    </row>
    <row r="191" spans="3:6" ht="13.15" hidden="1" customHeight="1">
      <c r="C191" s="1632" t="s">
        <v>851</v>
      </c>
      <c r="D191" s="1644" t="s">
        <v>3296</v>
      </c>
      <c r="E191" s="1645" t="s">
        <v>1450</v>
      </c>
      <c r="F191" s="1867">
        <f>+'VAL AMP4 MM'!L198</f>
        <v>0</v>
      </c>
    </row>
    <row r="192" spans="3:6" ht="13.15" hidden="1" customHeight="1">
      <c r="C192" s="1632" t="s">
        <v>852</v>
      </c>
      <c r="D192" s="1644" t="s">
        <v>3297</v>
      </c>
      <c r="E192" s="1645" t="s">
        <v>1450</v>
      </c>
      <c r="F192" s="1867">
        <f>+'VAL AMP4 MM'!L199</f>
        <v>0</v>
      </c>
    </row>
    <row r="193" spans="3:6" ht="13.15" hidden="1" customHeight="1">
      <c r="C193" s="1632" t="s">
        <v>853</v>
      </c>
      <c r="D193" s="1644" t="s">
        <v>3298</v>
      </c>
      <c r="E193" s="1645" t="s">
        <v>1450</v>
      </c>
      <c r="F193" s="1867">
        <f>+'VAL AMP4 MM'!L200</f>
        <v>0</v>
      </c>
    </row>
    <row r="194" spans="3:6" ht="13.15" hidden="1" customHeight="1">
      <c r="C194" s="2088" t="s">
        <v>487</v>
      </c>
      <c r="D194" s="2090" t="s">
        <v>1382</v>
      </c>
      <c r="E194" s="1645"/>
      <c r="F194" s="1867"/>
    </row>
    <row r="195" spans="3:6" ht="13.15" hidden="1" customHeight="1">
      <c r="C195" s="1725" t="s">
        <v>488</v>
      </c>
      <c r="D195" s="1721" t="s">
        <v>2892</v>
      </c>
      <c r="E195" s="1645"/>
      <c r="F195" s="1867"/>
    </row>
    <row r="196" spans="3:6" ht="13.15" hidden="1" customHeight="1">
      <c r="C196" s="1632" t="s">
        <v>489</v>
      </c>
      <c r="D196" s="1644" t="s">
        <v>3864</v>
      </c>
      <c r="E196" s="1645" t="s">
        <v>40</v>
      </c>
      <c r="F196" s="1867">
        <f>+'VAL AMP4 MM'!L203</f>
        <v>0</v>
      </c>
    </row>
    <row r="197" spans="3:6" ht="13.15" hidden="1" customHeight="1">
      <c r="C197" s="1632" t="s">
        <v>490</v>
      </c>
      <c r="D197" s="1644" t="s">
        <v>3865</v>
      </c>
      <c r="E197" s="1645" t="s">
        <v>40</v>
      </c>
      <c r="F197" s="1867">
        <f>+'VAL AMP4 MM'!L204</f>
        <v>0</v>
      </c>
    </row>
    <row r="198" spans="3:6" ht="13.15" hidden="1" customHeight="1">
      <c r="C198" s="1632" t="s">
        <v>491</v>
      </c>
      <c r="D198" s="1644" t="s">
        <v>3866</v>
      </c>
      <c r="E198" s="1645" t="s">
        <v>40</v>
      </c>
      <c r="F198" s="1867">
        <f>+'VAL AMP4 MM'!L205</f>
        <v>0</v>
      </c>
    </row>
    <row r="199" spans="3:6" ht="13.15" hidden="1" customHeight="1">
      <c r="C199" s="1632" t="s">
        <v>1016</v>
      </c>
      <c r="D199" s="1644" t="s">
        <v>3867</v>
      </c>
      <c r="E199" s="1645" t="s">
        <v>40</v>
      </c>
      <c r="F199" s="1867">
        <f>+'VAL AMP4 MM'!L206</f>
        <v>0</v>
      </c>
    </row>
    <row r="200" spans="3:6" ht="13.15" hidden="1" customHeight="1">
      <c r="C200" s="1632" t="s">
        <v>492</v>
      </c>
      <c r="D200" s="1644" t="s">
        <v>2899</v>
      </c>
      <c r="E200" s="1645"/>
      <c r="F200" s="1867"/>
    </row>
    <row r="201" spans="3:6" ht="13.15" hidden="1" customHeight="1">
      <c r="C201" s="1632" t="s">
        <v>493</v>
      </c>
      <c r="D201" s="1644" t="s">
        <v>3390</v>
      </c>
      <c r="E201" s="1645" t="s">
        <v>36</v>
      </c>
      <c r="F201" s="1867">
        <f>+'VAL AMP4 MM'!L208</f>
        <v>0</v>
      </c>
    </row>
    <row r="202" spans="3:6" ht="13.15" hidden="1" customHeight="1">
      <c r="C202" s="1632" t="s">
        <v>494</v>
      </c>
      <c r="D202" s="1644" t="s">
        <v>3868</v>
      </c>
      <c r="E202" s="1645" t="s">
        <v>36</v>
      </c>
      <c r="F202" s="1867">
        <f>+'VAL AMP4 MM'!L209</f>
        <v>0</v>
      </c>
    </row>
    <row r="203" spans="3:6" ht="13.15" hidden="1" customHeight="1">
      <c r="C203" s="1725" t="s">
        <v>496</v>
      </c>
      <c r="D203" s="1721" t="s">
        <v>3869</v>
      </c>
      <c r="E203" s="1645"/>
      <c r="F203" s="1867"/>
    </row>
    <row r="204" spans="3:6" ht="13.15" hidden="1" customHeight="1">
      <c r="C204" s="1632" t="s">
        <v>497</v>
      </c>
      <c r="D204" s="1644" t="s">
        <v>3870</v>
      </c>
      <c r="E204" s="1645"/>
      <c r="F204" s="1867"/>
    </row>
    <row r="205" spans="3:6" ht="13.15" hidden="1" customHeight="1">
      <c r="C205" s="1632" t="s">
        <v>2579</v>
      </c>
      <c r="D205" s="1644" t="s">
        <v>3871</v>
      </c>
      <c r="E205" s="1645" t="s">
        <v>2822</v>
      </c>
      <c r="F205" s="1867">
        <f>+'VAL AMP4 MM'!L212</f>
        <v>0</v>
      </c>
    </row>
    <row r="206" spans="3:6" ht="13.15" hidden="1" customHeight="1">
      <c r="C206" s="1632" t="s">
        <v>498</v>
      </c>
      <c r="D206" s="1644" t="s">
        <v>3423</v>
      </c>
      <c r="E206" s="1645"/>
      <c r="F206" s="1867">
        <f>+'VAL AMP4 MM'!L213</f>
        <v>0</v>
      </c>
    </row>
    <row r="207" spans="3:6" ht="13.15" hidden="1" customHeight="1">
      <c r="C207" s="1632" t="s">
        <v>2587</v>
      </c>
      <c r="D207" s="1644" t="s">
        <v>3434</v>
      </c>
      <c r="E207" s="1645" t="s">
        <v>2822</v>
      </c>
      <c r="F207" s="1867">
        <f>+'VAL AMP4 MM'!L214</f>
        <v>0</v>
      </c>
    </row>
    <row r="208" spans="3:6" ht="13.15" hidden="1" customHeight="1">
      <c r="C208" s="1632" t="s">
        <v>2588</v>
      </c>
      <c r="D208" s="1644" t="s">
        <v>3439</v>
      </c>
      <c r="E208" s="1645" t="s">
        <v>2822</v>
      </c>
      <c r="F208" s="1867">
        <f>+'VAL AMP4 MM'!L215</f>
        <v>0</v>
      </c>
    </row>
    <row r="209" spans="3:6" ht="13.15" hidden="1" customHeight="1">
      <c r="C209" s="1725" t="s">
        <v>1031</v>
      </c>
      <c r="D209" s="1721" t="s">
        <v>3872</v>
      </c>
      <c r="E209" s="1645"/>
      <c r="F209" s="1867"/>
    </row>
    <row r="210" spans="3:6" ht="13.15" hidden="1" customHeight="1">
      <c r="C210" s="1632" t="s">
        <v>2602</v>
      </c>
      <c r="D210" s="1644" t="s">
        <v>3443</v>
      </c>
      <c r="E210" s="1645" t="s">
        <v>38</v>
      </c>
      <c r="F210" s="1867">
        <f>+'VAL AMP4 MM'!L217</f>
        <v>0</v>
      </c>
    </row>
    <row r="211" spans="3:6" ht="13.15" hidden="1" customHeight="1">
      <c r="C211" s="1632" t="s">
        <v>2603</v>
      </c>
      <c r="D211" s="1644" t="s">
        <v>3873</v>
      </c>
      <c r="E211" s="1645" t="s">
        <v>36</v>
      </c>
      <c r="F211" s="1867">
        <f>+'VAL AMP4 MM'!L218</f>
        <v>0</v>
      </c>
    </row>
    <row r="212" spans="3:6" ht="13.15" hidden="1" customHeight="1">
      <c r="C212" s="1632" t="s">
        <v>2604</v>
      </c>
      <c r="D212" s="1644" t="s">
        <v>3874</v>
      </c>
      <c r="E212" s="1645" t="s">
        <v>36</v>
      </c>
      <c r="F212" s="1867">
        <f>+'VAL AMP4 MM'!L219</f>
        <v>0</v>
      </c>
    </row>
    <row r="213" spans="3:6" ht="13.15" hidden="1" customHeight="1">
      <c r="C213" s="1725" t="s">
        <v>1032</v>
      </c>
      <c r="D213" s="1721" t="s">
        <v>3875</v>
      </c>
      <c r="E213" s="1645"/>
      <c r="F213" s="1867"/>
    </row>
    <row r="214" spans="3:6" ht="13.15" hidden="1" customHeight="1">
      <c r="C214" s="1632" t="s">
        <v>3876</v>
      </c>
      <c r="D214" s="1644" t="s">
        <v>3877</v>
      </c>
      <c r="E214" s="1645" t="s">
        <v>3878</v>
      </c>
      <c r="F214" s="1867">
        <f>+'VAL AMP4 MM'!L221</f>
        <v>0</v>
      </c>
    </row>
    <row r="215" spans="3:6" ht="13.15" hidden="1" customHeight="1">
      <c r="C215" s="1632" t="s">
        <v>3879</v>
      </c>
      <c r="D215" s="1644" t="s">
        <v>3880</v>
      </c>
      <c r="E215" s="1645" t="s">
        <v>3878</v>
      </c>
      <c r="F215" s="1867">
        <f>+'VAL AMP4 MM'!L222</f>
        <v>0</v>
      </c>
    </row>
    <row r="216" spans="3:6" ht="13.15" hidden="1" customHeight="1">
      <c r="C216" s="1725" t="s">
        <v>499</v>
      </c>
      <c r="D216" s="1721" t="s">
        <v>3881</v>
      </c>
      <c r="E216" s="1645"/>
      <c r="F216" s="1867"/>
    </row>
    <row r="217" spans="3:6" ht="13.15" hidden="1" customHeight="1">
      <c r="C217" s="1725" t="s">
        <v>500</v>
      </c>
      <c r="D217" s="1721" t="s">
        <v>3882</v>
      </c>
      <c r="E217" s="1645"/>
      <c r="F217" s="1867"/>
    </row>
    <row r="218" spans="3:6" ht="13.15" hidden="1" customHeight="1">
      <c r="C218" s="1632" t="s">
        <v>2609</v>
      </c>
      <c r="D218" s="1644" t="s">
        <v>3883</v>
      </c>
      <c r="E218" s="1645" t="s">
        <v>36</v>
      </c>
      <c r="F218" s="1867">
        <f>+'VAL AMP4 MM'!L225</f>
        <v>0</v>
      </c>
    </row>
    <row r="219" spans="3:6" ht="13.15" hidden="1" customHeight="1">
      <c r="C219" s="1632" t="s">
        <v>2610</v>
      </c>
      <c r="D219" s="1644" t="s">
        <v>3884</v>
      </c>
      <c r="E219" s="1645" t="s">
        <v>36</v>
      </c>
      <c r="F219" s="1867">
        <f>+'VAL AMP4 MM'!L226</f>
        <v>0</v>
      </c>
    </row>
    <row r="220" spans="3:6" ht="13.15" hidden="1" customHeight="1">
      <c r="C220" s="1725" t="s">
        <v>501</v>
      </c>
      <c r="D220" s="1721" t="s">
        <v>3875</v>
      </c>
      <c r="E220" s="1645"/>
      <c r="F220" s="1867"/>
    </row>
    <row r="221" spans="3:6" ht="13.15" hidden="1" customHeight="1">
      <c r="C221" s="1632" t="s">
        <v>2613</v>
      </c>
      <c r="D221" s="1644" t="s">
        <v>3455</v>
      </c>
      <c r="E221" s="1645" t="s">
        <v>3878</v>
      </c>
      <c r="F221" s="1867">
        <f>+'VAL AMP4 MM'!L228</f>
        <v>0</v>
      </c>
    </row>
    <row r="222" spans="3:6" ht="13.15" hidden="1" customHeight="1">
      <c r="C222" s="1632" t="s">
        <v>2614</v>
      </c>
      <c r="D222" s="1644" t="s">
        <v>3456</v>
      </c>
      <c r="E222" s="1645" t="s">
        <v>3878</v>
      </c>
      <c r="F222" s="1867">
        <f>+'VAL AMP4 MM'!L229</f>
        <v>0</v>
      </c>
    </row>
    <row r="223" spans="3:6" ht="13.15" hidden="1" customHeight="1">
      <c r="C223" s="1725" t="s">
        <v>502</v>
      </c>
      <c r="D223" s="1721" t="s">
        <v>3885</v>
      </c>
      <c r="E223" s="1645"/>
      <c r="F223" s="1867"/>
    </row>
    <row r="224" spans="3:6" ht="13.15" hidden="1" customHeight="1">
      <c r="C224" s="1632" t="s">
        <v>2619</v>
      </c>
      <c r="D224" s="1644" t="s">
        <v>3458</v>
      </c>
      <c r="E224" s="1645" t="s">
        <v>1451</v>
      </c>
      <c r="F224" s="1867">
        <f>+'VAL AMP4 MM'!L231</f>
        <v>0</v>
      </c>
    </row>
    <row r="225" spans="3:6" ht="13.15" hidden="1" customHeight="1">
      <c r="C225" s="1632" t="s">
        <v>2620</v>
      </c>
      <c r="D225" s="1644" t="s">
        <v>3886</v>
      </c>
      <c r="E225" s="1645" t="s">
        <v>36</v>
      </c>
      <c r="F225" s="1867">
        <f>+'VAL AMP4 MM'!L232</f>
        <v>0</v>
      </c>
    </row>
    <row r="226" spans="3:6" ht="13.15" hidden="1" customHeight="1">
      <c r="C226" s="1725" t="s">
        <v>504</v>
      </c>
      <c r="D226" s="1721" t="s">
        <v>3887</v>
      </c>
      <c r="E226" s="1645"/>
      <c r="F226" s="1867"/>
    </row>
    <row r="227" spans="3:6" ht="13.15" hidden="1" customHeight="1">
      <c r="C227" s="1725" t="s">
        <v>505</v>
      </c>
      <c r="D227" s="1721" t="s">
        <v>3888</v>
      </c>
      <c r="E227" s="1645"/>
      <c r="F227" s="1867"/>
    </row>
    <row r="228" spans="3:6" ht="13.15" hidden="1" customHeight="1">
      <c r="C228" s="1632" t="s">
        <v>3889</v>
      </c>
      <c r="D228" s="1644" t="s">
        <v>3890</v>
      </c>
      <c r="E228" s="1645" t="s">
        <v>36</v>
      </c>
      <c r="F228" s="1867">
        <f>+'VAL AMP4 MM'!L235</f>
        <v>0</v>
      </c>
    </row>
    <row r="229" spans="3:6" ht="13.15" hidden="1" customHeight="1">
      <c r="C229" s="1632" t="s">
        <v>3891</v>
      </c>
      <c r="D229" s="1644" t="s">
        <v>3892</v>
      </c>
      <c r="E229" s="1645" t="s">
        <v>36</v>
      </c>
      <c r="F229" s="1867">
        <f>+'VAL AMP4 MM'!L236</f>
        <v>0</v>
      </c>
    </row>
    <row r="230" spans="3:6" ht="13.15" hidden="1" customHeight="1">
      <c r="C230" s="1632" t="s">
        <v>3893</v>
      </c>
      <c r="D230" s="1644" t="s">
        <v>3894</v>
      </c>
      <c r="E230" s="1645" t="s">
        <v>36</v>
      </c>
      <c r="F230" s="1867">
        <f>+'VAL AMP4 MM'!L237</f>
        <v>0</v>
      </c>
    </row>
    <row r="231" spans="3:6" ht="13.15" hidden="1" customHeight="1">
      <c r="C231" s="1632" t="s">
        <v>506</v>
      </c>
      <c r="D231" s="1644" t="s">
        <v>3895</v>
      </c>
      <c r="E231" s="1645"/>
      <c r="F231" s="1867">
        <f>+'VAL AMP4 MM'!L238</f>
        <v>0</v>
      </c>
    </row>
    <row r="232" spans="3:6" ht="13.15" hidden="1" customHeight="1">
      <c r="C232" s="1632" t="s">
        <v>3896</v>
      </c>
      <c r="D232" s="1644" t="s">
        <v>3897</v>
      </c>
      <c r="E232" s="1645" t="s">
        <v>36</v>
      </c>
      <c r="F232" s="1867">
        <f>+'VAL AMP4 MM'!L239</f>
        <v>0</v>
      </c>
    </row>
    <row r="233" spans="3:6" ht="13.15" hidden="1" customHeight="1">
      <c r="C233" s="1632" t="s">
        <v>3898</v>
      </c>
      <c r="D233" s="1644" t="s">
        <v>3899</v>
      </c>
      <c r="E233" s="1645" t="s">
        <v>36</v>
      </c>
      <c r="F233" s="1867">
        <f>+'VAL AMP4 MM'!L240</f>
        <v>0</v>
      </c>
    </row>
    <row r="234" spans="3:6" ht="13.15" hidden="1" customHeight="1">
      <c r="C234" s="1725" t="s">
        <v>507</v>
      </c>
      <c r="D234" s="1721" t="s">
        <v>3900</v>
      </c>
      <c r="E234" s="1645"/>
      <c r="F234" s="1867"/>
    </row>
    <row r="235" spans="3:6" ht="13.15" hidden="1" customHeight="1">
      <c r="C235" s="1632" t="s">
        <v>3901</v>
      </c>
      <c r="D235" s="1644" t="s">
        <v>3476</v>
      </c>
      <c r="E235" s="1645" t="s">
        <v>1451</v>
      </c>
      <c r="F235" s="1867">
        <f>+'VAL AMP4 MM'!L242</f>
        <v>0</v>
      </c>
    </row>
    <row r="236" spans="3:6" ht="13.15" hidden="1" customHeight="1">
      <c r="C236" s="1632" t="s">
        <v>3902</v>
      </c>
      <c r="D236" s="1644" t="s">
        <v>3477</v>
      </c>
      <c r="E236" s="1645" t="s">
        <v>1451</v>
      </c>
      <c r="F236" s="1867">
        <f>+'VAL AMP4 MM'!L243</f>
        <v>0</v>
      </c>
    </row>
    <row r="237" spans="3:6" ht="13.15" hidden="1" customHeight="1">
      <c r="C237" s="1632" t="s">
        <v>3903</v>
      </c>
      <c r="D237" s="1644" t="s">
        <v>3478</v>
      </c>
      <c r="E237" s="1645" t="s">
        <v>1451</v>
      </c>
      <c r="F237" s="1867">
        <f>+'VAL AMP4 MM'!L244</f>
        <v>0</v>
      </c>
    </row>
    <row r="238" spans="3:6" ht="13.15" hidden="1" customHeight="1">
      <c r="C238" s="1725" t="s">
        <v>1037</v>
      </c>
      <c r="D238" s="1721" t="s">
        <v>3904</v>
      </c>
      <c r="E238" s="1645"/>
      <c r="F238" s="1867"/>
    </row>
    <row r="239" spans="3:6" ht="13.15" hidden="1" customHeight="1">
      <c r="C239" s="1725" t="s">
        <v>508</v>
      </c>
      <c r="D239" s="1721" t="s">
        <v>3882</v>
      </c>
      <c r="E239" s="1645"/>
      <c r="F239" s="1867"/>
    </row>
    <row r="240" spans="3:6" ht="13.15" hidden="1" customHeight="1">
      <c r="C240" s="1632" t="s">
        <v>3905</v>
      </c>
      <c r="D240" s="1644" t="s">
        <v>3883</v>
      </c>
      <c r="E240" s="1645" t="s">
        <v>36</v>
      </c>
      <c r="F240" s="1867">
        <f>+'VAL AMP4 MM'!L247</f>
        <v>0</v>
      </c>
    </row>
    <row r="241" spans="3:6" ht="13.15" hidden="1" customHeight="1">
      <c r="C241" s="1632" t="s">
        <v>3906</v>
      </c>
      <c r="D241" s="1644" t="s">
        <v>3884</v>
      </c>
      <c r="E241" s="1645" t="s">
        <v>36</v>
      </c>
      <c r="F241" s="1867">
        <f>+'VAL AMP4 MM'!L248</f>
        <v>0</v>
      </c>
    </row>
    <row r="242" spans="3:6" ht="13.15" hidden="1" customHeight="1">
      <c r="C242" s="1725" t="s">
        <v>509</v>
      </c>
      <c r="D242" s="1721" t="s">
        <v>3875</v>
      </c>
      <c r="E242" s="1645"/>
      <c r="F242" s="1867"/>
    </row>
    <row r="243" spans="3:6" ht="13.15" hidden="1" customHeight="1">
      <c r="C243" s="1632" t="s">
        <v>3907</v>
      </c>
      <c r="D243" s="1644" t="s">
        <v>3455</v>
      </c>
      <c r="E243" s="1645" t="s">
        <v>3878</v>
      </c>
      <c r="F243" s="1867">
        <f>+'VAL AMP4 MM'!L250</f>
        <v>0</v>
      </c>
    </row>
    <row r="244" spans="3:6" ht="13.15" hidden="1" customHeight="1">
      <c r="C244" s="1632" t="s">
        <v>3908</v>
      </c>
      <c r="D244" s="1644" t="s">
        <v>3456</v>
      </c>
      <c r="E244" s="1645" t="s">
        <v>3878</v>
      </c>
      <c r="F244" s="1867">
        <f>+'VAL AMP4 MM'!L251</f>
        <v>0</v>
      </c>
    </row>
    <row r="245" spans="3:6" ht="13.15" hidden="1" customHeight="1">
      <c r="C245" s="1725" t="s">
        <v>3909</v>
      </c>
      <c r="D245" s="1721" t="s">
        <v>3910</v>
      </c>
      <c r="E245" s="1645"/>
      <c r="F245" s="1867"/>
    </row>
    <row r="246" spans="3:6" ht="13.15" hidden="1" customHeight="1">
      <c r="C246" s="1632" t="s">
        <v>3911</v>
      </c>
      <c r="D246" s="1644" t="s">
        <v>3886</v>
      </c>
      <c r="E246" s="1645" t="s">
        <v>36</v>
      </c>
      <c r="F246" s="1867">
        <f>+'VAL AMP4 MM'!L253</f>
        <v>0</v>
      </c>
    </row>
    <row r="247" spans="3:6" ht="13.15" hidden="1" customHeight="1">
      <c r="C247" s="1725" t="s">
        <v>3912</v>
      </c>
      <c r="D247" s="1721" t="s">
        <v>3913</v>
      </c>
      <c r="E247" s="1645"/>
      <c r="F247" s="1867"/>
    </row>
    <row r="248" spans="3:6" ht="13.15" hidden="1" customHeight="1">
      <c r="C248" s="1632" t="s">
        <v>3914</v>
      </c>
      <c r="D248" s="1644" t="s">
        <v>3915</v>
      </c>
      <c r="E248" s="1645" t="s">
        <v>36</v>
      </c>
      <c r="F248" s="1867">
        <f>+'VAL AMP4 MM'!L255</f>
        <v>0</v>
      </c>
    </row>
    <row r="249" spans="3:6" ht="13.15" hidden="1" customHeight="1">
      <c r="C249" s="1725" t="s">
        <v>3916</v>
      </c>
      <c r="D249" s="1721" t="s">
        <v>3917</v>
      </c>
      <c r="E249" s="1645"/>
      <c r="F249" s="1867"/>
    </row>
    <row r="250" spans="3:6" ht="13.15" hidden="1" customHeight="1" thickBot="1">
      <c r="C250" s="1658" t="s">
        <v>3918</v>
      </c>
      <c r="D250" s="1659" t="s">
        <v>3919</v>
      </c>
      <c r="E250" s="1660" t="s">
        <v>36</v>
      </c>
      <c r="F250" s="1867">
        <f>+'VAL AMP4 MM'!L257</f>
        <v>0</v>
      </c>
    </row>
    <row r="251" spans="3:6" ht="13.15" customHeight="1">
      <c r="C251" s="1215"/>
      <c r="D251" s="1225"/>
      <c r="E251" s="1218"/>
    </row>
    <row r="252" spans="3:6" ht="13.15" customHeight="1">
      <c r="C252" s="1215"/>
      <c r="D252" s="1225"/>
      <c r="E252" s="1218"/>
    </row>
    <row r="253" spans="3:6" ht="13.15" customHeight="1"/>
    <row r="254" spans="3:6" ht="13.15" customHeight="1"/>
    <row r="255" spans="3:6" ht="13.15"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1:H264"/>
  <sheetViews>
    <sheetView view="pageBreakPreview" zoomScale="115" zoomScaleNormal="100" zoomScaleSheetLayoutView="115" workbookViewId="0">
      <selection activeCell="I171" sqref="I171"/>
    </sheetView>
  </sheetViews>
  <sheetFormatPr baseColWidth="10" defaultRowHeight="12.75"/>
  <cols>
    <col min="2" max="2" width="1.5703125" customWidth="1"/>
    <col min="3" max="3" width="13.28515625" customWidth="1"/>
    <col min="4" max="4" width="64.42578125" customWidth="1"/>
    <col min="5" max="5" width="10.5703125" customWidth="1"/>
    <col min="7" max="7" width="1.28515625" customWidth="1"/>
    <col min="8" max="8" width="13" bestFit="1" customWidth="1"/>
  </cols>
  <sheetData>
    <row r="1" spans="3:6" ht="15">
      <c r="C1" s="1456" t="s">
        <v>4325</v>
      </c>
      <c r="D1" s="1448"/>
      <c r="E1" s="1448"/>
      <c r="F1" s="1448"/>
    </row>
    <row r="2" spans="3:6" ht="15.75" thickBot="1">
      <c r="C2" s="1456"/>
      <c r="D2" s="1448"/>
      <c r="E2" s="1448"/>
      <c r="F2" s="1448"/>
    </row>
    <row r="3" spans="3:6">
      <c r="C3" s="3038" t="s">
        <v>20</v>
      </c>
      <c r="D3" s="3038" t="s">
        <v>21</v>
      </c>
      <c r="E3" s="3038" t="s">
        <v>4309</v>
      </c>
      <c r="F3" s="3038" t="s">
        <v>4323</v>
      </c>
    </row>
    <row r="4" spans="3:6">
      <c r="C4" s="3039"/>
      <c r="D4" s="3039"/>
      <c r="E4" s="3039"/>
      <c r="F4" s="3039"/>
    </row>
    <row r="5" spans="3:6">
      <c r="C5" s="3039"/>
      <c r="D5" s="3039"/>
      <c r="E5" s="3039"/>
      <c r="F5" s="3039"/>
    </row>
    <row r="6" spans="3:6" ht="13.5" thickBot="1">
      <c r="C6" s="3040"/>
      <c r="D6" s="3040"/>
      <c r="E6" s="3040"/>
      <c r="F6" s="3040"/>
    </row>
    <row r="7" spans="3:6" hidden="1">
      <c r="C7" s="1845" t="s">
        <v>33</v>
      </c>
      <c r="D7" s="1846" t="s">
        <v>3615</v>
      </c>
      <c r="E7" s="1847"/>
      <c r="F7" s="1854"/>
    </row>
    <row r="8" spans="3:6" hidden="1">
      <c r="C8" s="1859" t="s">
        <v>35</v>
      </c>
      <c r="D8" s="1860" t="s">
        <v>2892</v>
      </c>
      <c r="E8" s="1861"/>
      <c r="F8" s="1867"/>
    </row>
    <row r="9" spans="3:6" hidden="1">
      <c r="C9" s="1874" t="s">
        <v>536</v>
      </c>
      <c r="D9" s="1875" t="s">
        <v>3966</v>
      </c>
      <c r="E9" s="1861" t="s">
        <v>40</v>
      </c>
      <c r="F9" s="1867">
        <f>+'VAL AMP 4 PN'!L18</f>
        <v>0</v>
      </c>
    </row>
    <row r="10" spans="3:6" hidden="1">
      <c r="C10" s="1859" t="s">
        <v>39</v>
      </c>
      <c r="D10" s="1860" t="s">
        <v>2928</v>
      </c>
      <c r="E10" s="1861"/>
      <c r="F10" s="1867">
        <f>+'VAL AMP 4 PN'!L19</f>
        <v>0</v>
      </c>
    </row>
    <row r="11" spans="3:6" hidden="1">
      <c r="C11" s="1876" t="s">
        <v>541</v>
      </c>
      <c r="D11" s="1877" t="s">
        <v>2929</v>
      </c>
      <c r="E11" s="1861"/>
      <c r="F11" s="1867">
        <f>+'VAL AMP 4 PN'!L20</f>
        <v>0</v>
      </c>
    </row>
    <row r="12" spans="3:6" hidden="1">
      <c r="C12" s="1874" t="s">
        <v>3726</v>
      </c>
      <c r="D12" s="1875" t="s">
        <v>3967</v>
      </c>
      <c r="E12" s="1861" t="s">
        <v>37</v>
      </c>
      <c r="F12" s="1867">
        <f>+'VAL AMP 4 PN'!L21</f>
        <v>0</v>
      </c>
    </row>
    <row r="13" spans="3:6" hidden="1">
      <c r="C13" s="1876" t="s">
        <v>542</v>
      </c>
      <c r="D13" s="1877" t="s">
        <v>3968</v>
      </c>
      <c r="E13" s="1861"/>
      <c r="F13" s="1867"/>
    </row>
    <row r="14" spans="3:6" hidden="1">
      <c r="C14" s="1874" t="s">
        <v>3728</v>
      </c>
      <c r="D14" s="1875" t="s">
        <v>3969</v>
      </c>
      <c r="E14" s="1861" t="s">
        <v>40</v>
      </c>
      <c r="F14" s="1867">
        <f>+'VAL AMP 4 PN'!L23</f>
        <v>0</v>
      </c>
    </row>
    <row r="15" spans="3:6" hidden="1">
      <c r="C15" s="1874" t="s">
        <v>3730</v>
      </c>
      <c r="D15" s="1875" t="s">
        <v>3970</v>
      </c>
      <c r="E15" s="1861" t="s">
        <v>37</v>
      </c>
      <c r="F15" s="1867">
        <f>+'VAL AMP 4 PN'!L24</f>
        <v>0</v>
      </c>
    </row>
    <row r="16" spans="3:6" hidden="1">
      <c r="C16" s="1874" t="s">
        <v>3971</v>
      </c>
      <c r="D16" s="1875" t="s">
        <v>3972</v>
      </c>
      <c r="E16" s="1861" t="s">
        <v>48</v>
      </c>
      <c r="F16" s="1867">
        <f>+'VAL AMP 4 PN'!L25</f>
        <v>0</v>
      </c>
    </row>
    <row r="17" spans="3:6" hidden="1">
      <c r="C17" s="1859" t="s">
        <v>544</v>
      </c>
      <c r="D17" s="1860" t="s">
        <v>3973</v>
      </c>
      <c r="E17" s="1861"/>
      <c r="F17" s="1867"/>
    </row>
    <row r="18" spans="3:6" hidden="1">
      <c r="C18" s="1874" t="s">
        <v>545</v>
      </c>
      <c r="D18" s="1875" t="s">
        <v>3974</v>
      </c>
      <c r="E18" s="1861" t="s">
        <v>40</v>
      </c>
      <c r="F18" s="1867">
        <f>+'VAL AMP 4 PN'!L27</f>
        <v>0</v>
      </c>
    </row>
    <row r="19" spans="3:6" hidden="1">
      <c r="C19" s="1874" t="s">
        <v>546</v>
      </c>
      <c r="D19" s="1875" t="s">
        <v>3975</v>
      </c>
      <c r="E19" s="1861" t="s">
        <v>37</v>
      </c>
      <c r="F19" s="1867">
        <f>+'VAL AMP 4 PN'!L28</f>
        <v>0</v>
      </c>
    </row>
    <row r="20" spans="3:6" hidden="1">
      <c r="C20" s="1874" t="s">
        <v>2243</v>
      </c>
      <c r="D20" s="1875" t="s">
        <v>3976</v>
      </c>
      <c r="E20" s="1861" t="s">
        <v>36</v>
      </c>
      <c r="F20" s="1867">
        <f>+'VAL AMP 4 PN'!L29</f>
        <v>0</v>
      </c>
    </row>
    <row r="21" spans="3:6" hidden="1">
      <c r="C21" s="1874" t="s">
        <v>2244</v>
      </c>
      <c r="D21" s="1875" t="s">
        <v>3977</v>
      </c>
      <c r="E21" s="1861" t="s">
        <v>3878</v>
      </c>
      <c r="F21" s="1867">
        <f>+'VAL AMP 4 PN'!L30</f>
        <v>0</v>
      </c>
    </row>
    <row r="22" spans="3:6" hidden="1">
      <c r="C22" s="1874" t="s">
        <v>3747</v>
      </c>
      <c r="D22" s="1875" t="s">
        <v>3978</v>
      </c>
      <c r="E22" s="1861" t="s">
        <v>2821</v>
      </c>
      <c r="F22" s="1867">
        <f>+'VAL AMP 4 PN'!L31</f>
        <v>0</v>
      </c>
    </row>
    <row r="23" spans="3:6" hidden="1">
      <c r="C23" s="1874" t="s">
        <v>3752</v>
      </c>
      <c r="D23" s="1875" t="s">
        <v>3979</v>
      </c>
      <c r="E23" s="1861" t="s">
        <v>3878</v>
      </c>
      <c r="F23" s="1867">
        <f>+'VAL AMP 4 PN'!L32</f>
        <v>0</v>
      </c>
    </row>
    <row r="24" spans="3:6" hidden="1">
      <c r="C24" s="1859" t="s">
        <v>547</v>
      </c>
      <c r="D24" s="1860" t="s">
        <v>3018</v>
      </c>
      <c r="E24" s="1861"/>
      <c r="F24" s="1867"/>
    </row>
    <row r="25" spans="3:6" hidden="1">
      <c r="C25" s="1876" t="s">
        <v>548</v>
      </c>
      <c r="D25" s="1877" t="s">
        <v>3980</v>
      </c>
      <c r="E25" s="1861"/>
      <c r="F25" s="1867"/>
    </row>
    <row r="26" spans="3:6" hidden="1">
      <c r="C26" s="1874" t="s">
        <v>3981</v>
      </c>
      <c r="D26" s="1875" t="s">
        <v>3982</v>
      </c>
      <c r="E26" s="1861" t="s">
        <v>36</v>
      </c>
      <c r="F26" s="1867">
        <f>+'VAL AMP 4 PN'!L35</f>
        <v>0</v>
      </c>
    </row>
    <row r="27" spans="3:6" hidden="1">
      <c r="C27" s="1874" t="s">
        <v>3983</v>
      </c>
      <c r="D27" s="1875" t="s">
        <v>3984</v>
      </c>
      <c r="E27" s="1861" t="s">
        <v>36</v>
      </c>
      <c r="F27" s="1867">
        <f>+'VAL AMP 4 PN'!L36</f>
        <v>0</v>
      </c>
    </row>
    <row r="28" spans="3:6" hidden="1">
      <c r="C28" s="1874" t="s">
        <v>3985</v>
      </c>
      <c r="D28" s="1875" t="s">
        <v>3986</v>
      </c>
      <c r="E28" s="1861" t="s">
        <v>38</v>
      </c>
      <c r="F28" s="1867">
        <f>+'VAL AMP 4 PN'!L37</f>
        <v>0</v>
      </c>
    </row>
    <row r="29" spans="3:6" hidden="1">
      <c r="C29" s="1874" t="s">
        <v>3987</v>
      </c>
      <c r="D29" s="1875" t="s">
        <v>3988</v>
      </c>
      <c r="E29" s="1861" t="s">
        <v>37</v>
      </c>
      <c r="F29" s="1867">
        <f>+'VAL AMP 4 PN'!L38</f>
        <v>0</v>
      </c>
    </row>
    <row r="30" spans="3:6" hidden="1">
      <c r="C30" s="1874" t="s">
        <v>3989</v>
      </c>
      <c r="D30" s="1875" t="s">
        <v>3990</v>
      </c>
      <c r="E30" s="1861" t="s">
        <v>36</v>
      </c>
      <c r="F30" s="1867">
        <f>+'VAL AMP 4 PN'!L39</f>
        <v>0</v>
      </c>
    </row>
    <row r="31" spans="3:6" hidden="1">
      <c r="C31" s="1874" t="s">
        <v>3991</v>
      </c>
      <c r="D31" s="1875" t="s">
        <v>3992</v>
      </c>
      <c r="E31" s="1861" t="s">
        <v>36</v>
      </c>
      <c r="F31" s="1867">
        <f>+'VAL AMP 4 PN'!L40</f>
        <v>0</v>
      </c>
    </row>
    <row r="32" spans="3:6" hidden="1">
      <c r="C32" s="1874" t="s">
        <v>3993</v>
      </c>
      <c r="D32" s="1875" t="s">
        <v>3994</v>
      </c>
      <c r="E32" s="1861" t="s">
        <v>36</v>
      </c>
      <c r="F32" s="1867">
        <f>+'VAL AMP 4 PN'!L41</f>
        <v>0</v>
      </c>
    </row>
    <row r="33" spans="3:6" hidden="1">
      <c r="C33" s="1874" t="s">
        <v>3995</v>
      </c>
      <c r="D33" s="1875" t="s">
        <v>3996</v>
      </c>
      <c r="E33" s="1861" t="s">
        <v>38</v>
      </c>
      <c r="F33" s="1867">
        <f>+'VAL AMP 4 PN'!L42</f>
        <v>0</v>
      </c>
    </row>
    <row r="34" spans="3:6" hidden="1">
      <c r="C34" s="1874" t="s">
        <v>3997</v>
      </c>
      <c r="D34" s="1875" t="s">
        <v>3998</v>
      </c>
      <c r="E34" s="1861" t="s">
        <v>38</v>
      </c>
      <c r="F34" s="1867">
        <f>+'VAL AMP 4 PN'!L43</f>
        <v>0</v>
      </c>
    </row>
    <row r="35" spans="3:6" hidden="1">
      <c r="C35" s="1874" t="s">
        <v>3999</v>
      </c>
      <c r="D35" s="1875" t="s">
        <v>4000</v>
      </c>
      <c r="E35" s="1861" t="s">
        <v>38</v>
      </c>
      <c r="F35" s="1867">
        <f>+'VAL AMP 4 PN'!L44</f>
        <v>0</v>
      </c>
    </row>
    <row r="36" spans="3:6" hidden="1">
      <c r="C36" s="1874" t="s">
        <v>4001</v>
      </c>
      <c r="D36" s="1875" t="s">
        <v>4002</v>
      </c>
      <c r="E36" s="1861" t="s">
        <v>38</v>
      </c>
      <c r="F36" s="1867">
        <f>+'VAL AMP 4 PN'!L45</f>
        <v>0</v>
      </c>
    </row>
    <row r="37" spans="3:6" hidden="1">
      <c r="C37" s="1874" t="s">
        <v>4003</v>
      </c>
      <c r="D37" s="1875" t="s">
        <v>4004</v>
      </c>
      <c r="E37" s="1861" t="s">
        <v>38</v>
      </c>
      <c r="F37" s="1867">
        <f>+'VAL AMP 4 PN'!L46</f>
        <v>0</v>
      </c>
    </row>
    <row r="38" spans="3:6" hidden="1">
      <c r="C38" s="1874" t="s">
        <v>4005</v>
      </c>
      <c r="D38" s="1875" t="s">
        <v>4006</v>
      </c>
      <c r="E38" s="1861" t="s">
        <v>37</v>
      </c>
      <c r="F38" s="1867">
        <f>+'VAL AMP 4 PN'!L47</f>
        <v>0</v>
      </c>
    </row>
    <row r="39" spans="3:6" hidden="1">
      <c r="C39" s="1878" t="s">
        <v>4007</v>
      </c>
      <c r="D39" s="1879" t="s">
        <v>4008</v>
      </c>
      <c r="E39" s="1861"/>
      <c r="F39" s="1867">
        <f>+'VAL AMP 4 PN'!L48</f>
        <v>0</v>
      </c>
    </row>
    <row r="40" spans="3:6" hidden="1">
      <c r="C40" s="1874" t="s">
        <v>4009</v>
      </c>
      <c r="D40" s="1875" t="s">
        <v>4010</v>
      </c>
      <c r="E40" s="1861" t="s">
        <v>36</v>
      </c>
      <c r="F40" s="1867">
        <f>+'VAL AMP 4 PN'!L49</f>
        <v>0</v>
      </c>
    </row>
    <row r="41" spans="3:6" hidden="1">
      <c r="C41" s="1876" t="s">
        <v>549</v>
      </c>
      <c r="D41" s="1877" t="s">
        <v>4011</v>
      </c>
      <c r="E41" s="1861"/>
      <c r="F41" s="1867">
        <f>+'VAL AMP 4 PN'!L50</f>
        <v>0</v>
      </c>
    </row>
    <row r="42" spans="3:6" hidden="1">
      <c r="C42" s="1874" t="s">
        <v>4012</v>
      </c>
      <c r="D42" s="1875" t="s">
        <v>4013</v>
      </c>
      <c r="E42" s="1861" t="s">
        <v>36</v>
      </c>
      <c r="F42" s="1867">
        <f>+'VAL AMP 4 PN'!L51</f>
        <v>0</v>
      </c>
    </row>
    <row r="43" spans="3:6" hidden="1">
      <c r="C43" s="1874" t="s">
        <v>4014</v>
      </c>
      <c r="D43" s="1875" t="s">
        <v>4015</v>
      </c>
      <c r="E43" s="1861" t="s">
        <v>36</v>
      </c>
      <c r="F43" s="1867">
        <f>+'VAL AMP 4 PN'!L52</f>
        <v>0</v>
      </c>
    </row>
    <row r="44" spans="3:6" hidden="1">
      <c r="C44" s="1874" t="s">
        <v>4016</v>
      </c>
      <c r="D44" s="1875" t="s">
        <v>3986</v>
      </c>
      <c r="E44" s="1861" t="s">
        <v>38</v>
      </c>
      <c r="F44" s="1867">
        <f>+'VAL AMP 4 PN'!L53</f>
        <v>0</v>
      </c>
    </row>
    <row r="45" spans="3:6" hidden="1">
      <c r="C45" s="1874" t="s">
        <v>4017</v>
      </c>
      <c r="D45" s="1875" t="s">
        <v>4018</v>
      </c>
      <c r="E45" s="1861" t="s">
        <v>37</v>
      </c>
      <c r="F45" s="1867">
        <f>+'VAL AMP 4 PN'!L54</f>
        <v>0</v>
      </c>
    </row>
    <row r="46" spans="3:6" hidden="1">
      <c r="C46" s="1874" t="s">
        <v>4019</v>
      </c>
      <c r="D46" s="1875" t="s">
        <v>4020</v>
      </c>
      <c r="E46" s="1861" t="s">
        <v>38</v>
      </c>
      <c r="F46" s="1867">
        <f>+'VAL AMP 4 PN'!L55</f>
        <v>0</v>
      </c>
    </row>
    <row r="47" spans="3:6" hidden="1">
      <c r="C47" s="1874" t="s">
        <v>4021</v>
      </c>
      <c r="D47" s="1875" t="s">
        <v>3998</v>
      </c>
      <c r="E47" s="1861" t="s">
        <v>38</v>
      </c>
      <c r="F47" s="1867">
        <f>+'VAL AMP 4 PN'!L56</f>
        <v>0</v>
      </c>
    </row>
    <row r="48" spans="3:6" hidden="1">
      <c r="C48" s="1874" t="s">
        <v>4022</v>
      </c>
      <c r="D48" s="1875" t="s">
        <v>4023</v>
      </c>
      <c r="E48" s="1861" t="s">
        <v>38</v>
      </c>
      <c r="F48" s="1867">
        <f>+'VAL AMP 4 PN'!L57</f>
        <v>0</v>
      </c>
    </row>
    <row r="49" spans="3:6" hidden="1">
      <c r="C49" s="1874" t="s">
        <v>4024</v>
      </c>
      <c r="D49" s="1875" t="s">
        <v>4025</v>
      </c>
      <c r="E49" s="1861" t="s">
        <v>38</v>
      </c>
      <c r="F49" s="1867">
        <f>+'VAL AMP 4 PN'!L58</f>
        <v>0</v>
      </c>
    </row>
    <row r="50" spans="3:6" hidden="1">
      <c r="C50" s="1874" t="s">
        <v>4026</v>
      </c>
      <c r="D50" s="1875" t="s">
        <v>4027</v>
      </c>
      <c r="E50" s="1861" t="s">
        <v>38</v>
      </c>
      <c r="F50" s="1867">
        <f>+'VAL AMP 4 PN'!L59</f>
        <v>0</v>
      </c>
    </row>
    <row r="51" spans="3:6" hidden="1">
      <c r="C51" s="1874" t="s">
        <v>4028</v>
      </c>
      <c r="D51" s="1875" t="s">
        <v>4006</v>
      </c>
      <c r="E51" s="1861" t="s">
        <v>37</v>
      </c>
      <c r="F51" s="1867">
        <f>+'VAL AMP 4 PN'!L60</f>
        <v>0</v>
      </c>
    </row>
    <row r="52" spans="3:6" hidden="1">
      <c r="C52" s="1878" t="s">
        <v>4029</v>
      </c>
      <c r="D52" s="1879" t="s">
        <v>4008</v>
      </c>
      <c r="E52" s="1861"/>
      <c r="F52" s="1867">
        <f>+'VAL AMP 4 PN'!L61</f>
        <v>0</v>
      </c>
    </row>
    <row r="53" spans="3:6" hidden="1">
      <c r="C53" s="1874" t="s">
        <v>4030</v>
      </c>
      <c r="D53" s="1875" t="s">
        <v>4031</v>
      </c>
      <c r="E53" s="1861" t="s">
        <v>36</v>
      </c>
      <c r="F53" s="1867">
        <f>+'VAL AMP 4 PN'!L62</f>
        <v>0</v>
      </c>
    </row>
    <row r="54" spans="3:6" hidden="1">
      <c r="C54" s="1876" t="s">
        <v>2245</v>
      </c>
      <c r="D54" s="1877" t="s">
        <v>4032</v>
      </c>
      <c r="E54" s="1861"/>
      <c r="F54" s="1867">
        <f>+'VAL AMP 4 PN'!L63</f>
        <v>0</v>
      </c>
    </row>
    <row r="55" spans="3:6" hidden="1">
      <c r="C55" s="1874" t="s">
        <v>4033</v>
      </c>
      <c r="D55" s="1875" t="s">
        <v>4034</v>
      </c>
      <c r="E55" s="1861" t="s">
        <v>36</v>
      </c>
      <c r="F55" s="1867">
        <f>+'VAL AMP 4 PN'!L64</f>
        <v>0</v>
      </c>
    </row>
    <row r="56" spans="3:6" hidden="1">
      <c r="C56" s="1874" t="s">
        <v>4035</v>
      </c>
      <c r="D56" s="1875" t="s">
        <v>4036</v>
      </c>
      <c r="E56" s="1861" t="s">
        <v>36</v>
      </c>
      <c r="F56" s="1867">
        <f>+'VAL AMP 4 PN'!L65</f>
        <v>0</v>
      </c>
    </row>
    <row r="57" spans="3:6" hidden="1">
      <c r="C57" s="1874" t="s">
        <v>4037</v>
      </c>
      <c r="D57" s="1875" t="s">
        <v>3986</v>
      </c>
      <c r="E57" s="1861" t="s">
        <v>38</v>
      </c>
      <c r="F57" s="1867">
        <f>+'VAL AMP 4 PN'!L66</f>
        <v>0</v>
      </c>
    </row>
    <row r="58" spans="3:6" hidden="1">
      <c r="C58" s="1874" t="s">
        <v>4038</v>
      </c>
      <c r="D58" s="1875" t="s">
        <v>4039</v>
      </c>
      <c r="E58" s="1861" t="s">
        <v>37</v>
      </c>
      <c r="F58" s="1867">
        <f>+'VAL AMP 4 PN'!L67</f>
        <v>0</v>
      </c>
    </row>
    <row r="59" spans="3:6" hidden="1">
      <c r="C59" s="1874" t="s">
        <v>4040</v>
      </c>
      <c r="D59" s="1875" t="s">
        <v>4041</v>
      </c>
      <c r="E59" s="1861" t="s">
        <v>38</v>
      </c>
      <c r="F59" s="1867">
        <f>+'VAL AMP 4 PN'!L68</f>
        <v>0</v>
      </c>
    </row>
    <row r="60" spans="3:6" hidden="1">
      <c r="C60" s="1874" t="s">
        <v>4042</v>
      </c>
      <c r="D60" s="1875" t="s">
        <v>3998</v>
      </c>
      <c r="E60" s="1861" t="s">
        <v>38</v>
      </c>
      <c r="F60" s="1867">
        <f>+'VAL AMP 4 PN'!L69</f>
        <v>0</v>
      </c>
    </row>
    <row r="61" spans="3:6" hidden="1">
      <c r="C61" s="1874" t="s">
        <v>4043</v>
      </c>
      <c r="D61" s="1875" t="s">
        <v>4044</v>
      </c>
      <c r="E61" s="1861" t="s">
        <v>38</v>
      </c>
      <c r="F61" s="1867">
        <f>+'VAL AMP 4 PN'!L70</f>
        <v>0</v>
      </c>
    </row>
    <row r="62" spans="3:6" hidden="1">
      <c r="C62" s="1874" t="s">
        <v>4045</v>
      </c>
      <c r="D62" s="1875" t="s">
        <v>4046</v>
      </c>
      <c r="E62" s="1861" t="s">
        <v>38</v>
      </c>
      <c r="F62" s="1867">
        <f>+'VAL AMP 4 PN'!L71</f>
        <v>0</v>
      </c>
    </row>
    <row r="63" spans="3:6" hidden="1">
      <c r="C63" s="1874" t="s">
        <v>4047</v>
      </c>
      <c r="D63" s="1875" t="s">
        <v>4048</v>
      </c>
      <c r="E63" s="1861" t="s">
        <v>38</v>
      </c>
      <c r="F63" s="1867">
        <f>+'VAL AMP 4 PN'!L72</f>
        <v>0</v>
      </c>
    </row>
    <row r="64" spans="3:6" hidden="1">
      <c r="C64" s="1874" t="s">
        <v>4049</v>
      </c>
      <c r="D64" s="1875" t="s">
        <v>4006</v>
      </c>
      <c r="E64" s="1861" t="s">
        <v>37</v>
      </c>
      <c r="F64" s="1867">
        <f>+'VAL AMP 4 PN'!L73</f>
        <v>0</v>
      </c>
    </row>
    <row r="65" spans="3:6" hidden="1">
      <c r="C65" s="1878" t="s">
        <v>4050</v>
      </c>
      <c r="D65" s="1879" t="s">
        <v>4008</v>
      </c>
      <c r="E65" s="1861"/>
      <c r="F65" s="1867">
        <f>+'VAL AMP 4 PN'!L74</f>
        <v>0</v>
      </c>
    </row>
    <row r="66" spans="3:6" hidden="1">
      <c r="C66" s="1874" t="s">
        <v>4051</v>
      </c>
      <c r="D66" s="1875" t="s">
        <v>4052</v>
      </c>
      <c r="E66" s="1861" t="s">
        <v>36</v>
      </c>
      <c r="F66" s="1867">
        <f>+'VAL AMP 4 PN'!L75</f>
        <v>0</v>
      </c>
    </row>
    <row r="67" spans="3:6" hidden="1">
      <c r="C67" s="1876" t="s">
        <v>4053</v>
      </c>
      <c r="D67" s="1877" t="s">
        <v>4054</v>
      </c>
      <c r="E67" s="1861"/>
      <c r="F67" s="1867">
        <f>+'VAL AMP 4 PN'!L76</f>
        <v>0</v>
      </c>
    </row>
    <row r="68" spans="3:6" hidden="1">
      <c r="C68" s="1874" t="s">
        <v>4055</v>
      </c>
      <c r="D68" s="1875" t="s">
        <v>4056</v>
      </c>
      <c r="E68" s="1861" t="s">
        <v>36</v>
      </c>
      <c r="F68" s="1867">
        <f>+'VAL AMP 4 PN'!L77</f>
        <v>0</v>
      </c>
    </row>
    <row r="69" spans="3:6" hidden="1">
      <c r="C69" s="1874" t="s">
        <v>4057</v>
      </c>
      <c r="D69" s="1875" t="s">
        <v>4058</v>
      </c>
      <c r="E69" s="1861" t="s">
        <v>36</v>
      </c>
      <c r="F69" s="1867">
        <f>+'VAL AMP 4 PN'!L78</f>
        <v>0</v>
      </c>
    </row>
    <row r="70" spans="3:6" hidden="1">
      <c r="C70" s="1874" t="s">
        <v>4059</v>
      </c>
      <c r="D70" s="1875" t="s">
        <v>4060</v>
      </c>
      <c r="E70" s="1861" t="s">
        <v>36</v>
      </c>
      <c r="F70" s="1867">
        <f>+'VAL AMP 4 PN'!L79</f>
        <v>0</v>
      </c>
    </row>
    <row r="71" spans="3:6" hidden="1">
      <c r="C71" s="1874" t="s">
        <v>4061</v>
      </c>
      <c r="D71" s="1875" t="s">
        <v>4062</v>
      </c>
      <c r="E71" s="1861" t="s">
        <v>36</v>
      </c>
      <c r="F71" s="1867">
        <f>+'VAL AMP 4 PN'!L80</f>
        <v>0</v>
      </c>
    </row>
    <row r="72" spans="3:6" hidden="1">
      <c r="C72" s="1874" t="s">
        <v>4063</v>
      </c>
      <c r="D72" s="1875" t="s">
        <v>4064</v>
      </c>
      <c r="E72" s="1861" t="s">
        <v>38</v>
      </c>
      <c r="F72" s="1867">
        <f>+'VAL AMP 4 PN'!L81</f>
        <v>0</v>
      </c>
    </row>
    <row r="73" spans="3:6" hidden="1">
      <c r="C73" s="1874" t="s">
        <v>4065</v>
      </c>
      <c r="D73" s="1875" t="s">
        <v>4066</v>
      </c>
      <c r="E73" s="1861" t="s">
        <v>38</v>
      </c>
      <c r="F73" s="1867">
        <f>+'VAL AMP 4 PN'!L82</f>
        <v>0</v>
      </c>
    </row>
    <row r="74" spans="3:6" hidden="1">
      <c r="C74" s="1874" t="s">
        <v>4067</v>
      </c>
      <c r="D74" s="1875" t="s">
        <v>4068</v>
      </c>
      <c r="E74" s="1861" t="s">
        <v>37</v>
      </c>
      <c r="F74" s="1867">
        <f>+'VAL AMP 4 PN'!L83</f>
        <v>0</v>
      </c>
    </row>
    <row r="75" spans="3:6" hidden="1">
      <c r="C75" s="1874" t="s">
        <v>4069</v>
      </c>
      <c r="D75" s="1875" t="s">
        <v>3990</v>
      </c>
      <c r="E75" s="1861" t="s">
        <v>36</v>
      </c>
      <c r="F75" s="1867">
        <f>+'VAL AMP 4 PN'!L84</f>
        <v>0</v>
      </c>
    </row>
    <row r="76" spans="3:6" hidden="1">
      <c r="C76" s="1874" t="s">
        <v>4070</v>
      </c>
      <c r="D76" s="1875" t="s">
        <v>3992</v>
      </c>
      <c r="E76" s="1861" t="s">
        <v>36</v>
      </c>
      <c r="F76" s="1867">
        <f>+'VAL AMP 4 PN'!L85</f>
        <v>0</v>
      </c>
    </row>
    <row r="77" spans="3:6" hidden="1">
      <c r="C77" s="1874" t="s">
        <v>4071</v>
      </c>
      <c r="D77" s="1875" t="s">
        <v>3994</v>
      </c>
      <c r="E77" s="1861" t="s">
        <v>36</v>
      </c>
      <c r="F77" s="1867">
        <f>+'VAL AMP 4 PN'!L86</f>
        <v>0</v>
      </c>
    </row>
    <row r="78" spans="3:6" hidden="1">
      <c r="C78" s="1874" t="s">
        <v>4072</v>
      </c>
      <c r="D78" s="1875" t="s">
        <v>4073</v>
      </c>
      <c r="E78" s="1861" t="s">
        <v>38</v>
      </c>
      <c r="F78" s="1867">
        <f>+'VAL AMP 4 PN'!L87</f>
        <v>0</v>
      </c>
    </row>
    <row r="79" spans="3:6" hidden="1">
      <c r="C79" s="1874" t="s">
        <v>4074</v>
      </c>
      <c r="D79" s="1875" t="s">
        <v>4075</v>
      </c>
      <c r="E79" s="1861" t="s">
        <v>38</v>
      </c>
      <c r="F79" s="1867">
        <f>+'VAL AMP 4 PN'!L88</f>
        <v>0</v>
      </c>
    </row>
    <row r="80" spans="3:6" hidden="1">
      <c r="C80" s="1874" t="s">
        <v>4076</v>
      </c>
      <c r="D80" s="1875" t="s">
        <v>4077</v>
      </c>
      <c r="E80" s="1861" t="s">
        <v>38</v>
      </c>
      <c r="F80" s="1867">
        <f>+'VAL AMP 4 PN'!L89</f>
        <v>0</v>
      </c>
    </row>
    <row r="81" spans="3:6" hidden="1">
      <c r="C81" s="1874" t="s">
        <v>4078</v>
      </c>
      <c r="D81" s="1875" t="s">
        <v>4079</v>
      </c>
      <c r="E81" s="1861" t="s">
        <v>38</v>
      </c>
      <c r="F81" s="1867">
        <f>+'VAL AMP 4 PN'!L90</f>
        <v>0</v>
      </c>
    </row>
    <row r="82" spans="3:6" hidden="1">
      <c r="C82" s="1874" t="s">
        <v>4080</v>
      </c>
      <c r="D82" s="1875" t="s">
        <v>4081</v>
      </c>
      <c r="E82" s="1861" t="s">
        <v>38</v>
      </c>
      <c r="F82" s="1867">
        <f>+'VAL AMP 4 PN'!L91</f>
        <v>0</v>
      </c>
    </row>
    <row r="83" spans="3:6" hidden="1">
      <c r="C83" s="1874" t="s">
        <v>4082</v>
      </c>
      <c r="D83" s="1875" t="s">
        <v>4006</v>
      </c>
      <c r="E83" s="1861" t="s">
        <v>37</v>
      </c>
      <c r="F83" s="1867">
        <f>+'VAL AMP 4 PN'!L92</f>
        <v>0</v>
      </c>
    </row>
    <row r="84" spans="3:6" hidden="1">
      <c r="C84" s="1878" t="s">
        <v>4083</v>
      </c>
      <c r="D84" s="1879" t="s">
        <v>4008</v>
      </c>
      <c r="E84" s="1861"/>
      <c r="F84" s="1867">
        <f>+'VAL AMP 4 PN'!L93</f>
        <v>0</v>
      </c>
    </row>
    <row r="85" spans="3:6" hidden="1">
      <c r="C85" s="1874" t="s">
        <v>4084</v>
      </c>
      <c r="D85" s="1875" t="s">
        <v>4085</v>
      </c>
      <c r="E85" s="1861" t="s">
        <v>36</v>
      </c>
      <c r="F85" s="1867">
        <f>+'VAL AMP 4 PN'!L94</f>
        <v>0</v>
      </c>
    </row>
    <row r="86" spans="3:6" hidden="1">
      <c r="C86" s="1876" t="s">
        <v>4086</v>
      </c>
      <c r="D86" s="1877" t="s">
        <v>4087</v>
      </c>
      <c r="E86" s="1861"/>
      <c r="F86" s="1867">
        <f>+'VAL AMP 4 PN'!L95</f>
        <v>0</v>
      </c>
    </row>
    <row r="87" spans="3:6" hidden="1">
      <c r="C87" s="1874" t="s">
        <v>4088</v>
      </c>
      <c r="D87" s="1875" t="s">
        <v>4089</v>
      </c>
      <c r="E87" s="1861" t="s">
        <v>36</v>
      </c>
      <c r="F87" s="1867">
        <f>+'VAL AMP 4 PN'!L96</f>
        <v>0</v>
      </c>
    </row>
    <row r="88" spans="3:6" hidden="1">
      <c r="C88" s="1874" t="s">
        <v>4090</v>
      </c>
      <c r="D88" s="1875" t="s">
        <v>4091</v>
      </c>
      <c r="E88" s="1861" t="s">
        <v>36</v>
      </c>
      <c r="F88" s="1867">
        <f>+'VAL AMP 4 PN'!L97</f>
        <v>0</v>
      </c>
    </row>
    <row r="89" spans="3:6" hidden="1">
      <c r="C89" s="1874" t="s">
        <v>4092</v>
      </c>
      <c r="D89" s="1875" t="s">
        <v>4093</v>
      </c>
      <c r="E89" s="1861" t="s">
        <v>38</v>
      </c>
      <c r="F89" s="1867">
        <f>+'VAL AMP 4 PN'!L98</f>
        <v>0</v>
      </c>
    </row>
    <row r="90" spans="3:6" hidden="1">
      <c r="C90" s="1874" t="s">
        <v>4094</v>
      </c>
      <c r="D90" s="1875" t="s">
        <v>4095</v>
      </c>
      <c r="E90" s="1861" t="s">
        <v>37</v>
      </c>
      <c r="F90" s="1867">
        <f>+'VAL AMP 4 PN'!L99</f>
        <v>0</v>
      </c>
    </row>
    <row r="91" spans="3:6" hidden="1">
      <c r="C91" s="1874" t="s">
        <v>4096</v>
      </c>
      <c r="D91" s="1875" t="s">
        <v>4097</v>
      </c>
      <c r="E91" s="1861" t="s">
        <v>36</v>
      </c>
      <c r="F91" s="1867">
        <f>+'VAL AMP 4 PN'!L100</f>
        <v>0</v>
      </c>
    </row>
    <row r="92" spans="3:6" hidden="1">
      <c r="C92" s="1874" t="s">
        <v>4098</v>
      </c>
      <c r="D92" s="1875" t="s">
        <v>4099</v>
      </c>
      <c r="E92" s="1861" t="s">
        <v>36</v>
      </c>
      <c r="F92" s="1867">
        <f>+'VAL AMP 4 PN'!L101</f>
        <v>0</v>
      </c>
    </row>
    <row r="93" spans="3:6" hidden="1">
      <c r="C93" s="1874" t="s">
        <v>4100</v>
      </c>
      <c r="D93" s="1875" t="s">
        <v>4101</v>
      </c>
      <c r="E93" s="1861" t="s">
        <v>38</v>
      </c>
      <c r="F93" s="1867">
        <f>+'VAL AMP 4 PN'!L102</f>
        <v>0</v>
      </c>
    </row>
    <row r="94" spans="3:6" hidden="1">
      <c r="C94" s="1874" t="s">
        <v>4102</v>
      </c>
      <c r="D94" s="1875" t="s">
        <v>4103</v>
      </c>
      <c r="E94" s="1861" t="s">
        <v>38</v>
      </c>
      <c r="F94" s="1867">
        <f>+'VAL AMP 4 PN'!L103</f>
        <v>0</v>
      </c>
    </row>
    <row r="95" spans="3:6" hidden="1">
      <c r="C95" s="1874" t="s">
        <v>4104</v>
      </c>
      <c r="D95" s="1875" t="s">
        <v>4105</v>
      </c>
      <c r="E95" s="1861" t="s">
        <v>38</v>
      </c>
      <c r="F95" s="1867">
        <f>+'VAL AMP 4 PN'!L104</f>
        <v>0</v>
      </c>
    </row>
    <row r="96" spans="3:6" hidden="1">
      <c r="C96" s="1874" t="s">
        <v>4106</v>
      </c>
      <c r="D96" s="1875" t="s">
        <v>4046</v>
      </c>
      <c r="E96" s="1861" t="s">
        <v>38</v>
      </c>
      <c r="F96" s="1867">
        <f>+'VAL AMP 4 PN'!L105</f>
        <v>0</v>
      </c>
    </row>
    <row r="97" spans="3:6" hidden="1">
      <c r="C97" s="1874" t="s">
        <v>4107</v>
      </c>
      <c r="D97" s="1875" t="s">
        <v>4108</v>
      </c>
      <c r="E97" s="1861" t="s">
        <v>38</v>
      </c>
      <c r="F97" s="1867">
        <f>+'VAL AMP 4 PN'!L106</f>
        <v>0</v>
      </c>
    </row>
    <row r="98" spans="3:6" hidden="1">
      <c r="C98" s="1874" t="s">
        <v>4109</v>
      </c>
      <c r="D98" s="1875" t="s">
        <v>4006</v>
      </c>
      <c r="E98" s="1861" t="s">
        <v>37</v>
      </c>
      <c r="F98" s="1867">
        <f>+'VAL AMP 4 PN'!L107</f>
        <v>0</v>
      </c>
    </row>
    <row r="99" spans="3:6" hidden="1">
      <c r="C99" s="1878" t="s">
        <v>4110</v>
      </c>
      <c r="D99" s="1879" t="s">
        <v>4008</v>
      </c>
      <c r="E99" s="1861"/>
      <c r="F99" s="1867">
        <f>+'VAL AMP 4 PN'!L108</f>
        <v>0</v>
      </c>
    </row>
    <row r="100" spans="3:6" hidden="1">
      <c r="C100" s="1874" t="s">
        <v>4111</v>
      </c>
      <c r="D100" s="1875" t="s">
        <v>4112</v>
      </c>
      <c r="E100" s="1861" t="s">
        <v>36</v>
      </c>
      <c r="F100" s="1867">
        <f>+'VAL AMP 4 PN'!L109</f>
        <v>0</v>
      </c>
    </row>
    <row r="101" spans="3:6" hidden="1">
      <c r="C101" s="1876" t="s">
        <v>4113</v>
      </c>
      <c r="D101" s="1877" t="s">
        <v>4114</v>
      </c>
      <c r="E101" s="1861"/>
      <c r="F101" s="1867">
        <f>+'VAL AMP 4 PN'!L110</f>
        <v>0</v>
      </c>
    </row>
    <row r="102" spans="3:6" hidden="1">
      <c r="C102" s="1874" t="s">
        <v>4115</v>
      </c>
      <c r="D102" s="1875" t="s">
        <v>4116</v>
      </c>
      <c r="E102" s="1861" t="s">
        <v>36</v>
      </c>
      <c r="F102" s="1867">
        <f>+'VAL AMP 4 PN'!L111</f>
        <v>0</v>
      </c>
    </row>
    <row r="103" spans="3:6" hidden="1">
      <c r="C103" s="1874" t="s">
        <v>4117</v>
      </c>
      <c r="D103" s="1875" t="s">
        <v>4118</v>
      </c>
      <c r="E103" s="1861" t="s">
        <v>36</v>
      </c>
      <c r="F103" s="1867">
        <f>+'VAL AMP 4 PN'!L112</f>
        <v>0</v>
      </c>
    </row>
    <row r="104" spans="3:6" hidden="1">
      <c r="C104" s="1874" t="s">
        <v>4119</v>
      </c>
      <c r="D104" s="1875" t="s">
        <v>4120</v>
      </c>
      <c r="E104" s="1861" t="s">
        <v>36</v>
      </c>
      <c r="F104" s="1867">
        <f>+'VAL AMP 4 PN'!L113</f>
        <v>0</v>
      </c>
    </row>
    <row r="105" spans="3:6" hidden="1">
      <c r="C105" s="1874" t="s">
        <v>4121</v>
      </c>
      <c r="D105" s="1875" t="s">
        <v>4122</v>
      </c>
      <c r="E105" s="1861" t="s">
        <v>38</v>
      </c>
      <c r="F105" s="1867">
        <f>+'VAL AMP 4 PN'!L114</f>
        <v>0</v>
      </c>
    </row>
    <row r="106" spans="3:6" hidden="1">
      <c r="C106" s="1874" t="s">
        <v>4123</v>
      </c>
      <c r="D106" s="1875" t="s">
        <v>4124</v>
      </c>
      <c r="E106" s="1861" t="s">
        <v>38</v>
      </c>
      <c r="F106" s="1867">
        <f>+'VAL AMP 4 PN'!L115</f>
        <v>0</v>
      </c>
    </row>
    <row r="107" spans="3:6" hidden="1">
      <c r="C107" s="1878" t="s">
        <v>4125</v>
      </c>
      <c r="D107" s="1879" t="s">
        <v>4008</v>
      </c>
      <c r="E107" s="1861"/>
      <c r="F107" s="1867">
        <f>+'VAL AMP 4 PN'!L116</f>
        <v>0</v>
      </c>
    </row>
    <row r="108" spans="3:6" hidden="1">
      <c r="C108" s="1874" t="s">
        <v>4126</v>
      </c>
      <c r="D108" s="1875" t="s">
        <v>4127</v>
      </c>
      <c r="E108" s="1861" t="s">
        <v>36</v>
      </c>
      <c r="F108" s="1867">
        <f>+'VAL AMP 4 PN'!L117</f>
        <v>0</v>
      </c>
    </row>
    <row r="109" spans="3:6" hidden="1">
      <c r="C109" s="1874" t="s">
        <v>4128</v>
      </c>
      <c r="D109" s="1875" t="s">
        <v>4129</v>
      </c>
      <c r="E109" s="1861" t="s">
        <v>38</v>
      </c>
      <c r="F109" s="1867">
        <f>+'VAL AMP 4 PN'!L118</f>
        <v>0</v>
      </c>
    </row>
    <row r="110" spans="3:6" hidden="1">
      <c r="C110" s="1876" t="s">
        <v>4130</v>
      </c>
      <c r="D110" s="1877" t="s">
        <v>4131</v>
      </c>
      <c r="E110" s="1861"/>
      <c r="F110" s="1867">
        <f>+'VAL AMP 4 PN'!L119</f>
        <v>0</v>
      </c>
    </row>
    <row r="111" spans="3:6" hidden="1">
      <c r="C111" s="1874" t="s">
        <v>4132</v>
      </c>
      <c r="D111" s="1875" t="s">
        <v>4133</v>
      </c>
      <c r="E111" s="1861" t="s">
        <v>36</v>
      </c>
      <c r="F111" s="1867">
        <f>+'VAL AMP 4 PN'!L120</f>
        <v>0</v>
      </c>
    </row>
    <row r="112" spans="3:6" hidden="1">
      <c r="C112" s="1874" t="s">
        <v>4134</v>
      </c>
      <c r="D112" s="1875" t="s">
        <v>4135</v>
      </c>
      <c r="E112" s="1861" t="s">
        <v>36</v>
      </c>
      <c r="F112" s="1867">
        <f>+'VAL AMP 4 PN'!L121</f>
        <v>0</v>
      </c>
    </row>
    <row r="113" spans="3:6" hidden="1">
      <c r="C113" s="1874" t="s">
        <v>4136</v>
      </c>
      <c r="D113" s="1875" t="s">
        <v>4137</v>
      </c>
      <c r="E113" s="1861" t="s">
        <v>36</v>
      </c>
      <c r="F113" s="1867">
        <f>+'VAL AMP 4 PN'!L122</f>
        <v>0</v>
      </c>
    </row>
    <row r="114" spans="3:6" hidden="1">
      <c r="C114" s="1874" t="s">
        <v>4138</v>
      </c>
      <c r="D114" s="1875" t="s">
        <v>4139</v>
      </c>
      <c r="E114" s="1861" t="s">
        <v>36</v>
      </c>
      <c r="F114" s="1867">
        <f>+'VAL AMP 4 PN'!L123</f>
        <v>0</v>
      </c>
    </row>
    <row r="115" spans="3:6" hidden="1">
      <c r="C115" s="1874" t="s">
        <v>4140</v>
      </c>
      <c r="D115" s="1875" t="s">
        <v>4141</v>
      </c>
      <c r="E115" s="1861" t="s">
        <v>36</v>
      </c>
      <c r="F115" s="1867">
        <f>+'VAL AMP 4 PN'!L124</f>
        <v>0</v>
      </c>
    </row>
    <row r="116" spans="3:6" hidden="1">
      <c r="C116" s="1874" t="s">
        <v>4142</v>
      </c>
      <c r="D116" s="1875" t="s">
        <v>4143</v>
      </c>
      <c r="E116" s="1861" t="s">
        <v>38</v>
      </c>
      <c r="F116" s="1867">
        <f>+'VAL AMP 4 PN'!L125</f>
        <v>0</v>
      </c>
    </row>
    <row r="117" spans="3:6" hidden="1">
      <c r="C117" s="1874" t="s">
        <v>4144</v>
      </c>
      <c r="D117" s="1875" t="s">
        <v>4145</v>
      </c>
      <c r="E117" s="1861" t="s">
        <v>36</v>
      </c>
      <c r="F117" s="1867">
        <f>+'VAL AMP 4 PN'!L126</f>
        <v>0</v>
      </c>
    </row>
    <row r="118" spans="3:6" hidden="1">
      <c r="C118" s="1874" t="s">
        <v>4146</v>
      </c>
      <c r="D118" s="1875" t="s">
        <v>4124</v>
      </c>
      <c r="E118" s="1861" t="s">
        <v>38</v>
      </c>
      <c r="F118" s="1867">
        <f>+'VAL AMP 4 PN'!L127</f>
        <v>0</v>
      </c>
    </row>
    <row r="119" spans="3:6" hidden="1">
      <c r="C119" s="1874" t="s">
        <v>4147</v>
      </c>
      <c r="D119" s="1875" t="s">
        <v>4008</v>
      </c>
      <c r="E119" s="1861"/>
      <c r="F119" s="1867">
        <f>+'VAL AMP 4 PN'!L128</f>
        <v>0</v>
      </c>
    </row>
    <row r="120" spans="3:6" hidden="1">
      <c r="C120" s="1874" t="s">
        <v>4148</v>
      </c>
      <c r="D120" s="1875" t="s">
        <v>4149</v>
      </c>
      <c r="E120" s="1861" t="s">
        <v>36</v>
      </c>
      <c r="F120" s="1867">
        <f>+'VAL AMP 4 PN'!L129</f>
        <v>0</v>
      </c>
    </row>
    <row r="121" spans="3:6" hidden="1">
      <c r="C121" s="1876" t="s">
        <v>4150</v>
      </c>
      <c r="D121" s="1877" t="s">
        <v>4151</v>
      </c>
      <c r="E121" s="1861"/>
      <c r="F121" s="1867">
        <f>+'VAL AMP 4 PN'!L130</f>
        <v>0</v>
      </c>
    </row>
    <row r="122" spans="3:6" hidden="1">
      <c r="C122" s="1874" t="s">
        <v>4152</v>
      </c>
      <c r="D122" s="1875" t="s">
        <v>4153</v>
      </c>
      <c r="E122" s="1861" t="s">
        <v>36</v>
      </c>
      <c r="F122" s="1867">
        <f>+'VAL AMP 4 PN'!L131</f>
        <v>0</v>
      </c>
    </row>
    <row r="123" spans="3:6" hidden="1">
      <c r="C123" s="1874" t="s">
        <v>4154</v>
      </c>
      <c r="D123" s="1875" t="s">
        <v>4155</v>
      </c>
      <c r="E123" s="1861" t="s">
        <v>36</v>
      </c>
      <c r="F123" s="1867">
        <f>+'VAL AMP 4 PN'!L132</f>
        <v>0</v>
      </c>
    </row>
    <row r="124" spans="3:6" hidden="1">
      <c r="C124" s="1874" t="s">
        <v>4156</v>
      </c>
      <c r="D124" s="1875" t="s">
        <v>4157</v>
      </c>
      <c r="E124" s="1861" t="s">
        <v>36</v>
      </c>
      <c r="F124" s="1867">
        <f>+'VAL AMP 4 PN'!L133</f>
        <v>0</v>
      </c>
    </row>
    <row r="125" spans="3:6" hidden="1">
      <c r="C125" s="1874" t="s">
        <v>4158</v>
      </c>
      <c r="D125" s="1875" t="s">
        <v>4159</v>
      </c>
      <c r="E125" s="1861" t="s">
        <v>38</v>
      </c>
      <c r="F125" s="1867">
        <f>+'VAL AMP 4 PN'!L134</f>
        <v>0</v>
      </c>
    </row>
    <row r="126" spans="3:6" hidden="1">
      <c r="C126" s="1874" t="s">
        <v>4160</v>
      </c>
      <c r="D126" s="1875" t="s">
        <v>4124</v>
      </c>
      <c r="E126" s="1861" t="s">
        <v>38</v>
      </c>
      <c r="F126" s="1867">
        <f>+'VAL AMP 4 PN'!L135</f>
        <v>0</v>
      </c>
    </row>
    <row r="127" spans="3:6" hidden="1">
      <c r="C127" s="1878" t="s">
        <v>4161</v>
      </c>
      <c r="D127" s="1879" t="s">
        <v>4008</v>
      </c>
      <c r="E127" s="1861"/>
      <c r="F127" s="1867">
        <f>+'VAL AMP 4 PN'!L136</f>
        <v>0</v>
      </c>
    </row>
    <row r="128" spans="3:6" hidden="1">
      <c r="C128" s="1874" t="s">
        <v>4162</v>
      </c>
      <c r="D128" s="1875" t="s">
        <v>4163</v>
      </c>
      <c r="E128" s="1861" t="s">
        <v>36</v>
      </c>
      <c r="F128" s="1867">
        <f>+'VAL AMP 4 PN'!L137</f>
        <v>0</v>
      </c>
    </row>
    <row r="129" spans="3:6" hidden="1">
      <c r="C129" s="1874" t="s">
        <v>4164</v>
      </c>
      <c r="D129" s="1875" t="s">
        <v>4165</v>
      </c>
      <c r="E129" s="1861" t="s">
        <v>38</v>
      </c>
      <c r="F129" s="1867">
        <f>+'VAL AMP 4 PN'!L138</f>
        <v>0</v>
      </c>
    </row>
    <row r="130" spans="3:6" hidden="1">
      <c r="C130" s="1876" t="s">
        <v>4166</v>
      </c>
      <c r="D130" s="1877" t="s">
        <v>4167</v>
      </c>
      <c r="E130" s="1861"/>
      <c r="F130" s="1867"/>
    </row>
    <row r="131" spans="3:6" hidden="1">
      <c r="C131" s="1874" t="s">
        <v>4168</v>
      </c>
      <c r="D131" s="1875" t="s">
        <v>4169</v>
      </c>
      <c r="E131" s="1861" t="s">
        <v>36</v>
      </c>
      <c r="F131" s="1867">
        <f>+'VAL AMP 4 PN'!L140</f>
        <v>0</v>
      </c>
    </row>
    <row r="132" spans="3:6" hidden="1">
      <c r="C132" s="1874" t="s">
        <v>4170</v>
      </c>
      <c r="D132" s="1875" t="s">
        <v>4171</v>
      </c>
      <c r="E132" s="1861" t="s">
        <v>36</v>
      </c>
      <c r="F132" s="1867">
        <f>+'VAL AMP 4 PN'!L141</f>
        <v>0</v>
      </c>
    </row>
    <row r="133" spans="3:6" hidden="1">
      <c r="C133" s="1874" t="s">
        <v>4172</v>
      </c>
      <c r="D133" s="1875" t="s">
        <v>4173</v>
      </c>
      <c r="E133" s="1861" t="s">
        <v>36</v>
      </c>
      <c r="F133" s="1867">
        <f>+'VAL AMP 4 PN'!L142</f>
        <v>0</v>
      </c>
    </row>
    <row r="134" spans="3:6" hidden="1">
      <c r="C134" s="1874" t="s">
        <v>4174</v>
      </c>
      <c r="D134" s="1875" t="s">
        <v>4175</v>
      </c>
      <c r="E134" s="1861" t="s">
        <v>38</v>
      </c>
      <c r="F134" s="1867">
        <f>+'VAL AMP 4 PN'!L143</f>
        <v>0</v>
      </c>
    </row>
    <row r="135" spans="3:6" hidden="1">
      <c r="C135" s="1874" t="s">
        <v>4176</v>
      </c>
      <c r="D135" s="1875" t="s">
        <v>4177</v>
      </c>
      <c r="E135" s="1861" t="s">
        <v>38</v>
      </c>
      <c r="F135" s="1867">
        <f>+'VAL AMP 4 PN'!L144</f>
        <v>0</v>
      </c>
    </row>
    <row r="136" spans="3:6" hidden="1">
      <c r="C136" s="1878" t="s">
        <v>4178</v>
      </c>
      <c r="D136" s="1879" t="s">
        <v>4008</v>
      </c>
      <c r="E136" s="1861"/>
      <c r="F136" s="1867">
        <f>+'VAL AMP 4 PN'!L145</f>
        <v>0</v>
      </c>
    </row>
    <row r="137" spans="3:6" hidden="1">
      <c r="C137" s="1874" t="s">
        <v>4179</v>
      </c>
      <c r="D137" s="1875" t="s">
        <v>4180</v>
      </c>
      <c r="E137" s="1861" t="s">
        <v>36</v>
      </c>
      <c r="F137" s="1867">
        <f>+'VAL AMP 4 PN'!L146</f>
        <v>0</v>
      </c>
    </row>
    <row r="138" spans="3:6" hidden="1">
      <c r="C138" s="1859" t="s">
        <v>550</v>
      </c>
      <c r="D138" s="1860" t="s">
        <v>3130</v>
      </c>
      <c r="E138" s="1861"/>
      <c r="F138" s="1867">
        <f>+'VAL AMP 4 PN'!L147</f>
        <v>0</v>
      </c>
    </row>
    <row r="139" spans="3:6" hidden="1">
      <c r="C139" s="1874" t="s">
        <v>551</v>
      </c>
      <c r="D139" s="1875" t="s">
        <v>4181</v>
      </c>
      <c r="E139" s="1861" t="s">
        <v>37</v>
      </c>
      <c r="F139" s="1867">
        <f>+'VAL AMP 4 PN'!L148</f>
        <v>0</v>
      </c>
    </row>
    <row r="140" spans="3:6" hidden="1">
      <c r="C140" s="1859" t="s">
        <v>4182</v>
      </c>
      <c r="D140" s="1860" t="s">
        <v>4183</v>
      </c>
      <c r="E140" s="1861"/>
      <c r="F140" s="1867">
        <f>+'VAL AMP 4 PN'!L149</f>
        <v>0</v>
      </c>
    </row>
    <row r="141" spans="3:6" hidden="1">
      <c r="C141" s="1874" t="s">
        <v>2278</v>
      </c>
      <c r="D141" s="1875" t="s">
        <v>4184</v>
      </c>
      <c r="E141" s="1861" t="s">
        <v>41</v>
      </c>
      <c r="F141" s="1867">
        <f>+'VAL AMP 4 PN'!L150</f>
        <v>0</v>
      </c>
    </row>
    <row r="142" spans="3:6">
      <c r="C142" s="1880" t="s">
        <v>42</v>
      </c>
      <c r="D142" s="1881" t="s">
        <v>1233</v>
      </c>
      <c r="E142" s="1861"/>
      <c r="F142" s="1867"/>
    </row>
    <row r="143" spans="3:6" hidden="1">
      <c r="C143" s="1859" t="s">
        <v>43</v>
      </c>
      <c r="D143" s="1860" t="s">
        <v>3066</v>
      </c>
      <c r="E143" s="1861"/>
      <c r="F143" s="1867"/>
    </row>
    <row r="144" spans="3:6" hidden="1">
      <c r="C144" s="1874" t="s">
        <v>53</v>
      </c>
      <c r="D144" s="1875" t="s">
        <v>4185</v>
      </c>
      <c r="E144" s="1861" t="s">
        <v>37</v>
      </c>
      <c r="F144" s="1867">
        <f>+'VAL AMP 4 PN'!L153</f>
        <v>0</v>
      </c>
    </row>
    <row r="145" spans="3:6" hidden="1">
      <c r="C145" s="1859" t="s">
        <v>44</v>
      </c>
      <c r="D145" s="1860" t="s">
        <v>3097</v>
      </c>
      <c r="E145" s="1861"/>
      <c r="F145" s="1867"/>
    </row>
    <row r="146" spans="3:6" hidden="1">
      <c r="C146" s="1874" t="s">
        <v>54</v>
      </c>
      <c r="D146" s="1875" t="s">
        <v>4186</v>
      </c>
      <c r="E146" s="1861" t="s">
        <v>37</v>
      </c>
      <c r="F146" s="1867">
        <f>+'VAL AMP 4 PN'!L155</f>
        <v>0</v>
      </c>
    </row>
    <row r="147" spans="3:6" hidden="1">
      <c r="C147" s="1874" t="s">
        <v>55</v>
      </c>
      <c r="D147" s="1875" t="s">
        <v>4187</v>
      </c>
      <c r="E147" s="1861" t="s">
        <v>37</v>
      </c>
      <c r="F147" s="1867">
        <f>+'VAL AMP 4 PN'!L156</f>
        <v>0</v>
      </c>
    </row>
    <row r="148" spans="3:6">
      <c r="C148" s="1859" t="s">
        <v>52</v>
      </c>
      <c r="D148" s="1860" t="s">
        <v>3100</v>
      </c>
      <c r="E148" s="1861"/>
      <c r="F148" s="1867"/>
    </row>
    <row r="149" spans="3:6">
      <c r="C149" s="1874" t="s">
        <v>56</v>
      </c>
      <c r="D149" s="1875" t="s">
        <v>4188</v>
      </c>
      <c r="E149" s="1861" t="s">
        <v>37</v>
      </c>
      <c r="F149" s="1867">
        <f>+'VAL AMP 4 PN'!L158</f>
        <v>140.54</v>
      </c>
    </row>
    <row r="150" spans="3:6" hidden="1">
      <c r="C150" s="1874" t="s">
        <v>57</v>
      </c>
      <c r="D150" s="1875" t="s">
        <v>4189</v>
      </c>
      <c r="E150" s="1861" t="s">
        <v>37</v>
      </c>
      <c r="F150" s="1867">
        <f>+'VAL AMP 4 PN'!L159</f>
        <v>0</v>
      </c>
    </row>
    <row r="151" spans="3:6">
      <c r="C151" s="1874" t="s">
        <v>660</v>
      </c>
      <c r="D151" s="1875" t="s">
        <v>4190</v>
      </c>
      <c r="E151" s="1861" t="s">
        <v>37</v>
      </c>
      <c r="F151" s="1867">
        <f>+'VAL AMP 4 PN'!L160</f>
        <v>49.92</v>
      </c>
    </row>
    <row r="152" spans="3:6" hidden="1">
      <c r="C152" s="1874" t="s">
        <v>689</v>
      </c>
      <c r="D152" s="1875" t="s">
        <v>4191</v>
      </c>
      <c r="E152" s="1861" t="s">
        <v>37</v>
      </c>
      <c r="F152" s="1867">
        <f>+'VAL AMP 4 PN'!L161</f>
        <v>0</v>
      </c>
    </row>
    <row r="153" spans="3:6" hidden="1">
      <c r="C153" s="1874" t="s">
        <v>691</v>
      </c>
      <c r="D153" s="1875" t="s">
        <v>4192</v>
      </c>
      <c r="E153" s="1861" t="s">
        <v>38</v>
      </c>
      <c r="F153" s="1867">
        <f>+'VAL AMP 4 PN'!L162</f>
        <v>0</v>
      </c>
    </row>
    <row r="154" spans="3:6" hidden="1">
      <c r="C154" s="1859" t="s">
        <v>515</v>
      </c>
      <c r="D154" s="1860" t="s">
        <v>3122</v>
      </c>
      <c r="E154" s="1861"/>
      <c r="F154" s="1867"/>
    </row>
    <row r="155" spans="3:6" hidden="1">
      <c r="C155" s="1876" t="s">
        <v>516</v>
      </c>
      <c r="D155" s="1877" t="s">
        <v>3123</v>
      </c>
      <c r="E155" s="1861"/>
      <c r="F155" s="1867"/>
    </row>
    <row r="156" spans="3:6" hidden="1">
      <c r="C156" s="1874" t="s">
        <v>694</v>
      </c>
      <c r="D156" s="1875" t="s">
        <v>3814</v>
      </c>
      <c r="E156" s="1861" t="s">
        <v>37</v>
      </c>
      <c r="F156" s="1867">
        <f>+'VAL AMP 4 PN'!L165</f>
        <v>0</v>
      </c>
    </row>
    <row r="157" spans="3:6" hidden="1">
      <c r="C157" s="1876" t="s">
        <v>700</v>
      </c>
      <c r="D157" s="1877" t="s">
        <v>3127</v>
      </c>
      <c r="E157" s="1861"/>
      <c r="F157" s="1867"/>
    </row>
    <row r="158" spans="3:6" hidden="1">
      <c r="C158" s="1874" t="s">
        <v>701</v>
      </c>
      <c r="D158" s="1875" t="s">
        <v>4193</v>
      </c>
      <c r="E158" s="1861" t="s">
        <v>38</v>
      </c>
      <c r="F158" s="1867">
        <f>+'VAL AMP 4 PN'!L167</f>
        <v>0</v>
      </c>
    </row>
    <row r="159" spans="3:6" hidden="1">
      <c r="C159" s="1874" t="s">
        <v>702</v>
      </c>
      <c r="D159" s="1875" t="s">
        <v>4194</v>
      </c>
      <c r="E159" s="1861" t="s">
        <v>38</v>
      </c>
      <c r="F159" s="1867">
        <f>+'VAL AMP 4 PN'!L168</f>
        <v>0</v>
      </c>
    </row>
    <row r="160" spans="3:6" hidden="1">
      <c r="C160" s="1874" t="s">
        <v>703</v>
      </c>
      <c r="D160" s="1875" t="s">
        <v>4195</v>
      </c>
      <c r="E160" s="1861" t="s">
        <v>38</v>
      </c>
      <c r="F160" s="1867">
        <f>+'VAL AMP 4 PN'!L169</f>
        <v>0</v>
      </c>
    </row>
    <row r="161" spans="3:6" hidden="1">
      <c r="C161" s="1859" t="s">
        <v>741</v>
      </c>
      <c r="D161" s="1860" t="s">
        <v>3817</v>
      </c>
      <c r="E161" s="1861"/>
      <c r="F161" s="1867"/>
    </row>
    <row r="162" spans="3:6" hidden="1">
      <c r="C162" s="1876" t="s">
        <v>742</v>
      </c>
      <c r="D162" s="1877" t="s">
        <v>4196</v>
      </c>
      <c r="E162" s="1861"/>
      <c r="F162" s="1867"/>
    </row>
    <row r="163" spans="3:6" hidden="1">
      <c r="C163" s="1874" t="s">
        <v>743</v>
      </c>
      <c r="D163" s="1875" t="s">
        <v>4197</v>
      </c>
      <c r="E163" s="1861" t="s">
        <v>37</v>
      </c>
      <c r="F163" s="1867">
        <f>+'VAL AMP 4 PN'!L172</f>
        <v>0</v>
      </c>
    </row>
    <row r="164" spans="3:6" hidden="1">
      <c r="C164" s="1882" t="s">
        <v>744</v>
      </c>
      <c r="D164" s="1883" t="s">
        <v>4198</v>
      </c>
      <c r="E164" s="1861" t="s">
        <v>37</v>
      </c>
      <c r="F164" s="1867">
        <f>+'VAL AMP 4 PN'!L173</f>
        <v>0</v>
      </c>
    </row>
    <row r="165" spans="3:6" hidden="1">
      <c r="C165" s="1876" t="s">
        <v>745</v>
      </c>
      <c r="D165" s="1877" t="s">
        <v>3150</v>
      </c>
      <c r="E165" s="1861"/>
      <c r="F165" s="1867">
        <f>+'VAL AMP 4 PN'!L174</f>
        <v>0</v>
      </c>
    </row>
    <row r="166" spans="3:6" hidden="1">
      <c r="C166" s="1874" t="s">
        <v>746</v>
      </c>
      <c r="D166" s="1875" t="s">
        <v>4199</v>
      </c>
      <c r="E166" s="1861" t="s">
        <v>38</v>
      </c>
      <c r="F166" s="1867">
        <f>+'VAL AMP 4 PN'!L175</f>
        <v>0</v>
      </c>
    </row>
    <row r="167" spans="3:6">
      <c r="C167" s="1859" t="s">
        <v>762</v>
      </c>
      <c r="D167" s="1860" t="s">
        <v>3184</v>
      </c>
      <c r="E167" s="1861"/>
      <c r="F167" s="1867"/>
    </row>
    <row r="168" spans="3:6">
      <c r="C168" s="1874" t="s">
        <v>763</v>
      </c>
      <c r="D168" s="1875" t="s">
        <v>4200</v>
      </c>
      <c r="E168" s="1861" t="s">
        <v>37</v>
      </c>
      <c r="F168" s="1867">
        <f>+'VAL AMP 4 PN'!L177</f>
        <v>294.85000000000002</v>
      </c>
    </row>
    <row r="169" spans="3:6">
      <c r="C169" s="1874" t="s">
        <v>766</v>
      </c>
      <c r="D169" s="1875" t="s">
        <v>4201</v>
      </c>
      <c r="E169" s="1861" t="s">
        <v>37</v>
      </c>
      <c r="F169" s="1867">
        <f>+'VAL AMP 4 PN'!L178</f>
        <v>31.35</v>
      </c>
    </row>
    <row r="170" spans="3:6">
      <c r="C170" s="1874" t="s">
        <v>770</v>
      </c>
      <c r="D170" s="1875" t="s">
        <v>4202</v>
      </c>
      <c r="E170" s="1861" t="s">
        <v>37</v>
      </c>
      <c r="F170" s="1867">
        <f>+'VAL AMP 4 PN'!L179</f>
        <v>208.44</v>
      </c>
    </row>
    <row r="171" spans="3:6">
      <c r="C171" s="1874" t="s">
        <v>3815</v>
      </c>
      <c r="D171" s="1875" t="s">
        <v>4203</v>
      </c>
      <c r="E171" s="1861" t="s">
        <v>37</v>
      </c>
      <c r="F171" s="1867">
        <f>+'VAL AMP 4 PN'!L180</f>
        <v>316.23</v>
      </c>
    </row>
    <row r="172" spans="3:6">
      <c r="C172" s="1874" t="s">
        <v>4204</v>
      </c>
      <c r="D172" s="1875" t="s">
        <v>4205</v>
      </c>
      <c r="E172" s="1861" t="s">
        <v>37</v>
      </c>
      <c r="F172" s="1867">
        <f>+'VAL AMP 4 PN'!L181</f>
        <v>69.16</v>
      </c>
    </row>
    <row r="173" spans="3:6" hidden="1">
      <c r="C173" s="1874" t="s">
        <v>4206</v>
      </c>
      <c r="D173" s="1875" t="s">
        <v>4207</v>
      </c>
      <c r="E173" s="1861" t="s">
        <v>37</v>
      </c>
      <c r="F173" s="1867">
        <f>+'VAL AMP 4 PN'!L182</f>
        <v>0</v>
      </c>
    </row>
    <row r="174" spans="3:6" hidden="1">
      <c r="C174" s="1874" t="s">
        <v>4208</v>
      </c>
      <c r="D174" s="1875" t="s">
        <v>4209</v>
      </c>
      <c r="E174" s="1861" t="s">
        <v>37</v>
      </c>
      <c r="F174" s="1867">
        <f>+'VAL AMP 4 PN'!L183</f>
        <v>0</v>
      </c>
    </row>
    <row r="175" spans="3:6" hidden="1">
      <c r="C175" s="1874" t="s">
        <v>4210</v>
      </c>
      <c r="D175" s="1875" t="s">
        <v>4211</v>
      </c>
      <c r="E175" s="1861" t="s">
        <v>37</v>
      </c>
      <c r="F175" s="1867">
        <f>+'VAL AMP 4 PN'!L184</f>
        <v>0</v>
      </c>
    </row>
    <row r="176" spans="3:6">
      <c r="C176" s="1859" t="s">
        <v>773</v>
      </c>
      <c r="D176" s="1860" t="s">
        <v>3063</v>
      </c>
      <c r="E176" s="1861"/>
      <c r="F176" s="1867"/>
    </row>
    <row r="177" spans="3:6">
      <c r="C177" s="1874" t="s">
        <v>774</v>
      </c>
      <c r="D177" s="1875" t="s">
        <v>4212</v>
      </c>
      <c r="E177" s="1861" t="s">
        <v>36</v>
      </c>
      <c r="F177" s="1867">
        <f>+'VAL AMP 4 PN'!L186</f>
        <v>32</v>
      </c>
    </row>
    <row r="178" spans="3:6">
      <c r="C178" s="1874" t="s">
        <v>777</v>
      </c>
      <c r="D178" s="1875" t="s">
        <v>4213</v>
      </c>
      <c r="E178" s="1861" t="s">
        <v>36</v>
      </c>
      <c r="F178" s="1867">
        <f>+'VAL AMP 4 PN'!L187</f>
        <v>28</v>
      </c>
    </row>
    <row r="179" spans="3:6">
      <c r="C179" s="1874" t="s">
        <v>3819</v>
      </c>
      <c r="D179" s="1875" t="s">
        <v>4214</v>
      </c>
      <c r="E179" s="1861" t="s">
        <v>36</v>
      </c>
      <c r="F179" s="1867">
        <f>+'VAL AMP 4 PN'!L188</f>
        <v>2</v>
      </c>
    </row>
    <row r="180" spans="3:6" hidden="1">
      <c r="C180" s="1859" t="s">
        <v>780</v>
      </c>
      <c r="D180" s="1860" t="s">
        <v>4215</v>
      </c>
      <c r="E180" s="1861"/>
      <c r="F180" s="1867">
        <f>+'VAL AMP 4 PN'!L189</f>
        <v>0</v>
      </c>
    </row>
    <row r="181" spans="3:6" ht="13.5" hidden="1" thickBot="1">
      <c r="C181" s="1884" t="s">
        <v>781</v>
      </c>
      <c r="D181" s="1885" t="s">
        <v>4216</v>
      </c>
      <c r="E181" s="1886" t="s">
        <v>36</v>
      </c>
      <c r="F181" s="1867">
        <f>+'VAL AMP 4 PN'!L190</f>
        <v>0</v>
      </c>
    </row>
    <row r="183" spans="3:6" ht="15">
      <c r="C183" s="1456" t="s">
        <v>4332</v>
      </c>
      <c r="D183" s="1448"/>
    </row>
    <row r="184" spans="3:6" ht="13.5" thickBot="1"/>
    <row r="185" spans="3:6">
      <c r="C185" s="3038" t="s">
        <v>20</v>
      </c>
      <c r="D185" s="3038" t="s">
        <v>21</v>
      </c>
      <c r="E185" s="3038" t="s">
        <v>4309</v>
      </c>
      <c r="F185" s="3038" t="s">
        <v>4323</v>
      </c>
    </row>
    <row r="186" spans="3:6">
      <c r="C186" s="3039"/>
      <c r="D186" s="3039"/>
      <c r="E186" s="3039"/>
      <c r="F186" s="3039"/>
    </row>
    <row r="187" spans="3:6">
      <c r="C187" s="3039"/>
      <c r="D187" s="3039"/>
      <c r="E187" s="3039"/>
      <c r="F187" s="3039"/>
    </row>
    <row r="188" spans="3:6" ht="13.5" thickBot="1">
      <c r="C188" s="3040"/>
      <c r="D188" s="3040"/>
      <c r="E188" s="3040"/>
      <c r="F188" s="3040"/>
    </row>
    <row r="189" spans="3:6">
      <c r="C189" s="2276" t="str">
        <f>+'VAL AMP 3'!B51</f>
        <v>03</v>
      </c>
      <c r="D189" s="2275" t="str">
        <f>+'VAL AMP 3'!C51</f>
        <v>INSTALACIONES ELECTRICAS</v>
      </c>
      <c r="E189" s="1861"/>
      <c r="F189" s="2280"/>
    </row>
    <row r="190" spans="3:6">
      <c r="C190" s="2276" t="str">
        <f>+'VAL AMP 3'!B52</f>
        <v>03.01</v>
      </c>
      <c r="D190" s="2275" t="str">
        <f>+'VAL AMP 3'!C52</f>
        <v xml:space="preserve">   PARARRAYOS</v>
      </c>
      <c r="E190" s="1861"/>
      <c r="F190" s="2280"/>
    </row>
    <row r="191" spans="3:6">
      <c r="C191" s="1874" t="str">
        <f>+'VAL AMP 3'!B53</f>
        <v>03.01.01</v>
      </c>
      <c r="D191" s="1875" t="str">
        <f>+'VAL AMP 3'!C53</f>
        <v xml:space="preserve">      PARARRAYOS PDC CON DISPOSITIVO DE CEBADO NO RADIOACTIVO R=100M.</v>
      </c>
      <c r="E191" s="2277" t="str">
        <f>+'VAL AMP 3'!D53</f>
        <v>jgo</v>
      </c>
      <c r="F191" s="2280">
        <f>+'VAL AMP 3'!L53</f>
        <v>0</v>
      </c>
    </row>
    <row r="192" spans="3:6" ht="13.5" thickBot="1">
      <c r="C192" s="1884"/>
      <c r="D192" s="1885"/>
      <c r="E192" s="2281"/>
      <c r="F192" s="2282"/>
    </row>
    <row r="194" spans="3:8" ht="13.15" customHeight="1">
      <c r="C194" s="3042" t="s">
        <v>4333</v>
      </c>
      <c r="D194" s="3042"/>
      <c r="E194" s="3042"/>
      <c r="F194" s="3042"/>
    </row>
    <row r="196" spans="3:8" ht="13.15" customHeight="1">
      <c r="C196" s="3041" t="s">
        <v>4335</v>
      </c>
      <c r="D196" s="3041"/>
      <c r="E196" s="3041"/>
      <c r="F196" s="3041"/>
    </row>
    <row r="197" spans="3:8" ht="13.15" customHeight="1">
      <c r="C197" s="3041"/>
      <c r="D197" s="3041"/>
      <c r="E197" s="3041"/>
      <c r="F197" s="3041"/>
    </row>
    <row r="198" spans="3:8" ht="13.15" customHeight="1">
      <c r="C198" s="3041"/>
      <c r="D198" s="3041"/>
      <c r="E198" s="3041"/>
      <c r="F198" s="3041"/>
    </row>
    <row r="199" spans="3:8" ht="22.9" customHeight="1">
      <c r="C199" s="3041"/>
      <c r="D199" s="3041"/>
      <c r="E199" s="3041"/>
      <c r="F199" s="3041"/>
    </row>
    <row r="200" spans="3:8" ht="13.9" customHeight="1">
      <c r="C200" s="148"/>
      <c r="D200" s="2284" t="s">
        <v>1233</v>
      </c>
      <c r="E200" s="2285"/>
      <c r="F200" s="2285"/>
    </row>
    <row r="201" spans="3:8">
      <c r="C201" s="2131" t="str">
        <f>+'[31]RESUMEN DE METRADOS '!$C$8</f>
        <v>03.01.02</v>
      </c>
      <c r="D201" s="2131" t="str">
        <f>+'[31]RESUMEN DE METRADOS '!$D$8</f>
        <v>MURO DE LADRILLO KK TIPO IV SOGA, M 1:4, E=1.50 cm</v>
      </c>
      <c r="E201" s="2283" t="str">
        <f>+'[31]RESUMEN DE METRADOS '!$E$8</f>
        <v>m2</v>
      </c>
      <c r="F201" s="1867">
        <f>+'[31]RESUMEN DE METRADOS '!$H$8</f>
        <v>14.930999999999999</v>
      </c>
    </row>
    <row r="202" spans="3:8">
      <c r="C202" s="2131" t="str">
        <f>+'[31]RESUMEN DE METRADOS '!$C$10</f>
        <v>03.01.04</v>
      </c>
      <c r="D202" s="2131" t="str">
        <f>+'[31]RESUMEN DE METRADOS '!$D$10</f>
        <v>MURO DE LADRILLO CARAVISTA TIPO SOGA, M: 1:4, E=1.5cm</v>
      </c>
      <c r="E202" s="2283" t="str">
        <f>+'[31]RESUMEN DE METRADOS '!$E$10</f>
        <v>m2</v>
      </c>
      <c r="F202" s="1867">
        <f>+'[31]RESUMEN DE METRADOS '!$H$10</f>
        <v>3.4839999999999947</v>
      </c>
    </row>
    <row r="203" spans="3:8">
      <c r="C203" s="2131" t="str">
        <f>+'[31]RESUMEN DE METRADOS '!$C$15</f>
        <v>03.02.04</v>
      </c>
      <c r="D203" s="2131" t="str">
        <f>+'[31]RESUMEN DE METRADOS '!$D$15</f>
        <v>TARRAJEO DE SUPERFICIE DE COLUMNAS INCL. ARISTAS MEZCLA 1:4 CEMENTO:ARENA</v>
      </c>
      <c r="E203" s="2283" t="str">
        <f>+'[31]RESUMEN DE METRADOS '!$E$15</f>
        <v>m2</v>
      </c>
      <c r="F203" s="1867">
        <f>+'[31]RESUMEN DE METRADOS '!$H$15</f>
        <v>131.98700000000002</v>
      </c>
    </row>
    <row r="204" spans="3:8">
      <c r="C204" s="2131" t="str">
        <f>+'[31]RESUMEN DE METRADOS '!$C$18</f>
        <v>03.02.17</v>
      </c>
      <c r="D204" s="2131" t="str">
        <f>+'[31]RESUMEN DE METRADOS '!$D$18</f>
        <v>MESA DE CONCRETO CON ACABADO CERAMICO 30x30cm EN SS.HH. E=0.15cm</v>
      </c>
      <c r="E204" s="2283" t="str">
        <f>+'[31]RESUMEN DE METRADOS '!$E$18</f>
        <v>m2</v>
      </c>
      <c r="F204" s="1867">
        <v>0.7</v>
      </c>
    </row>
    <row r="205" spans="3:8">
      <c r="C205" s="2131" t="str">
        <f>+'[31]RESUMEN DE METRADOS '!$C$21</f>
        <v>03.02.20</v>
      </c>
      <c r="D205" s="2131" t="str">
        <f>+'[31]RESUMEN DE METRADOS '!$D$21</f>
        <v>BRUÑAS DE 1CM ENTRE MUROS Y ESTRUCTURAS</v>
      </c>
      <c r="E205" s="2283" t="str">
        <f>+'[31]RESUMEN DE METRADOS '!$E$21</f>
        <v>m</v>
      </c>
      <c r="F205" s="1867">
        <f>+'[31]RESUMEN DE METRADOS '!$H$21</f>
        <v>97.840000000000032</v>
      </c>
    </row>
    <row r="206" spans="3:8">
      <c r="C206" s="2131" t="str">
        <f>+'[31]RESUMEN DE METRADOS '!$C$27</f>
        <v>02.02.01</v>
      </c>
      <c r="D206" s="2131" t="str">
        <f>+'[31]RESUMEN DE METRADOS '!$D$27</f>
        <v>CIELO RASO SUSPENDIDO CON SISTEMA DRYWALL PANEL GYPLAC 1/2"</v>
      </c>
      <c r="E206" s="2283" t="str">
        <f>+'[31]RESUMEN DE METRADOS '!$E$27</f>
        <v>m2</v>
      </c>
      <c r="F206" s="1867">
        <v>6.76</v>
      </c>
    </row>
    <row r="207" spans="3:8">
      <c r="C207" s="2131" t="str">
        <f>+'[31]RESUMEN DE METRADOS '!$C$37</f>
        <v>02.04.02.02</v>
      </c>
      <c r="D207" s="2131" t="str">
        <f>+'[31]RESUMEN DE METRADOS '!$D$37</f>
        <v>CONTRAZOCALO DE CEMENTO PULIDO C/MORTERO 1:5 DE 2CM, H=30CM</v>
      </c>
      <c r="E207" s="2283" t="str">
        <f>+'[31]RESUMEN DE METRADOS '!$E$37</f>
        <v>m2</v>
      </c>
      <c r="F207" s="1867">
        <f>+'[31]RESUMEN DE METRADOS '!$H$37</f>
        <v>6.9</v>
      </c>
    </row>
    <row r="208" spans="3:8">
      <c r="C208" s="2131" t="str">
        <f>+'[31]RESUMEN DE METRADOS '!$C$52</f>
        <v>03.15.01</v>
      </c>
      <c r="D208" s="2131" t="str">
        <f>+'[31]RESUMEN DE METRADOS '!$D$52</f>
        <v>PODIO DE CONCRETO C:A 1:10 , H= 10 cm</v>
      </c>
      <c r="E208" s="2283" t="str">
        <f>+'[31]RESUMEN DE METRADOS '!$E$52</f>
        <v>m3</v>
      </c>
      <c r="F208" s="1867">
        <f>+'[31]RESUMEN DE METRADOS '!$H$52</f>
        <v>0.98439999999999994</v>
      </c>
      <c r="H208" s="2274">
        <f>+'[31]RESUMEN DE METRADOS '!$M$53</f>
        <v>9093.2233780000024</v>
      </c>
    </row>
    <row r="209" spans="3:8">
      <c r="C209" s="148"/>
      <c r="D209" s="2284" t="s">
        <v>1326</v>
      </c>
      <c r="E209" s="148"/>
      <c r="F209" s="1867"/>
    </row>
    <row r="210" spans="3:8">
      <c r="C210" s="2131" t="str">
        <f>+[32]EXP!$B$46</f>
        <v>04.02.01.01</v>
      </c>
      <c r="D210" s="2131" t="str">
        <f>+[32]EXP!$C$46</f>
        <v xml:space="preserve">         SALIDA DE AGUA FRIA CON TUBERÍA DE PVC SAP C-10 Ø 1/2"</v>
      </c>
      <c r="E210" s="2283" t="s">
        <v>1451</v>
      </c>
      <c r="F210" s="1867">
        <v>16</v>
      </c>
    </row>
    <row r="211" spans="3:8">
      <c r="C211" s="2131" t="str">
        <f>+[32]EXP!$B$60</f>
        <v>04.02.02.01</v>
      </c>
      <c r="D211" s="2131" t="s">
        <v>3266</v>
      </c>
      <c r="E211" s="2283" t="s">
        <v>38</v>
      </c>
      <c r="F211" s="1867">
        <v>66.22999999999999</v>
      </c>
    </row>
    <row r="212" spans="3:8">
      <c r="C212" s="2131" t="str">
        <f>+[32]EXP!$B$64</f>
        <v>04.02.02.02</v>
      </c>
      <c r="D212" s="2131" t="str">
        <f>+[32]EXP!$C$64</f>
        <v xml:space="preserve">         TUBERIA DE PVC C-10 Ø 3/4" SP</v>
      </c>
      <c r="E212" s="2283" t="s">
        <v>38</v>
      </c>
      <c r="F212" s="1867">
        <v>4.4000000000000004</v>
      </c>
    </row>
    <row r="213" spans="3:8">
      <c r="C213" s="2131" t="str">
        <f>+[32]EXP!$B$76</f>
        <v>04.02.04.01</v>
      </c>
      <c r="D213" s="1241" t="s">
        <v>3274</v>
      </c>
      <c r="E213" s="2283" t="s">
        <v>36</v>
      </c>
      <c r="F213" s="1867">
        <v>30</v>
      </c>
    </row>
    <row r="214" spans="3:8">
      <c r="C214" s="2131" t="str">
        <f>+[32]EXP!$B$80</f>
        <v>04.02.04.02</v>
      </c>
      <c r="D214" s="2131" t="str">
        <f>+[32]EXP!$C$80</f>
        <v xml:space="preserve">         CODO DE PVC Ø 3/4" x 90° SP</v>
      </c>
      <c r="E214" s="2283" t="s">
        <v>36</v>
      </c>
      <c r="F214" s="1867">
        <v>1</v>
      </c>
    </row>
    <row r="215" spans="3:8">
      <c r="C215" s="2131" t="str">
        <f>+[32]EXP!$B$82</f>
        <v>04.02.04.03</v>
      </c>
      <c r="D215" s="2131" t="str">
        <f>+[32]EXP!$C$82</f>
        <v xml:space="preserve">         CODO DE PVC Ø 1" x 90° SP</v>
      </c>
      <c r="E215" s="2283" t="s">
        <v>36</v>
      </c>
      <c r="F215" s="1867">
        <v>19</v>
      </c>
    </row>
    <row r="216" spans="3:8">
      <c r="C216" s="2131" t="str">
        <f>+[32]EXP!$B$88</f>
        <v>04.02.04.07</v>
      </c>
      <c r="D216" s="2131" t="str">
        <f>+[32]EXP!$C$88</f>
        <v xml:space="preserve">         TEE DE PVC Ø 1/2" SP</v>
      </c>
      <c r="E216" s="2283" t="s">
        <v>36</v>
      </c>
      <c r="F216" s="1867">
        <v>3</v>
      </c>
    </row>
    <row r="217" spans="3:8">
      <c r="C217" s="2131" t="str">
        <f>+[32]EXP!$B$91</f>
        <v>04.02.04.08</v>
      </c>
      <c r="D217" s="2131" t="str">
        <f>+[32]EXP!$C$91</f>
        <v xml:space="preserve">         TEE DE PVC Ø 3/4" SP</v>
      </c>
      <c r="E217" s="2283" t="s">
        <v>36</v>
      </c>
      <c r="F217" s="1867">
        <v>4</v>
      </c>
    </row>
    <row r="218" spans="3:8">
      <c r="C218" s="2131" t="str">
        <f>+[32]EXP!$B$97</f>
        <v>04.02.04.12</v>
      </c>
      <c r="D218" s="1241" t="s">
        <v>3285</v>
      </c>
      <c r="E218" s="2283" t="s">
        <v>36</v>
      </c>
      <c r="F218" s="1867">
        <v>9</v>
      </c>
    </row>
    <row r="219" spans="3:8">
      <c r="C219" s="2131" t="str">
        <f>+[32]EXP!$B$100</f>
        <v>04.02.04.14</v>
      </c>
      <c r="D219" s="1241" t="s">
        <v>3287</v>
      </c>
      <c r="E219" s="2286" t="s">
        <v>36</v>
      </c>
      <c r="F219" s="1867">
        <v>2</v>
      </c>
    </row>
    <row r="220" spans="3:8">
      <c r="C220" s="2131" t="str">
        <f>+[32]EXP!$B$110</f>
        <v>04.02.05.01</v>
      </c>
      <c r="D220" s="1241" t="s">
        <v>3296</v>
      </c>
      <c r="E220" s="2286" t="s">
        <v>36</v>
      </c>
      <c r="F220" s="1867">
        <v>2</v>
      </c>
    </row>
    <row r="221" spans="3:8">
      <c r="C221" s="2131" t="str">
        <f>+[32]EXP!$B$114</f>
        <v>04.02.05.03</v>
      </c>
      <c r="D221" s="1241" t="s">
        <v>3298</v>
      </c>
      <c r="E221" s="2286" t="s">
        <v>36</v>
      </c>
      <c r="F221" s="1867">
        <v>2</v>
      </c>
      <c r="H221" s="2274">
        <f>+[32]EXP!$M$317</f>
        <v>4117.414499999999</v>
      </c>
    </row>
    <row r="222" spans="3:8">
      <c r="C222" s="148"/>
      <c r="D222" s="2284" t="s">
        <v>1382</v>
      </c>
      <c r="E222" s="148"/>
      <c r="F222" s="1867"/>
    </row>
    <row r="223" spans="3:8">
      <c r="C223" s="148"/>
      <c r="D223" s="2131" t="s">
        <v>3452</v>
      </c>
      <c r="E223" s="2283" t="s">
        <v>38</v>
      </c>
      <c r="F223" s="1867">
        <v>753.53</v>
      </c>
    </row>
    <row r="224" spans="3:8">
      <c r="C224" s="148"/>
      <c r="D224" s="2131" t="s">
        <v>3453</v>
      </c>
      <c r="E224" s="2283" t="s">
        <v>36</v>
      </c>
      <c r="F224" s="1867">
        <v>463</v>
      </c>
    </row>
    <row r="225" spans="3:8">
      <c r="C225" s="148"/>
      <c r="D225" s="2131" t="s">
        <v>3454</v>
      </c>
      <c r="E225" s="2283" t="s">
        <v>36</v>
      </c>
      <c r="F225" s="1867">
        <v>882</v>
      </c>
    </row>
    <row r="226" spans="3:8">
      <c r="C226" s="148"/>
      <c r="D226" s="2131" t="s">
        <v>3476</v>
      </c>
      <c r="E226" s="2283" t="s">
        <v>1451</v>
      </c>
      <c r="F226" s="1867">
        <v>54</v>
      </c>
    </row>
    <row r="227" spans="3:8">
      <c r="C227" s="148"/>
      <c r="D227" s="2131" t="s">
        <v>3477</v>
      </c>
      <c r="E227" s="2283" t="s">
        <v>1451</v>
      </c>
      <c r="F227" s="1867">
        <v>10</v>
      </c>
    </row>
    <row r="228" spans="3:8">
      <c r="C228" s="148"/>
      <c r="D228" s="2131" t="s">
        <v>3478</v>
      </c>
      <c r="E228" s="2283" t="s">
        <v>1451</v>
      </c>
      <c r="F228" s="1867">
        <v>4</v>
      </c>
    </row>
    <row r="229" spans="3:8">
      <c r="C229" s="148"/>
      <c r="D229" s="2131" t="s">
        <v>3481</v>
      </c>
      <c r="E229" s="2283" t="s">
        <v>36</v>
      </c>
      <c r="F229" s="1867">
        <v>5</v>
      </c>
    </row>
    <row r="230" spans="3:8">
      <c r="C230" s="148"/>
      <c r="D230" s="2131" t="s">
        <v>3452</v>
      </c>
      <c r="E230" s="2283" t="s">
        <v>38</v>
      </c>
      <c r="F230" s="1867">
        <v>244.38000000000011</v>
      </c>
    </row>
    <row r="231" spans="3:8">
      <c r="C231" s="148"/>
      <c r="D231" s="2131" t="s">
        <v>3453</v>
      </c>
      <c r="E231" s="2283" t="s">
        <v>36</v>
      </c>
      <c r="F231" s="1867">
        <v>500</v>
      </c>
    </row>
    <row r="232" spans="3:8">
      <c r="C232" s="148"/>
      <c r="D232" s="2131" t="s">
        <v>3459</v>
      </c>
      <c r="E232" s="2283" t="s">
        <v>36</v>
      </c>
      <c r="F232" s="1867">
        <v>11</v>
      </c>
      <c r="H232" s="2274">
        <f>+'[33]VAL. PRINC'!$X$148</f>
        <v>22346.663200000003</v>
      </c>
    </row>
    <row r="233" spans="3:8">
      <c r="C233" s="148"/>
      <c r="D233" s="2131" t="s">
        <v>3443</v>
      </c>
      <c r="E233" s="2283" t="s">
        <v>38</v>
      </c>
      <c r="F233" s="1867">
        <v>50</v>
      </c>
    </row>
    <row r="234" spans="3:8">
      <c r="C234" s="148"/>
      <c r="D234" s="2131" t="s">
        <v>3873</v>
      </c>
      <c r="E234" s="2283" t="s">
        <v>36</v>
      </c>
      <c r="F234" s="1867">
        <v>15</v>
      </c>
    </row>
    <row r="235" spans="3:8">
      <c r="C235" s="148"/>
      <c r="D235" s="2131" t="s">
        <v>3874</v>
      </c>
      <c r="E235" s="2283" t="s">
        <v>36</v>
      </c>
      <c r="F235" s="1867">
        <v>20</v>
      </c>
    </row>
    <row r="236" spans="3:8">
      <c r="C236" s="148"/>
      <c r="D236" s="2131" t="s">
        <v>3877</v>
      </c>
      <c r="E236" s="2283" t="s">
        <v>3878</v>
      </c>
      <c r="F236" s="1867">
        <v>464</v>
      </c>
    </row>
    <row r="237" spans="3:8">
      <c r="C237" s="148"/>
      <c r="D237" s="2131" t="s">
        <v>3880</v>
      </c>
      <c r="E237" s="2283" t="s">
        <v>3878</v>
      </c>
      <c r="F237" s="1867">
        <v>461</v>
      </c>
    </row>
    <row r="238" spans="3:8">
      <c r="C238" s="148"/>
      <c r="D238" s="2131" t="s">
        <v>3883</v>
      </c>
      <c r="E238" s="2283" t="s">
        <v>36</v>
      </c>
      <c r="F238" s="1867">
        <v>468.34</v>
      </c>
    </row>
    <row r="239" spans="3:8">
      <c r="C239" s="148"/>
      <c r="D239" s="2131" t="s">
        <v>3884</v>
      </c>
      <c r="E239" s="2283" t="s">
        <v>36</v>
      </c>
      <c r="F239" s="1867">
        <v>235</v>
      </c>
    </row>
    <row r="240" spans="3:8">
      <c r="C240" s="148"/>
      <c r="D240" s="2131" t="s">
        <v>3455</v>
      </c>
      <c r="E240" s="2283" t="s">
        <v>3878</v>
      </c>
      <c r="F240" s="1867">
        <v>536.38</v>
      </c>
    </row>
    <row r="241" spans="3:8">
      <c r="C241" s="148"/>
      <c r="D241" s="2131" t="s">
        <v>3456</v>
      </c>
      <c r="E241" s="2283" t="s">
        <v>3878</v>
      </c>
      <c r="F241" s="1867">
        <v>268.33999999999997</v>
      </c>
    </row>
    <row r="242" spans="3:8">
      <c r="C242" s="148"/>
      <c r="D242" s="2131" t="s">
        <v>3458</v>
      </c>
      <c r="E242" s="2283" t="s">
        <v>1451</v>
      </c>
      <c r="F242" s="1867">
        <v>97</v>
      </c>
    </row>
    <row r="243" spans="3:8">
      <c r="C243" s="148"/>
      <c r="D243" s="2131" t="s">
        <v>3886</v>
      </c>
      <c r="E243" s="2283" t="s">
        <v>36</v>
      </c>
      <c r="F243" s="1867">
        <v>97</v>
      </c>
    </row>
    <row r="244" spans="3:8">
      <c r="C244" s="148"/>
      <c r="D244" s="2131" t="s">
        <v>3883</v>
      </c>
      <c r="E244" s="2283" t="s">
        <v>36</v>
      </c>
      <c r="F244" s="1867">
        <v>161</v>
      </c>
    </row>
    <row r="245" spans="3:8">
      <c r="C245" s="148"/>
      <c r="D245" s="2131" t="s">
        <v>3884</v>
      </c>
      <c r="E245" s="2283" t="s">
        <v>36</v>
      </c>
      <c r="F245" s="1867">
        <v>80</v>
      </c>
    </row>
    <row r="246" spans="3:8">
      <c r="C246" s="148"/>
      <c r="D246" s="2131" t="s">
        <v>3455</v>
      </c>
      <c r="E246" s="2283" t="s">
        <v>3878</v>
      </c>
      <c r="F246" s="1867">
        <v>322</v>
      </c>
    </row>
    <row r="247" spans="3:8">
      <c r="C247" s="148"/>
      <c r="D247" s="2131" t="s">
        <v>3886</v>
      </c>
      <c r="E247" s="2283" t="s">
        <v>36</v>
      </c>
      <c r="F247" s="1867">
        <v>38</v>
      </c>
    </row>
    <row r="248" spans="3:8">
      <c r="C248" s="148"/>
      <c r="D248" s="2131" t="s">
        <v>3915</v>
      </c>
      <c r="E248" s="2283" t="s">
        <v>36</v>
      </c>
      <c r="F248" s="1867">
        <v>38</v>
      </c>
      <c r="H248" s="2274">
        <f>+'[33]VAL AMP4 MM'!$P$72</f>
        <v>55202.606599999992</v>
      </c>
    </row>
    <row r="249" spans="3:8">
      <c r="C249" s="148"/>
      <c r="D249" s="2284" t="s">
        <v>2820</v>
      </c>
      <c r="E249" s="148"/>
      <c r="F249" s="1867"/>
    </row>
    <row r="250" spans="3:8">
      <c r="C250" s="148"/>
      <c r="D250" s="2131" t="str">
        <f>+[34]Hoja13!$G$15</f>
        <v xml:space="preserve">               RELLENO Y COMPACTADO CON ARENA FINA (0.6m x 0.05m x L)</v>
      </c>
      <c r="E250" s="2283" t="str">
        <f>+[34]Hoja13!$H$15</f>
        <v>m3</v>
      </c>
      <c r="F250" s="1867">
        <f>+[34]Hoja13!$P$15</f>
        <v>2.9699999999999998</v>
      </c>
    </row>
    <row r="251" spans="3:8">
      <c r="C251" s="148"/>
      <c r="D251" s="2131" t="str">
        <f>+[34]Hoja13!$G$16</f>
        <v xml:space="preserve">               RELLENO Y COMPACTADO CON MATERIAL PROPIO CERNIDO (0.60m x 0.25m x L)</v>
      </c>
      <c r="E251" s="2283" t="str">
        <f>+[34]Hoja13!$H$15</f>
        <v>m3</v>
      </c>
      <c r="F251" s="1867">
        <f>+[34]Hoja13!$P$16</f>
        <v>26.86</v>
      </c>
    </row>
    <row r="252" spans="3:8">
      <c r="C252" s="148"/>
      <c r="D252" s="2131" t="str">
        <f>+[34]Hoja13!$G$17</f>
        <v xml:space="preserve">               RELLENO Y COMPACTADO CON MATERIAL PROPIO SIN TRATAR (0.60m x 0.30m x L)</v>
      </c>
      <c r="E252" s="2283" t="str">
        <f>+[34]Hoja13!$H$15</f>
        <v>m3</v>
      </c>
      <c r="F252" s="1867">
        <f>+[34]Hoja13!$P$17</f>
        <v>39.83</v>
      </c>
    </row>
    <row r="253" spans="3:8">
      <c r="C253" s="148"/>
      <c r="D253" s="2131" t="str">
        <f>+[34]Hoja13!$G$17</f>
        <v xml:space="preserve">               RELLENO Y COMPACTADO CON MATERIAL PROPIO SIN TRATAR (0.60m x 0.30m x L)</v>
      </c>
      <c r="E253" s="2283" t="str">
        <f>+[34]Hoja13!$H$15</f>
        <v>m3</v>
      </c>
      <c r="F253" s="1867">
        <f>+[34]Hoja13!$P$18</f>
        <v>0.1399999999999999</v>
      </c>
    </row>
    <row r="254" spans="3:8">
      <c r="C254" s="148"/>
      <c r="D254" s="2131" t="str">
        <f>+[34]Hoja13!$G$19</f>
        <v xml:space="preserve">               ELIMINACIÓN DE MATERIAL EXCEDENTE</v>
      </c>
      <c r="E254" s="2283" t="str">
        <f>+[34]Hoja13!$H$15</f>
        <v>m3</v>
      </c>
      <c r="F254" s="1867">
        <f>+[34]Hoja13!$P$19</f>
        <v>4.8800000000000008</v>
      </c>
    </row>
    <row r="255" spans="3:8">
      <c r="C255" s="148"/>
      <c r="D255" s="2131" t="str">
        <f>+[34]Hoja13!$G$23</f>
        <v xml:space="preserve">               CINTA DE SEÑALIZACIÓN RIESGO ELÉCTRICO ENTERRADA (Según detalle)</v>
      </c>
      <c r="E255" s="2283" t="str">
        <f>+[34]Hoja13!$H$23</f>
        <v>m</v>
      </c>
      <c r="F255" s="1867">
        <f>+[34]Hoja13!$P$23</f>
        <v>10.75</v>
      </c>
    </row>
    <row r="256" spans="3:8">
      <c r="C256" s="148"/>
      <c r="D256" s="2131" t="str">
        <f>+[34]Hoja13!$G$53</f>
        <v xml:space="preserve">         TUBERIA PVC SAP-P Ø 20mm</v>
      </c>
      <c r="E256" s="2283" t="str">
        <f>+[34]Hoja13!$H$53</f>
        <v>m</v>
      </c>
      <c r="F256" s="1867">
        <f>+[34]Hoja13!$P$53</f>
        <v>200</v>
      </c>
    </row>
    <row r="257" spans="3:8">
      <c r="C257" s="148"/>
      <c r="D257" s="2131" t="str">
        <f>+[34]Hoja13!$G$55</f>
        <v xml:space="preserve">         TUBERIA PVC SAP-P Ø 35mm</v>
      </c>
      <c r="E257" s="2283" t="str">
        <f>+[34]Hoja13!$H$53</f>
        <v>m</v>
      </c>
      <c r="F257" s="1867">
        <f>+[34]Hoja13!$P$55</f>
        <v>11.569999999999993</v>
      </c>
    </row>
    <row r="258" spans="3:8">
      <c r="C258" s="148"/>
      <c r="D258" s="2131" t="str">
        <f>+[34]Hoja13!$G$57</f>
        <v xml:space="preserve">         SALIDA DE PUNTOS DE RED DE DATOS CAT 6</v>
      </c>
      <c r="E258" s="2283" t="str">
        <f>+[34]Hoja13!$H$57</f>
        <v>pto</v>
      </c>
      <c r="F258" s="1867">
        <f>+[34]Hoja13!$P$57</f>
        <v>3</v>
      </c>
      <c r="H258" s="2274">
        <f>+[34]Hoja13!$Q$113</f>
        <v>3545.8791000000001</v>
      </c>
    </row>
    <row r="262" spans="3:8">
      <c r="H262" s="2274">
        <f>SUM(H190:H258)</f>
        <v>94305.786777999994</v>
      </c>
    </row>
    <row r="263" spans="3:8">
      <c r="H263" s="2274">
        <f>+'VAL. PRINC'!R839</f>
        <v>15586650.219999999</v>
      </c>
    </row>
    <row r="264" spans="3:8">
      <c r="H264" s="2287">
        <f>+H262/H263</f>
        <v>6.0504204204821117E-3</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8"/>
  <sheetViews>
    <sheetView view="pageBreakPreview" topLeftCell="A4" zoomScaleNormal="100" zoomScaleSheetLayoutView="100" workbookViewId="0">
      <selection activeCell="J19" sqref="J19"/>
    </sheetView>
  </sheetViews>
  <sheetFormatPr baseColWidth="10" defaultRowHeight="12.75"/>
  <sheetData>
    <row r="1" spans="1:8" ht="18">
      <c r="A1" s="3044"/>
      <c r="B1" s="3044"/>
      <c r="C1" s="3044"/>
      <c r="D1" s="3044"/>
      <c r="E1" s="3044"/>
      <c r="F1" s="3044"/>
      <c r="G1" s="3044"/>
      <c r="H1" s="3044"/>
    </row>
    <row r="2" spans="1:8" ht="19.5">
      <c r="A2" s="3045" t="s">
        <v>67</v>
      </c>
      <c r="B2" s="3045"/>
      <c r="C2" s="3045"/>
      <c r="D2" s="3045"/>
      <c r="E2" s="3045"/>
      <c r="F2" s="3045"/>
      <c r="G2" s="3045"/>
      <c r="H2" s="1306"/>
    </row>
    <row r="3" spans="1:8">
      <c r="A3" s="3046" t="s">
        <v>3580</v>
      </c>
      <c r="B3" s="3046"/>
      <c r="C3" s="3046"/>
      <c r="D3" s="3046"/>
      <c r="E3" s="3046"/>
      <c r="F3" s="3046"/>
      <c r="G3" s="3046"/>
      <c r="H3" s="1306"/>
    </row>
    <row r="4" spans="1:8">
      <c r="A4" s="3047" t="s">
        <v>3581</v>
      </c>
      <c r="B4" s="3047"/>
      <c r="C4" s="3047"/>
      <c r="D4" s="3047"/>
      <c r="E4" s="3047"/>
      <c r="F4" s="3047"/>
      <c r="G4" s="3047"/>
      <c r="H4" s="1306"/>
    </row>
    <row r="5" spans="1:8" ht="20.25">
      <c r="A5" s="3048" t="s">
        <v>3582</v>
      </c>
      <c r="B5" s="3048"/>
      <c r="C5" s="3048"/>
      <c r="D5" s="3048"/>
      <c r="E5" s="3048"/>
      <c r="F5" s="3048"/>
      <c r="G5" s="3048"/>
      <c r="H5" s="1307"/>
    </row>
    <row r="6" spans="1:8" ht="20.25">
      <c r="A6" s="3049" t="s">
        <v>4385</v>
      </c>
      <c r="B6" s="3049"/>
      <c r="C6" s="3049"/>
      <c r="D6" s="3049"/>
      <c r="E6" s="3049"/>
      <c r="F6" s="3049"/>
      <c r="G6" s="3049"/>
      <c r="H6" s="1307"/>
    </row>
    <row r="7" spans="1:8">
      <c r="A7" s="1306"/>
      <c r="B7" s="1306"/>
      <c r="C7" s="1306"/>
      <c r="D7" s="1306"/>
      <c r="E7" s="1306"/>
      <c r="F7" s="1306"/>
      <c r="G7" s="1306"/>
      <c r="H7" s="1306"/>
    </row>
    <row r="8" spans="1:8">
      <c r="A8" s="1308">
        <v>4.0999999999999996</v>
      </c>
      <c r="B8" s="3050" t="s">
        <v>3583</v>
      </c>
      <c r="C8" s="3050"/>
      <c r="D8" s="3050"/>
      <c r="E8" s="1309"/>
      <c r="F8" s="1309"/>
      <c r="G8" s="1309"/>
      <c r="H8" s="1310"/>
    </row>
    <row r="9" spans="1:8">
      <c r="A9" s="1308"/>
      <c r="B9" s="1309"/>
      <c r="C9" s="1309"/>
      <c r="D9" s="1309"/>
      <c r="E9" s="1309"/>
      <c r="F9" s="1309"/>
      <c r="G9" s="1309"/>
      <c r="H9" s="1310"/>
    </row>
    <row r="10" spans="1:8" ht="245.85" customHeight="1">
      <c r="A10" s="1309"/>
      <c r="B10" s="3051" t="s">
        <v>3584</v>
      </c>
      <c r="C10" s="3051"/>
      <c r="D10" s="3051"/>
      <c r="E10" s="3051"/>
      <c r="F10" s="3051"/>
      <c r="G10" s="3051"/>
      <c r="H10" s="1310"/>
    </row>
    <row r="11" spans="1:8">
      <c r="A11" s="1308">
        <v>4.2</v>
      </c>
      <c r="B11" s="3050" t="s">
        <v>3585</v>
      </c>
      <c r="C11" s="3050"/>
      <c r="D11" s="3050"/>
      <c r="E11" s="3050"/>
      <c r="F11" s="1311"/>
      <c r="G11" s="1311"/>
      <c r="H11" s="1310"/>
    </row>
    <row r="12" spans="1:8" ht="33.75" customHeight="1">
      <c r="A12" s="1309"/>
      <c r="B12" s="3052" t="s">
        <v>3586</v>
      </c>
      <c r="C12" s="3052"/>
      <c r="D12" s="3052"/>
      <c r="E12" s="3052"/>
      <c r="F12" s="3052"/>
      <c r="G12" s="3052"/>
      <c r="H12" s="1310"/>
    </row>
    <row r="13" spans="1:8">
      <c r="A13" s="1308">
        <v>4.3</v>
      </c>
      <c r="B13" s="1309" t="s">
        <v>3587</v>
      </c>
      <c r="C13" s="1309"/>
      <c r="D13" s="1309"/>
      <c r="E13" s="1311"/>
      <c r="F13" s="1311"/>
      <c r="G13" s="1311"/>
      <c r="H13" s="1310"/>
    </row>
    <row r="14" spans="1:8">
      <c r="A14" s="1308"/>
      <c r="B14" s="1309"/>
      <c r="C14" s="1309"/>
      <c r="D14" s="1309"/>
      <c r="E14" s="1311"/>
      <c r="F14" s="1311"/>
      <c r="G14" s="1311"/>
      <c r="H14" s="1310"/>
    </row>
    <row r="15" spans="1:8" ht="87.75" customHeight="1">
      <c r="A15" s="1309"/>
      <c r="B15" s="3053" t="s">
        <v>3588</v>
      </c>
      <c r="C15" s="3053"/>
      <c r="D15" s="3053"/>
      <c r="E15" s="3053"/>
      <c r="F15" s="3053"/>
      <c r="G15" s="3053"/>
      <c r="H15" s="1310"/>
    </row>
    <row r="16" spans="1:8" ht="26.25" customHeight="1">
      <c r="A16" s="1309"/>
      <c r="B16" s="1311"/>
      <c r="C16" s="1311"/>
      <c r="D16" s="1311"/>
      <c r="E16" s="1311"/>
      <c r="F16" s="1311"/>
      <c r="G16" s="1311"/>
      <c r="H16" s="1310"/>
    </row>
    <row r="17" spans="1:8">
      <c r="A17" s="2528">
        <v>4.4000000000000004</v>
      </c>
      <c r="B17" s="2526" t="s">
        <v>3589</v>
      </c>
      <c r="C17" s="2526"/>
      <c r="D17" s="2527"/>
      <c r="E17" s="2527"/>
      <c r="F17" s="1312"/>
      <c r="G17" s="1312"/>
      <c r="H17" s="1310"/>
    </row>
    <row r="18" spans="1:8">
      <c r="A18" s="1308"/>
      <c r="B18" s="1313"/>
      <c r="C18" s="1313"/>
      <c r="D18" s="1313"/>
      <c r="E18" s="1313"/>
      <c r="F18" s="1313"/>
      <c r="G18" s="1313"/>
      <c r="H18" s="1310"/>
    </row>
    <row r="19" spans="1:8" ht="117" customHeight="1">
      <c r="A19" s="1309"/>
      <c r="B19" s="3043" t="s">
        <v>4418</v>
      </c>
      <c r="C19" s="3043"/>
      <c r="D19" s="3043"/>
      <c r="E19" s="3043"/>
      <c r="F19" s="3043"/>
      <c r="G19" s="3043"/>
      <c r="H19" s="1314"/>
    </row>
    <row r="20" spans="1:8">
      <c r="A20" s="1309"/>
      <c r="B20" s="1315"/>
      <c r="C20" s="1315"/>
      <c r="D20" s="1315"/>
      <c r="E20" s="1315"/>
      <c r="F20" s="1315"/>
      <c r="G20" s="1315"/>
      <c r="H20" s="1314"/>
    </row>
    <row r="21" spans="1:8">
      <c r="A21" s="1309"/>
      <c r="B21" s="1316" t="s">
        <v>4369</v>
      </c>
      <c r="C21" s="1315"/>
      <c r="D21" s="1315"/>
      <c r="E21" s="1315"/>
      <c r="F21" s="1315"/>
      <c r="G21" s="1315"/>
      <c r="H21" s="1314"/>
    </row>
    <row r="22" spans="1:8">
      <c r="A22" s="1309"/>
      <c r="B22" s="1317" t="s">
        <v>3590</v>
      </c>
      <c r="C22" s="3054" t="s">
        <v>3591</v>
      </c>
      <c r="D22" s="3054"/>
      <c r="E22" s="1317" t="s">
        <v>3592</v>
      </c>
      <c r="F22" s="1317" t="s">
        <v>3</v>
      </c>
      <c r="G22" s="1318"/>
      <c r="H22" s="1314"/>
    </row>
    <row r="23" spans="1:8">
      <c r="A23" s="1309"/>
      <c r="B23" s="1319">
        <v>1</v>
      </c>
      <c r="C23" s="3055" t="s">
        <v>3593</v>
      </c>
      <c r="D23" s="3055"/>
      <c r="E23" s="1319" t="s">
        <v>276</v>
      </c>
      <c r="F23" s="2529">
        <v>3236.55</v>
      </c>
      <c r="G23" s="1318"/>
      <c r="H23" s="1314"/>
    </row>
    <row r="24" spans="1:8">
      <c r="A24" s="1309"/>
      <c r="B24" s="1319">
        <v>2</v>
      </c>
      <c r="C24" s="3055" t="s">
        <v>3594</v>
      </c>
      <c r="D24" s="3055"/>
      <c r="E24" s="1319" t="s">
        <v>276</v>
      </c>
      <c r="F24" s="2529">
        <v>4360.32</v>
      </c>
      <c r="G24" s="1318"/>
      <c r="H24" s="1314"/>
    </row>
    <row r="25" spans="1:8" ht="12.75" customHeight="1">
      <c r="A25" s="1309"/>
      <c r="B25" s="1319">
        <v>3</v>
      </c>
      <c r="C25" s="3055" t="s">
        <v>4416</v>
      </c>
      <c r="D25" s="3055"/>
      <c r="E25" s="1319" t="s">
        <v>276</v>
      </c>
      <c r="F25" s="2529">
        <v>1131.9000000000001</v>
      </c>
      <c r="G25" s="1318"/>
      <c r="H25" s="1314"/>
    </row>
    <row r="26" spans="1:8">
      <c r="A26" s="1309"/>
      <c r="B26" s="3056">
        <v>4</v>
      </c>
      <c r="C26" s="3059" t="s">
        <v>3595</v>
      </c>
      <c r="D26" s="3060"/>
      <c r="E26" s="3060"/>
      <c r="F26" s="3061"/>
      <c r="G26" s="1318"/>
      <c r="H26" s="1314"/>
    </row>
    <row r="27" spans="1:8">
      <c r="A27" s="1309"/>
      <c r="B27" s="3057"/>
      <c r="C27" s="3055" t="s">
        <v>4417</v>
      </c>
      <c r="D27" s="3055"/>
      <c r="E27" s="1319" t="s">
        <v>276</v>
      </c>
      <c r="F27" s="2530">
        <v>152.65</v>
      </c>
      <c r="G27" s="1318"/>
      <c r="H27" s="1314"/>
    </row>
    <row r="28" spans="1:8">
      <c r="A28" s="1309"/>
      <c r="B28" s="3058"/>
      <c r="C28" s="3055" t="s">
        <v>3596</v>
      </c>
      <c r="D28" s="3055"/>
      <c r="E28" s="1319" t="s">
        <v>276</v>
      </c>
      <c r="F28" s="2530">
        <v>1194.23</v>
      </c>
      <c r="G28" s="1318"/>
      <c r="H28" s="1314"/>
    </row>
  </sheetData>
  <mergeCells count="20">
    <mergeCell ref="C22:D22"/>
    <mergeCell ref="C23:D23"/>
    <mergeCell ref="C24:D24"/>
    <mergeCell ref="C25:D25"/>
    <mergeCell ref="B26:B28"/>
    <mergeCell ref="C26:F26"/>
    <mergeCell ref="C27:D27"/>
    <mergeCell ref="C28:D28"/>
    <mergeCell ref="B19:G19"/>
    <mergeCell ref="A1:H1"/>
    <mergeCell ref="A2:G2"/>
    <mergeCell ref="A3:G3"/>
    <mergeCell ref="A4:G4"/>
    <mergeCell ref="A5:G5"/>
    <mergeCell ref="A6:G6"/>
    <mergeCell ref="B8:D8"/>
    <mergeCell ref="B10:G10"/>
    <mergeCell ref="B11:E11"/>
    <mergeCell ref="B12:G12"/>
    <mergeCell ref="B15:G15"/>
  </mergeCells>
  <pageMargins left="0.7" right="0.7" top="0.75" bottom="0.75" header="0.3" footer="0.3"/>
  <pageSetup paperSize="9" scale="87"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7"/>
  <sheetViews>
    <sheetView view="pageBreakPreview" zoomScaleNormal="100" zoomScaleSheetLayoutView="100" workbookViewId="0">
      <selection activeCell="I42" sqref="I42"/>
    </sheetView>
  </sheetViews>
  <sheetFormatPr baseColWidth="10" defaultColWidth="11.42578125" defaultRowHeight="15.75"/>
  <cols>
    <col min="1" max="1" width="11.5703125" style="2081" customWidth="1"/>
    <col min="2" max="2" width="49" style="1953" customWidth="1"/>
    <col min="3" max="3" width="16" style="1973" customWidth="1"/>
    <col min="4" max="4" width="15.42578125" style="1953" customWidth="1"/>
    <col min="5" max="5" width="9.140625" style="1953" customWidth="1"/>
    <col min="6" max="6" width="14" style="1958" customWidth="1"/>
    <col min="7" max="7" width="8.5703125" style="1953" customWidth="1"/>
    <col min="8" max="8" width="13.85546875" style="1953" customWidth="1"/>
    <col min="9" max="9" width="9" style="1953" customWidth="1"/>
    <col min="10" max="10" width="13.85546875" style="1953" customWidth="1"/>
    <col min="11" max="11" width="12.28515625" style="1953" customWidth="1"/>
    <col min="12" max="12" width="1.85546875" style="1953" customWidth="1"/>
    <col min="13" max="13" width="10.42578125" style="1953" customWidth="1"/>
    <col min="14" max="14" width="14.140625" style="1953" customWidth="1"/>
    <col min="15" max="15" width="12.85546875" style="1953" customWidth="1"/>
    <col min="16" max="16" width="12.42578125" style="1953" customWidth="1"/>
    <col min="17" max="17" width="11.42578125" style="1953" customWidth="1"/>
    <col min="18" max="18" width="11.42578125" style="2099" customWidth="1"/>
    <col min="19" max="20" width="11.42578125" style="1953" customWidth="1"/>
    <col min="21" max="16384" width="11.42578125" style="1953"/>
  </cols>
  <sheetData>
    <row r="1" spans="1:18">
      <c r="A1" s="3062"/>
      <c r="B1" s="3062"/>
      <c r="C1" s="3062"/>
      <c r="D1" s="3062"/>
      <c r="E1" s="3062"/>
      <c r="F1" s="3062"/>
      <c r="G1" s="3062"/>
      <c r="H1" s="3062"/>
      <c r="I1" s="3062"/>
      <c r="J1" s="3062"/>
      <c r="K1" s="3062"/>
    </row>
    <row r="2" spans="1:18">
      <c r="A2" s="3063" t="s">
        <v>4269</v>
      </c>
      <c r="B2" s="3063"/>
      <c r="C2" s="3063"/>
      <c r="D2" s="3063"/>
      <c r="E2" s="3063"/>
      <c r="F2" s="3063"/>
      <c r="G2" s="3063"/>
      <c r="H2" s="3063"/>
      <c r="I2" s="3063"/>
      <c r="J2" s="3063"/>
      <c r="K2" s="3063"/>
    </row>
    <row r="3" spans="1:18" ht="16.7" customHeight="1">
      <c r="A3" s="3063" t="s">
        <v>4380</v>
      </c>
      <c r="B3" s="3063"/>
      <c r="C3" s="3063"/>
      <c r="D3" s="3063"/>
      <c r="E3" s="3063"/>
      <c r="F3" s="3063"/>
      <c r="G3" s="3063"/>
      <c r="H3" s="3063"/>
      <c r="I3" s="3063"/>
      <c r="J3" s="3063"/>
      <c r="K3" s="3063"/>
    </row>
    <row r="4" spans="1:18" ht="19.5" customHeight="1">
      <c r="A4" s="3064" t="s">
        <v>6</v>
      </c>
      <c r="B4" s="3065" t="s">
        <v>2233</v>
      </c>
      <c r="C4" s="3065"/>
      <c r="D4" s="3065"/>
      <c r="E4" s="3065"/>
      <c r="F4" s="3065"/>
      <c r="G4" s="3065"/>
      <c r="H4" s="3065"/>
      <c r="I4" s="3065"/>
      <c r="J4" s="1954"/>
    </row>
    <row r="5" spans="1:18" ht="16.7" customHeight="1">
      <c r="A5" s="3064"/>
      <c r="B5" s="3065"/>
      <c r="C5" s="3065"/>
      <c r="D5" s="3065"/>
      <c r="E5" s="3065"/>
      <c r="F5" s="3065"/>
      <c r="G5" s="3065"/>
      <c r="H5" s="3065"/>
      <c r="I5" s="3065"/>
      <c r="J5" s="1954"/>
    </row>
    <row r="6" spans="1:18">
      <c r="A6" s="1955" t="s">
        <v>15</v>
      </c>
      <c r="B6" s="1956" t="s">
        <v>4243</v>
      </c>
      <c r="C6" s="1957"/>
      <c r="G6" s="1959"/>
      <c r="J6" s="1954"/>
    </row>
    <row r="7" spans="1:18">
      <c r="A7" s="1955" t="s">
        <v>17</v>
      </c>
      <c r="B7" s="1956" t="s">
        <v>4244</v>
      </c>
      <c r="C7" s="1957"/>
      <c r="D7" s="1957"/>
      <c r="E7" s="2349"/>
      <c r="F7" s="1960"/>
      <c r="G7" s="1959"/>
      <c r="H7" s="1961"/>
      <c r="I7" s="1959"/>
      <c r="J7" s="1959"/>
      <c r="K7" s="1959"/>
    </row>
    <row r="8" spans="1:18" ht="11.45" customHeight="1">
      <c r="A8" s="1962"/>
      <c r="B8" s="1963"/>
      <c r="C8" s="1964"/>
      <c r="D8" s="1965"/>
      <c r="E8" s="1965"/>
      <c r="F8" s="2350"/>
      <c r="G8" s="1965"/>
      <c r="H8" s="1967"/>
      <c r="I8" s="1967"/>
      <c r="J8" s="1967"/>
      <c r="K8" s="1967"/>
    </row>
    <row r="9" spans="1:18">
      <c r="A9" s="1962"/>
      <c r="B9" s="1963"/>
      <c r="C9" s="1964"/>
      <c r="D9" s="1965"/>
      <c r="E9" s="1965"/>
      <c r="F9" s="1966"/>
      <c r="G9" s="1965"/>
      <c r="H9" s="1967"/>
      <c r="I9" s="1967"/>
      <c r="J9" s="1967"/>
      <c r="K9" s="1967"/>
    </row>
    <row r="10" spans="1:18">
      <c r="A10" s="3074" t="s">
        <v>4245</v>
      </c>
      <c r="B10" s="3075" t="s">
        <v>72</v>
      </c>
      <c r="C10" s="3069" t="s">
        <v>23</v>
      </c>
      <c r="D10" s="3071" t="s">
        <v>4246</v>
      </c>
      <c r="E10" s="3071"/>
      <c r="F10" s="3071"/>
      <c r="G10" s="3071"/>
      <c r="H10" s="3071"/>
      <c r="I10" s="3071"/>
      <c r="J10" s="3069" t="s">
        <v>25</v>
      </c>
      <c r="K10" s="3069"/>
    </row>
    <row r="11" spans="1:18">
      <c r="A11" s="3074"/>
      <c r="B11" s="3075"/>
      <c r="C11" s="3069"/>
      <c r="D11" s="3071" t="s">
        <v>26</v>
      </c>
      <c r="E11" s="3071"/>
      <c r="F11" s="3071" t="s">
        <v>27</v>
      </c>
      <c r="G11" s="3071"/>
      <c r="H11" s="3071" t="s">
        <v>28</v>
      </c>
      <c r="I11" s="3071"/>
      <c r="J11" s="3070"/>
      <c r="K11" s="3070"/>
    </row>
    <row r="12" spans="1:18">
      <c r="A12" s="3074"/>
      <c r="B12" s="3075"/>
      <c r="C12" s="3069"/>
      <c r="D12" s="2344" t="s">
        <v>4247</v>
      </c>
      <c r="E12" s="2344" t="s">
        <v>0</v>
      </c>
      <c r="F12" s="2344" t="str">
        <f>+D12</f>
        <v>VALORIZADO</v>
      </c>
      <c r="G12" s="2344" t="s">
        <v>0</v>
      </c>
      <c r="H12" s="2344" t="str">
        <f>+F12</f>
        <v>VALORIZADO</v>
      </c>
      <c r="I12" s="2344" t="s">
        <v>0</v>
      </c>
      <c r="J12" s="2344" t="str">
        <f>+H12</f>
        <v>VALORIZADO</v>
      </c>
      <c r="K12" s="2344" t="s">
        <v>0</v>
      </c>
    </row>
    <row r="13" spans="1:18" ht="15.6" customHeight="1">
      <c r="A13" s="1969">
        <v>1</v>
      </c>
      <c r="B13" s="1970" t="s">
        <v>4248</v>
      </c>
      <c r="C13" s="1971">
        <f>SUM(C14:C20)</f>
        <v>15586650.219999997</v>
      </c>
      <c r="D13" s="1971">
        <f>SUM(D14:D20)</f>
        <v>9829277.6385006309</v>
      </c>
      <c r="E13" s="1972">
        <f t="shared" ref="E13:E21" si="0">+D13/C13</f>
        <v>0.63062155753570459</v>
      </c>
      <c r="F13" s="1971">
        <f>SUM(F14:F20)</f>
        <v>195622.0725984</v>
      </c>
      <c r="G13" s="1972">
        <f>+$F$13/C13</f>
        <v>1.2550616703221306E-2</v>
      </c>
      <c r="H13" s="1971">
        <f>SUM(H14:H20)</f>
        <v>10024899.711099032</v>
      </c>
      <c r="I13" s="1972">
        <f>+H13/C13</f>
        <v>0.64317217423892603</v>
      </c>
      <c r="J13" s="1971">
        <f>SUM(J14:J20)</f>
        <v>5561750.500404086</v>
      </c>
      <c r="K13" s="1972">
        <f>+J13/C13</f>
        <v>0.35682782521593581</v>
      </c>
      <c r="M13" s="1971">
        <f>+'VAL. PRINC'!AA839</f>
        <v>5561750.5067040855</v>
      </c>
      <c r="N13" s="1974">
        <f>+J13+H13</f>
        <v>15586650.211503118</v>
      </c>
      <c r="O13" s="1975">
        <f>+C13-N13</f>
        <v>8.4968786686658859E-3</v>
      </c>
      <c r="P13" s="2093">
        <v>6805604.1507246634</v>
      </c>
      <c r="Q13" s="1974">
        <f>+P13-D13</f>
        <v>-3023673.4877759675</v>
      </c>
      <c r="R13" s="2099">
        <f>+H13+J13-C13</f>
        <v>-8.4968786686658859E-3</v>
      </c>
    </row>
    <row r="14" spans="1:18" ht="15.6" customHeight="1">
      <c r="A14" s="1976"/>
      <c r="B14" s="1977" t="s">
        <v>1131</v>
      </c>
      <c r="C14" s="1978">
        <f>+'VAL. PRINC'!AK27</f>
        <v>665449.8899999999</v>
      </c>
      <c r="D14" s="1978">
        <f>SUM('VAL. PRINC'!T16:T79)</f>
        <v>665449.89089666645</v>
      </c>
      <c r="E14" s="2004">
        <f t="shared" si="0"/>
        <v>1.0000000013474593</v>
      </c>
      <c r="F14" s="1978">
        <f>SUM('VAL. PRINC'!V16:V79)</f>
        <v>0</v>
      </c>
      <c r="G14" s="2004">
        <f t="shared" ref="G14:G21" si="1">+F14/C14</f>
        <v>0</v>
      </c>
      <c r="H14" s="1978">
        <f>SUM('VAL. PRINC'!X16:X79)</f>
        <v>665449.89089666645</v>
      </c>
      <c r="I14" s="1980">
        <f>+H14/C14</f>
        <v>1.0000000013474593</v>
      </c>
      <c r="J14" s="1978">
        <f>SUM('VAL. PRINC'!AA16:AA79)</f>
        <v>0</v>
      </c>
      <c r="K14" s="1981">
        <f>+J14/C14</f>
        <v>0</v>
      </c>
      <c r="L14" s="1974"/>
      <c r="M14" s="1973">
        <f>+D14+F14-H14</f>
        <v>0</v>
      </c>
      <c r="N14" s="1973">
        <f>+J14-M14</f>
        <v>0</v>
      </c>
      <c r="O14" s="1975"/>
      <c r="P14" s="2093">
        <v>322833.54325000005</v>
      </c>
      <c r="Q14" s="1974">
        <f t="shared" ref="Q14:Q42" si="2">+P14-D14</f>
        <v>-342616.3476466664</v>
      </c>
      <c r="R14" s="2099">
        <f>+H14+J14-C14</f>
        <v>8.9666654821485281E-4</v>
      </c>
    </row>
    <row r="15" spans="1:18" ht="15.6" customHeight="1">
      <c r="A15" s="1976"/>
      <c r="B15" s="1977" t="s">
        <v>1153</v>
      </c>
      <c r="C15" s="1978">
        <f>+'VAL. PRINC'!AK28</f>
        <v>9177175.9799999986</v>
      </c>
      <c r="D15" s="1978">
        <f>SUM('VAL. PRINC'!T82:T278)</f>
        <v>6204898.4932047976</v>
      </c>
      <c r="E15" s="2004">
        <f t="shared" si="0"/>
        <v>0.67612286249356623</v>
      </c>
      <c r="F15" s="1978">
        <f>SUM('VAL. PRINC'!V82:V278)</f>
        <v>24768.334398400002</v>
      </c>
      <c r="G15" s="2004">
        <f t="shared" si="1"/>
        <v>2.6989059000697081E-3</v>
      </c>
      <c r="H15" s="1978">
        <f>SUM('VAL. PRINC'!X82:X278)</f>
        <v>6229666.8276031986</v>
      </c>
      <c r="I15" s="1980">
        <f>+H15/C15</f>
        <v>0.67882176839363606</v>
      </c>
      <c r="J15" s="1978">
        <f>SUM('VAL. PRINC'!AA82:AA278)+0.06</f>
        <v>2947509.1487932513</v>
      </c>
      <c r="K15" s="1981">
        <f>+J15/C15</f>
        <v>0.32117823121369976</v>
      </c>
      <c r="M15" s="1973">
        <f t="shared" ref="M15:M41" si="3">+D15+F15-H15</f>
        <v>0</v>
      </c>
      <c r="N15" s="1973">
        <f t="shared" ref="N15:N20" si="4">+J15-M15</f>
        <v>2947509.1487932513</v>
      </c>
      <c r="O15" s="1975"/>
      <c r="P15" s="2093">
        <v>4953015.5347446641</v>
      </c>
      <c r="Q15" s="1974">
        <f t="shared" si="2"/>
        <v>-1251882.9584601335</v>
      </c>
      <c r="R15" s="2099">
        <f>+H15+J15-C15</f>
        <v>-3.6035496741533279E-3</v>
      </c>
    </row>
    <row r="16" spans="1:18" ht="15.6" customHeight="1">
      <c r="A16" s="1976"/>
      <c r="B16" s="1977" t="s">
        <v>1233</v>
      </c>
      <c r="C16" s="1978">
        <f>+'VAL. PRINC'!AK29</f>
        <v>3540445.1499999985</v>
      </c>
      <c r="D16" s="1978">
        <f>SUM('VAL. PRINC'!T281:T440)</f>
        <v>1717717.1346925001</v>
      </c>
      <c r="E16" s="2004">
        <f t="shared" si="0"/>
        <v>0.48516981958963573</v>
      </c>
      <c r="F16" s="1978">
        <f>SUM('VAL. PRINC'!V281:V440)</f>
        <v>63652.694199999991</v>
      </c>
      <c r="G16" s="2004">
        <f t="shared" si="1"/>
        <v>1.7978726262713043E-2</v>
      </c>
      <c r="H16" s="1978">
        <f>SUM('VAL. PRINC'!X281:X440)</f>
        <v>1781369.8288925001</v>
      </c>
      <c r="I16" s="1980">
        <f t="shared" ref="I16:I20" si="5">+H16/C16</f>
        <v>0.50314854585234881</v>
      </c>
      <c r="J16" s="1978">
        <f>SUM('VAL. PRINC'!AA281:AA440)+0.0037</f>
        <v>1759075.3211175005</v>
      </c>
      <c r="K16" s="1981">
        <f t="shared" ref="K16:K20" si="6">+J16/C16</f>
        <v>0.49685145415047632</v>
      </c>
      <c r="M16" s="1973">
        <f t="shared" si="3"/>
        <v>0</v>
      </c>
      <c r="N16" s="1973">
        <f t="shared" si="4"/>
        <v>1759075.3211175005</v>
      </c>
      <c r="O16" s="1975"/>
      <c r="P16" s="2093">
        <v>1196166.16713</v>
      </c>
      <c r="Q16" s="1974">
        <f t="shared" si="2"/>
        <v>-521550.96756250015</v>
      </c>
      <c r="R16" s="2099">
        <f t="shared" ref="R16:R41" si="7">+H16+J16-C16</f>
        <v>1.0002404451370239E-5</v>
      </c>
    </row>
    <row r="17" spans="1:18" ht="15.6" customHeight="1">
      <c r="A17" s="1976"/>
      <c r="B17" s="1977" t="s">
        <v>1326</v>
      </c>
      <c r="C17" s="1978">
        <f>+'VAL. PRINC'!AK30</f>
        <v>702568.79999999981</v>
      </c>
      <c r="D17" s="1978">
        <f>SUM('VAL. PRINC'!T441:T603)</f>
        <v>464397.3392000001</v>
      </c>
      <c r="E17" s="2004">
        <f t="shared" si="0"/>
        <v>0.66099909247322142</v>
      </c>
      <c r="F17" s="1978">
        <f>SUM('VAL. PRINC'!V441:V603)</f>
        <v>92659.544000000024</v>
      </c>
      <c r="G17" s="2004">
        <f t="shared" si="1"/>
        <v>0.13188679030438022</v>
      </c>
      <c r="H17" s="1978">
        <f>SUM('VAL. PRINC'!X441:X603)</f>
        <v>557056.88320000004</v>
      </c>
      <c r="I17" s="1980">
        <f t="shared" si="5"/>
        <v>0.79288588277760153</v>
      </c>
      <c r="J17" s="1978">
        <f>SUM('VAL. PRINC'!AA444:AA603)</f>
        <v>145511.91219999999</v>
      </c>
      <c r="K17" s="1981">
        <f t="shared" si="6"/>
        <v>0.20711411067499727</v>
      </c>
      <c r="M17" s="1973">
        <f t="shared" si="3"/>
        <v>0</v>
      </c>
      <c r="N17" s="1973">
        <f t="shared" si="4"/>
        <v>145511.91219999999</v>
      </c>
      <c r="O17" s="1975"/>
      <c r="P17" s="2093">
        <v>122059.33359999997</v>
      </c>
      <c r="Q17" s="1974">
        <f t="shared" si="2"/>
        <v>-342338.00560000015</v>
      </c>
      <c r="R17" s="2099">
        <f t="shared" si="7"/>
        <v>-4.5999997528269887E-3</v>
      </c>
    </row>
    <row r="18" spans="1:18" ht="15.6" customHeight="1">
      <c r="A18" s="1976"/>
      <c r="B18" s="1977" t="s">
        <v>1382</v>
      </c>
      <c r="C18" s="1978">
        <f>+'VAL. PRINC'!AK31</f>
        <v>1004889.1499999998</v>
      </c>
      <c r="D18" s="1978">
        <f>SUM('VAL. PRINC'!T606:T730)</f>
        <v>532604.58050666668</v>
      </c>
      <c r="E18" s="2004">
        <f t="shared" si="0"/>
        <v>0.53001326614648669</v>
      </c>
      <c r="F18" s="1978">
        <f>SUM('VAL. PRINC'!V606:V730)</f>
        <v>14541.5</v>
      </c>
      <c r="G18" s="2004">
        <f t="shared" si="1"/>
        <v>1.44707503310191E-2</v>
      </c>
      <c r="H18" s="1978">
        <f>SUM('VAL. PRINC'!X606:X730)</f>
        <v>547146.08050666668</v>
      </c>
      <c r="I18" s="1980">
        <f t="shared" si="5"/>
        <v>0.54448401647750577</v>
      </c>
      <c r="J18" s="1978">
        <f>SUM('VAL. PRINC'!AA606:AA730)</f>
        <v>457743.06769333326</v>
      </c>
      <c r="K18" s="1981">
        <f t="shared" si="6"/>
        <v>0.45551598173125202</v>
      </c>
      <c r="M18" s="1973">
        <f t="shared" si="3"/>
        <v>0</v>
      </c>
      <c r="N18" s="1973">
        <f t="shared" si="4"/>
        <v>457743.06769333326</v>
      </c>
      <c r="O18" s="1975"/>
      <c r="P18" s="2093">
        <v>147432.61199999999</v>
      </c>
      <c r="Q18" s="1974">
        <f>+P18-D18</f>
        <v>-385171.96850666672</v>
      </c>
      <c r="R18" s="2099">
        <f t="shared" si="7"/>
        <v>-1.7999998526647687E-3</v>
      </c>
    </row>
    <row r="19" spans="1:18" s="2184" customFormat="1" ht="15.6" customHeight="1">
      <c r="A19" s="1976"/>
      <c r="B19" s="1977" t="s">
        <v>2820</v>
      </c>
      <c r="C19" s="1978">
        <f>+'VAL. PRINC'!AK32</f>
        <v>382815.81000000006</v>
      </c>
      <c r="D19" s="1978">
        <f>SUM('VAL. PRINC'!T731:T834)</f>
        <v>207580.2</v>
      </c>
      <c r="E19" s="1980">
        <f t="shared" si="0"/>
        <v>0.54224562982390923</v>
      </c>
      <c r="F19" s="1978">
        <f>SUM('VAL. PRINC'!V731:V834)</f>
        <v>0</v>
      </c>
      <c r="G19" s="1980">
        <f t="shared" si="1"/>
        <v>0</v>
      </c>
      <c r="H19" s="1978">
        <f>SUM('VAL. PRINC'!X731:X834)</f>
        <v>207580.2</v>
      </c>
      <c r="I19" s="1980">
        <f t="shared" si="5"/>
        <v>0.54224562982390923</v>
      </c>
      <c r="J19" s="1978">
        <f>SUM('VAL. PRINC'!AA736:AA834)+0.02</f>
        <v>175235.61060000004</v>
      </c>
      <c r="K19" s="1981">
        <f t="shared" si="6"/>
        <v>0.45775437174342415</v>
      </c>
      <c r="M19" s="1973">
        <f t="shared" si="3"/>
        <v>0</v>
      </c>
      <c r="N19" s="1973">
        <f t="shared" si="4"/>
        <v>175235.61060000004</v>
      </c>
      <c r="O19" s="2185"/>
      <c r="P19" s="2186">
        <v>27466.960000000003</v>
      </c>
      <c r="Q19" s="2187">
        <f t="shared" si="2"/>
        <v>-180113.24000000002</v>
      </c>
      <c r="R19" s="2188">
        <f t="shared" si="7"/>
        <v>6.0000002849847078E-4</v>
      </c>
    </row>
    <row r="20" spans="1:18" ht="15.6" customHeight="1">
      <c r="A20" s="1976"/>
      <c r="B20" s="1977" t="s">
        <v>3630</v>
      </c>
      <c r="C20" s="1978">
        <f>SUM('VAL. PRINC'!R836:R838)</f>
        <v>113305.44</v>
      </c>
      <c r="D20" s="1978">
        <f>SUM('VAL. PRINC'!T835:T838)</f>
        <v>36630</v>
      </c>
      <c r="E20" s="2004">
        <f t="shared" si="0"/>
        <v>0.32328544860688063</v>
      </c>
      <c r="F20" s="1978">
        <f>SUM('VAL. PRINC'!V835:V838)</f>
        <v>0</v>
      </c>
      <c r="G20" s="2004">
        <f t="shared" si="1"/>
        <v>0</v>
      </c>
      <c r="H20" s="1978">
        <f>SUM('VAL. PRINC'!X835:X838)</f>
        <v>36630</v>
      </c>
      <c r="I20" s="1980">
        <f t="shared" si="5"/>
        <v>0.32328544860688063</v>
      </c>
      <c r="J20" s="1978">
        <f>SUM('VAL. PRINC'!AA836:AA838)</f>
        <v>76675.44</v>
      </c>
      <c r="K20" s="1981">
        <f t="shared" si="6"/>
        <v>0.67671455139311931</v>
      </c>
      <c r="M20" s="1973">
        <f t="shared" si="3"/>
        <v>0</v>
      </c>
      <c r="N20" s="1973">
        <f t="shared" si="4"/>
        <v>76675.44</v>
      </c>
      <c r="O20" s="1975"/>
      <c r="P20" s="2093">
        <v>36630</v>
      </c>
      <c r="Q20" s="1974">
        <f t="shared" si="2"/>
        <v>0</v>
      </c>
      <c r="R20" s="2099">
        <f t="shared" si="7"/>
        <v>0</v>
      </c>
    </row>
    <row r="21" spans="1:18" ht="15.6" customHeight="1">
      <c r="A21" s="1983"/>
      <c r="B21" s="1984" t="s">
        <v>4249</v>
      </c>
      <c r="C21" s="1985">
        <f>+C26+C32+C37+C40+C23</f>
        <v>4845416.3800000008</v>
      </c>
      <c r="D21" s="1985">
        <f>+D26+D32+D37+D40+D23</f>
        <v>4122343.1177190002</v>
      </c>
      <c r="E21" s="1986">
        <f t="shared" si="0"/>
        <v>0.85077169729611546</v>
      </c>
      <c r="F21" s="1985">
        <f>+F26+F32+F37+F40+F23</f>
        <v>93415.056700000001</v>
      </c>
      <c r="G21" s="1986">
        <f t="shared" si="1"/>
        <v>1.9279056612261664E-2</v>
      </c>
      <c r="H21" s="1985">
        <f>+H26+H32+H37+H40+H23</f>
        <v>4215758.1744190007</v>
      </c>
      <c r="I21" s="1986">
        <f>+H21/C21</f>
        <v>0.87005075390837727</v>
      </c>
      <c r="J21" s="1987">
        <f>+C21-H21</f>
        <v>629658.20558100007</v>
      </c>
      <c r="K21" s="1988">
        <f>+J21/C21</f>
        <v>0.12994924609162278</v>
      </c>
      <c r="M21" s="1973">
        <f t="shared" si="3"/>
        <v>0</v>
      </c>
      <c r="N21" s="1982"/>
      <c r="O21" s="1975"/>
      <c r="P21" s="2093">
        <v>1925586.6208940002</v>
      </c>
      <c r="Q21" s="1974">
        <f t="shared" si="2"/>
        <v>-2196756.4968250003</v>
      </c>
      <c r="R21" s="2099">
        <f t="shared" si="7"/>
        <v>0</v>
      </c>
    </row>
    <row r="22" spans="1:18" ht="15.6" customHeight="1">
      <c r="A22" s="1989">
        <v>2</v>
      </c>
      <c r="B22" s="1990" t="s">
        <v>4267</v>
      </c>
      <c r="C22" s="1991"/>
      <c r="D22" s="1992"/>
      <c r="E22" s="1993"/>
      <c r="F22" s="1994"/>
      <c r="G22" s="1993"/>
      <c r="H22" s="1994"/>
      <c r="I22" s="1993"/>
      <c r="J22" s="1994"/>
      <c r="K22" s="1995"/>
      <c r="M22" s="1973">
        <f t="shared" si="3"/>
        <v>0</v>
      </c>
      <c r="N22" s="1982"/>
      <c r="O22" s="1975"/>
      <c r="P22" s="2093"/>
      <c r="Q22" s="1974">
        <f t="shared" si="2"/>
        <v>0</v>
      </c>
      <c r="R22" s="2099">
        <f t="shared" si="7"/>
        <v>0</v>
      </c>
    </row>
    <row r="23" spans="1:18" s="1958" customFormat="1" ht="15.6" customHeight="1">
      <c r="A23" s="1996">
        <v>2.1</v>
      </c>
      <c r="B23" s="1997" t="s">
        <v>4268</v>
      </c>
      <c r="C23" s="1998">
        <f>+'VAL. AMP.2 COVID'!I37</f>
        <v>165006.5</v>
      </c>
      <c r="D23" s="1998">
        <f>+'VAL. AMP.2 COVID'!K37</f>
        <v>165006.5</v>
      </c>
      <c r="E23" s="1999">
        <f>+D23/C23</f>
        <v>1</v>
      </c>
      <c r="F23" s="1998">
        <f>+'VAL. AMP.2 COVID'!M37</f>
        <v>0</v>
      </c>
      <c r="G23" s="1999">
        <f>+F23/C23</f>
        <v>0</v>
      </c>
      <c r="H23" s="1998">
        <f>+'VAL. AMP.2 COVID'!O37</f>
        <v>165006.5</v>
      </c>
      <c r="I23" s="1999">
        <f>+H23/C23</f>
        <v>1</v>
      </c>
      <c r="J23" s="1998">
        <f>+'VAL. AMP.2 COVID'!R37</f>
        <v>0</v>
      </c>
      <c r="K23" s="1999">
        <f>+J23/C23</f>
        <v>0</v>
      </c>
      <c r="M23" s="1973">
        <f t="shared" si="3"/>
        <v>0</v>
      </c>
      <c r="N23" s="2086"/>
      <c r="O23" s="2087"/>
      <c r="P23" s="2094">
        <v>165006.5</v>
      </c>
      <c r="Q23" s="1974">
        <f t="shared" si="2"/>
        <v>0</v>
      </c>
      <c r="R23" s="2099">
        <f t="shared" si="7"/>
        <v>0</v>
      </c>
    </row>
    <row r="24" spans="1:18" s="1958" customFormat="1" ht="15.6" customHeight="1">
      <c r="A24" s="1976"/>
      <c r="B24" s="2082"/>
      <c r="C24" s="2083"/>
      <c r="D24" s="2083"/>
      <c r="E24" s="1979"/>
      <c r="F24" s="2083"/>
      <c r="G24" s="1979"/>
      <c r="H24" s="2083"/>
      <c r="I24" s="1979"/>
      <c r="J24" s="2084"/>
      <c r="K24" s="2085"/>
      <c r="M24" s="1973">
        <f t="shared" si="3"/>
        <v>0</v>
      </c>
      <c r="N24" s="2086"/>
      <c r="O24" s="2087"/>
      <c r="P24" s="2094"/>
      <c r="Q24" s="1974">
        <f t="shared" si="2"/>
        <v>0</v>
      </c>
      <c r="R24" s="2099">
        <f t="shared" si="7"/>
        <v>0</v>
      </c>
    </row>
    <row r="25" spans="1:18" ht="15.6" customHeight="1">
      <c r="A25" s="1989">
        <v>3</v>
      </c>
      <c r="B25" s="1990" t="s">
        <v>4262</v>
      </c>
      <c r="C25" s="1991"/>
      <c r="D25" s="1992"/>
      <c r="E25" s="1993"/>
      <c r="F25" s="1994"/>
      <c r="G25" s="1993"/>
      <c r="H25" s="1994"/>
      <c r="I25" s="1993"/>
      <c r="J25" s="1994"/>
      <c r="K25" s="1995"/>
      <c r="M25" s="1973">
        <f t="shared" si="3"/>
        <v>0</v>
      </c>
      <c r="N25" s="1982"/>
      <c r="O25" s="1975"/>
      <c r="P25" s="2093"/>
      <c r="Q25" s="1974">
        <f t="shared" si="2"/>
        <v>0</v>
      </c>
      <c r="R25" s="2099">
        <f t="shared" si="7"/>
        <v>0</v>
      </c>
    </row>
    <row r="26" spans="1:18" ht="15.6" customHeight="1">
      <c r="A26" s="1996">
        <v>3.1</v>
      </c>
      <c r="B26" s="1997" t="s">
        <v>4250</v>
      </c>
      <c r="C26" s="1998">
        <f>SUM(C27:C29)</f>
        <v>587707.12</v>
      </c>
      <c r="D26" s="1998">
        <f>+D27+D28+D29</f>
        <v>563817.55560000008</v>
      </c>
      <c r="E26" s="1999">
        <f>+D26/C42</f>
        <v>2.7617845028313884E-2</v>
      </c>
      <c r="F26" s="1998">
        <f>+F27+F28+F29</f>
        <v>0</v>
      </c>
      <c r="G26" s="1999">
        <f>+F26/C26</f>
        <v>0</v>
      </c>
      <c r="H26" s="1998">
        <f>+H27+H28+H29</f>
        <v>563817.55560000008</v>
      </c>
      <c r="I26" s="1999">
        <f>+H26/C26</f>
        <v>0.95935124216293333</v>
      </c>
      <c r="J26" s="1998">
        <f>+J27+J28+J29</f>
        <v>23889.564400000025</v>
      </c>
      <c r="K26" s="1999">
        <f>+J26/C26</f>
        <v>4.0648757837066916E-2</v>
      </c>
      <c r="M26" s="1973">
        <f t="shared" si="3"/>
        <v>0</v>
      </c>
      <c r="N26" s="1973">
        <f>+M26-D26</f>
        <v>-563817.55560000008</v>
      </c>
      <c r="O26" s="1975"/>
      <c r="P26" s="2093">
        <v>552702.8456</v>
      </c>
      <c r="Q26" s="1974">
        <f t="shared" si="2"/>
        <v>-11114.710000000079</v>
      </c>
      <c r="R26" s="2099">
        <f t="shared" si="7"/>
        <v>0</v>
      </c>
    </row>
    <row r="27" spans="1:18" ht="15.6" customHeight="1">
      <c r="A27" s="2001"/>
      <c r="B27" s="2002" t="s">
        <v>1131</v>
      </c>
      <c r="C27" s="2003">
        <f>SUM('VAL AMP 3'!I17:I32)</f>
        <v>222650.80000000002</v>
      </c>
      <c r="D27" s="2003">
        <f>SUM('VAL AMP 3'!K17:K32)+0.01</f>
        <v>222650.80160000001</v>
      </c>
      <c r="E27" s="2004">
        <f>+D27/C27</f>
        <v>1.0000000071861408</v>
      </c>
      <c r="F27" s="2003">
        <f>SUM('VAL AMP 3'!M17:M32)</f>
        <v>0</v>
      </c>
      <c r="G27" s="2004">
        <f>+F27/C27</f>
        <v>0</v>
      </c>
      <c r="H27" s="2003">
        <f>SUM('VAL AMP 3'!O17:O32)+0.01</f>
        <v>222650.80160000001</v>
      </c>
      <c r="I27" s="2004">
        <f>+H27/C27</f>
        <v>1.0000000071861408</v>
      </c>
      <c r="J27" s="2348">
        <f>+C27-H27</f>
        <v>-1.5999999886844307E-3</v>
      </c>
      <c r="K27" s="2004">
        <f t="shared" ref="K27:K29" si="8">+J27/C27</f>
        <v>-7.1861407580140318E-9</v>
      </c>
      <c r="M27" s="1973">
        <f t="shared" si="3"/>
        <v>0</v>
      </c>
      <c r="N27" s="1973">
        <f t="shared" ref="N27:N42" si="9">+J27-M27</f>
        <v>-1.5999999886844307E-3</v>
      </c>
      <c r="O27" s="1975"/>
      <c r="P27" s="2093">
        <v>222650.7916</v>
      </c>
      <c r="Q27" s="1974">
        <f t="shared" si="2"/>
        <v>-1.0000000009313226E-2</v>
      </c>
      <c r="R27" s="2099">
        <f>+H27+J27-C27</f>
        <v>0</v>
      </c>
    </row>
    <row r="28" spans="1:18" ht="15.6" customHeight="1">
      <c r="A28" s="2001"/>
      <c r="B28" s="2002" t="s">
        <v>2891</v>
      </c>
      <c r="C28" s="2003">
        <f>SUM('VAL AMP 3'!I35:I50)</f>
        <v>348439.10000000003</v>
      </c>
      <c r="D28" s="2003">
        <f>SUM('VAL AMP 3'!K35:K50)</f>
        <v>326618.57640000002</v>
      </c>
      <c r="E28" s="2004">
        <f>+D28/C28</f>
        <v>0.93737636333006247</v>
      </c>
      <c r="F28" s="2003">
        <f>SUM('VAL AMP 3'!M35:M50)</f>
        <v>0</v>
      </c>
      <c r="G28" s="2004">
        <f>+F28/C28</f>
        <v>0</v>
      </c>
      <c r="H28" s="2003">
        <f>SUM('VAL AMP 3'!O35:O50)</f>
        <v>326618.57640000002</v>
      </c>
      <c r="I28" s="2004">
        <f>+H28/C28</f>
        <v>0.93737636333006247</v>
      </c>
      <c r="J28" s="2348">
        <f t="shared" ref="J28:J29" si="10">+C28-H28</f>
        <v>21820.523600000015</v>
      </c>
      <c r="K28" s="2004">
        <f t="shared" si="8"/>
        <v>6.2623636669937477E-2</v>
      </c>
      <c r="M28" s="1973">
        <f t="shared" si="3"/>
        <v>0</v>
      </c>
      <c r="N28" s="1973">
        <f t="shared" si="9"/>
        <v>21820.523600000015</v>
      </c>
      <c r="O28" s="1975"/>
      <c r="P28" s="2093">
        <v>326618.57640000002</v>
      </c>
      <c r="Q28" s="1974">
        <f t="shared" si="2"/>
        <v>0</v>
      </c>
      <c r="R28" s="2099">
        <f t="shared" si="7"/>
        <v>0</v>
      </c>
    </row>
    <row r="29" spans="1:18" ht="15.6" customHeight="1">
      <c r="A29" s="2001"/>
      <c r="B29" s="2002" t="s">
        <v>1382</v>
      </c>
      <c r="C29" s="2003">
        <f>SUM('VAL AMP 3'!I53:I59)</f>
        <v>16617.22</v>
      </c>
      <c r="D29" s="2003">
        <f>SUM('VAL AMP 3'!K53:K59)</f>
        <v>14548.177600000001</v>
      </c>
      <c r="E29" s="2004">
        <f>+D29/C29</f>
        <v>0.87548805395848406</v>
      </c>
      <c r="F29" s="2003">
        <f>SUM('VAL AMP 3'!M53:M59)</f>
        <v>0</v>
      </c>
      <c r="G29" s="2004">
        <f>+F29/C29</f>
        <v>0</v>
      </c>
      <c r="H29" s="2003">
        <f>SUM('VAL AMP 3'!O53:O59)</f>
        <v>14548.177600000001</v>
      </c>
      <c r="I29" s="2004">
        <f>+H29/C29</f>
        <v>0.87548805395848406</v>
      </c>
      <c r="J29" s="2348">
        <f t="shared" si="10"/>
        <v>2069.0424000000003</v>
      </c>
      <c r="K29" s="2004">
        <f t="shared" si="8"/>
        <v>0.12451194604151598</v>
      </c>
      <c r="M29" s="1973">
        <f t="shared" si="3"/>
        <v>0</v>
      </c>
      <c r="N29" s="1973">
        <f t="shared" si="9"/>
        <v>2069.0424000000003</v>
      </c>
      <c r="O29" s="1975"/>
      <c r="P29" s="2093">
        <v>3433.4776000000002</v>
      </c>
      <c r="Q29" s="1974">
        <f t="shared" si="2"/>
        <v>-11114.7</v>
      </c>
      <c r="R29" s="2099">
        <f t="shared" si="7"/>
        <v>0</v>
      </c>
    </row>
    <row r="30" spans="1:18" ht="15.6" customHeight="1">
      <c r="A30" s="1996">
        <v>3.2</v>
      </c>
      <c r="B30" s="1997" t="s">
        <v>4398</v>
      </c>
      <c r="C30" s="2511">
        <v>-17093.78</v>
      </c>
      <c r="D30" s="2512">
        <v>0</v>
      </c>
      <c r="E30" s="2513">
        <v>0</v>
      </c>
      <c r="F30" s="2512">
        <v>0</v>
      </c>
      <c r="G30" s="2012">
        <f t="shared" ref="G30:G40" si="11">+F30/C30</f>
        <v>0</v>
      </c>
      <c r="H30" s="2013">
        <f>+D30+F30</f>
        <v>0</v>
      </c>
      <c r="I30" s="2012">
        <f t="shared" ref="I30" si="12">+H30/C30</f>
        <v>0</v>
      </c>
      <c r="J30" s="2013">
        <f>+C30-H30</f>
        <v>-17093.78</v>
      </c>
      <c r="K30" s="2012">
        <f>+J30/$C$40</f>
        <v>7.5686099961256754E-3</v>
      </c>
      <c r="M30" s="1973"/>
      <c r="N30" s="1973"/>
      <c r="O30" s="1975"/>
      <c r="P30" s="2093"/>
      <c r="Q30" s="1974"/>
    </row>
    <row r="31" spans="1:18" ht="15.6" customHeight="1">
      <c r="A31" s="1989">
        <v>4</v>
      </c>
      <c r="B31" s="1990" t="s">
        <v>4263</v>
      </c>
      <c r="C31" s="1991"/>
      <c r="D31" s="1991"/>
      <c r="E31" s="1993"/>
      <c r="F31" s="1991"/>
      <c r="G31" s="1993"/>
      <c r="H31" s="1991"/>
      <c r="I31" s="1993"/>
      <c r="J31" s="1994"/>
      <c r="K31" s="1993"/>
      <c r="M31" s="1973">
        <f t="shared" si="3"/>
        <v>0</v>
      </c>
      <c r="N31" s="1973">
        <f t="shared" si="9"/>
        <v>0</v>
      </c>
      <c r="O31" s="1975"/>
      <c r="P31" s="2093"/>
      <c r="Q31" s="1974">
        <f t="shared" si="2"/>
        <v>0</v>
      </c>
      <c r="R31" s="2099">
        <f t="shared" si="7"/>
        <v>0</v>
      </c>
    </row>
    <row r="32" spans="1:18" s="1968" customFormat="1" ht="15.6" customHeight="1">
      <c r="A32" s="1996">
        <v>4.0999999999999996</v>
      </c>
      <c r="B32" s="1997" t="s">
        <v>4251</v>
      </c>
      <c r="C32" s="1998">
        <f>SUM(C33:C36)</f>
        <v>3433797.0500000007</v>
      </c>
      <c r="D32" s="1998">
        <f>SUM(D33:D36)</f>
        <v>2191119.9512813003</v>
      </c>
      <c r="E32" s="1999">
        <f t="shared" ref="E32:E37" si="13">+D32/C32</f>
        <v>0.638104092750997</v>
      </c>
      <c r="F32" s="1998">
        <f>SUM(F33:F36)</f>
        <v>41834.359200000006</v>
      </c>
      <c r="G32" s="1999">
        <f t="shared" si="11"/>
        <v>1.2183119325587398E-2</v>
      </c>
      <c r="H32" s="1998">
        <f>SUM(H33:H36)</f>
        <v>2232954.3104813006</v>
      </c>
      <c r="I32" s="1999">
        <f t="shared" ref="I32:I40" si="14">+H32/C32</f>
        <v>0.65028721207658446</v>
      </c>
      <c r="J32" s="2000">
        <f t="shared" ref="J32:J37" si="15">+C32-H32</f>
        <v>1200842.7395187002</v>
      </c>
      <c r="K32" s="1999">
        <f>+J32/$C$32</f>
        <v>0.34971278792341554</v>
      </c>
      <c r="M32" s="1998">
        <f t="shared" si="3"/>
        <v>0</v>
      </c>
      <c r="N32" s="1973">
        <f t="shared" si="9"/>
        <v>1200842.7395187002</v>
      </c>
      <c r="O32" s="1975"/>
      <c r="P32" s="2093">
        <v>1131099.6684940001</v>
      </c>
      <c r="Q32" s="1974">
        <f t="shared" si="2"/>
        <v>-1060020.2827873002</v>
      </c>
      <c r="R32" s="2099">
        <f t="shared" si="7"/>
        <v>0</v>
      </c>
    </row>
    <row r="33" spans="1:18" ht="15.6" customHeight="1">
      <c r="A33" s="2001"/>
      <c r="B33" s="2002" t="s">
        <v>2891</v>
      </c>
      <c r="C33" s="2003">
        <f>SUM('VAL AMP4 MM'!I17:I89)</f>
        <v>2196577.560000001</v>
      </c>
      <c r="D33" s="2003">
        <f>SUM('VAL AMP4 MM'!K17:K89)</f>
        <v>1923590.8234223004</v>
      </c>
      <c r="E33" s="2004">
        <f t="shared" si="13"/>
        <v>0.87572178576853876</v>
      </c>
      <c r="F33" s="2003">
        <f>SUM('VAL AMP4 MM'!M17:M89)</f>
        <v>1570.7985000000001</v>
      </c>
      <c r="G33" s="2004">
        <f t="shared" si="11"/>
        <v>7.1511178508078699E-4</v>
      </c>
      <c r="H33" s="2003">
        <f>SUM('VAL AMP4 MM'!O17:O89)</f>
        <v>1925161.6219223004</v>
      </c>
      <c r="I33" s="2004">
        <f t="shared" si="14"/>
        <v>0.87643689755361953</v>
      </c>
      <c r="J33" s="2003">
        <f>SUM('VAL AMP4 MM'!R17:R89)+0.04</f>
        <v>271415.94999999995</v>
      </c>
      <c r="K33" s="2004">
        <f t="shared" ref="K33:K39" si="16">+J33/C33</f>
        <v>0.12356310787405105</v>
      </c>
      <c r="M33" s="1998">
        <f t="shared" si="3"/>
        <v>0</v>
      </c>
      <c r="N33" s="1973">
        <f t="shared" si="9"/>
        <v>271415.94999999995</v>
      </c>
      <c r="O33" s="1975"/>
      <c r="P33" s="2093">
        <v>1095401.3892940001</v>
      </c>
      <c r="Q33" s="1974">
        <f t="shared" si="2"/>
        <v>-828189.43412830029</v>
      </c>
      <c r="R33" s="2099">
        <f t="shared" si="7"/>
        <v>1.1922299396246672E-2</v>
      </c>
    </row>
    <row r="34" spans="1:18" ht="15.6" customHeight="1">
      <c r="A34" s="2001"/>
      <c r="B34" s="2005" t="s">
        <v>1233</v>
      </c>
      <c r="C34" s="2003">
        <f>SUM('VAL AMP4 MM'!I92:I150)</f>
        <v>958916.75999999966</v>
      </c>
      <c r="D34" s="2003">
        <f>SUM('VAL AMP4 MM'!K92:K150)</f>
        <v>197660.02125900006</v>
      </c>
      <c r="E34" s="2004">
        <f t="shared" si="13"/>
        <v>0.20612844566300012</v>
      </c>
      <c r="F34" s="2003">
        <f>SUM('VAL AMP4 MM'!M92:M150)</f>
        <v>33153.800700000007</v>
      </c>
      <c r="G34" s="2004">
        <f t="shared" si="11"/>
        <v>3.4574221749967139E-2</v>
      </c>
      <c r="H34" s="2003">
        <f>SUM('VAL AMP4 MM'!O90:O150)</f>
        <v>230813.82195900005</v>
      </c>
      <c r="I34" s="2004">
        <f t="shared" si="14"/>
        <v>0.24070266741296725</v>
      </c>
      <c r="J34" s="2003">
        <f>SUM('VAL AMP4 MM'!R92:R150)+0.01</f>
        <v>728102.97</v>
      </c>
      <c r="K34" s="2004">
        <f t="shared" si="16"/>
        <v>0.75929736591526487</v>
      </c>
      <c r="M34" s="1998">
        <f t="shared" si="3"/>
        <v>0</v>
      </c>
      <c r="N34" s="1973">
        <f t="shared" si="9"/>
        <v>728102.97</v>
      </c>
      <c r="O34" s="1975"/>
      <c r="P34" s="2093">
        <v>35698.279199999997</v>
      </c>
      <c r="Q34" s="1974">
        <f t="shared" si="2"/>
        <v>-161961.74205900007</v>
      </c>
      <c r="R34" s="2099">
        <f t="shared" si="7"/>
        <v>3.1959000392816961E-2</v>
      </c>
    </row>
    <row r="35" spans="1:18" ht="15.6" customHeight="1">
      <c r="A35" s="2001"/>
      <c r="B35" s="2005" t="s">
        <v>1326</v>
      </c>
      <c r="C35" s="2003">
        <f>SUM('VAL AMP4 MM'!I154:I200)</f>
        <v>25445.080000000005</v>
      </c>
      <c r="D35" s="2003">
        <f>SUM('VAL AMP4 MM'!K154:K200)</f>
        <v>12880.649999999998</v>
      </c>
      <c r="E35" s="2004">
        <f t="shared" si="13"/>
        <v>0.50621377492230302</v>
      </c>
      <c r="F35" s="2003">
        <f>SUM('VAL AMP4 MM'!M154:M200)</f>
        <v>7109.76</v>
      </c>
      <c r="G35" s="2004">
        <f t="shared" si="11"/>
        <v>0.27941590279928374</v>
      </c>
      <c r="H35" s="2003">
        <f>SUM('VAL AMP4 MM'!O154:O200)</f>
        <v>19990.41</v>
      </c>
      <c r="I35" s="2004">
        <f t="shared" si="14"/>
        <v>0.78562967772158687</v>
      </c>
      <c r="J35" s="2003">
        <f>SUM('VAL AMP4 MM'!R154:R200)</f>
        <v>5454.67</v>
      </c>
      <c r="K35" s="2004">
        <f t="shared" si="16"/>
        <v>0.21437032227841291</v>
      </c>
      <c r="M35" s="1998">
        <f t="shared" si="3"/>
        <v>0</v>
      </c>
      <c r="N35" s="1973">
        <f t="shared" si="9"/>
        <v>5454.67</v>
      </c>
      <c r="O35" s="1975"/>
      <c r="P35" s="2093">
        <v>0</v>
      </c>
      <c r="Q35" s="1974">
        <f t="shared" si="2"/>
        <v>-12880.649999999998</v>
      </c>
      <c r="R35" s="2099">
        <f t="shared" si="7"/>
        <v>0</v>
      </c>
    </row>
    <row r="36" spans="1:18" ht="15.6" customHeight="1">
      <c r="A36" s="2001"/>
      <c r="B36" s="2002" t="s">
        <v>1382</v>
      </c>
      <c r="C36" s="2003">
        <f>SUM('VAL AMP4 MM'!I203:I257)</f>
        <v>252857.65</v>
      </c>
      <c r="D36" s="2003">
        <f>SUM('VAL AMP4 MM'!K203:K257)</f>
        <v>56988.456599999998</v>
      </c>
      <c r="E36" s="2004">
        <f t="shared" si="13"/>
        <v>0.22537762492058278</v>
      </c>
      <c r="F36" s="2003">
        <f>SUM('VAL AMP4 MM'!M203:M257)</f>
        <v>0</v>
      </c>
      <c r="G36" s="2004">
        <f t="shared" si="11"/>
        <v>0</v>
      </c>
      <c r="H36" s="2003">
        <f>SUM('VAL AMP4 MM'!O203:O257)</f>
        <v>56988.456599999998</v>
      </c>
      <c r="I36" s="2004">
        <f t="shared" si="14"/>
        <v>0.22537762492058278</v>
      </c>
      <c r="J36" s="2003">
        <f>SUM('VAL AMP4 MM'!R203:R257)</f>
        <v>195869.18999999997</v>
      </c>
      <c r="K36" s="2004">
        <f t="shared" si="16"/>
        <v>0.77462236163311637</v>
      </c>
      <c r="M36" s="1998">
        <f t="shared" si="3"/>
        <v>0</v>
      </c>
      <c r="N36" s="1973">
        <f t="shared" si="9"/>
        <v>195869.18999999997</v>
      </c>
      <c r="O36" s="1975"/>
      <c r="P36" s="2093">
        <v>0</v>
      </c>
      <c r="Q36" s="1974">
        <f t="shared" si="2"/>
        <v>-56988.456599999998</v>
      </c>
      <c r="R36" s="2099">
        <f t="shared" si="7"/>
        <v>-3.4000000159721822E-3</v>
      </c>
    </row>
    <row r="37" spans="1:18" s="1968" customFormat="1" ht="15.6" customHeight="1">
      <c r="A37" s="1996">
        <v>4.2</v>
      </c>
      <c r="B37" s="1997" t="s">
        <v>4250</v>
      </c>
      <c r="C37" s="1998">
        <f>SUM(C38:C39)</f>
        <v>2917415.5299999993</v>
      </c>
      <c r="D37" s="1998">
        <f>SUM(D38:D39)</f>
        <v>1202399.1108376998</v>
      </c>
      <c r="E37" s="1999">
        <f t="shared" si="13"/>
        <v>0.41214530411363792</v>
      </c>
      <c r="F37" s="1998">
        <f>SUM(F38:F39)</f>
        <v>51580.697499999995</v>
      </c>
      <c r="G37" s="1999">
        <f t="shared" si="11"/>
        <v>1.7680271106255478E-2</v>
      </c>
      <c r="H37" s="1998">
        <f>SUM(H38:H39)</f>
        <v>1253979.8083376999</v>
      </c>
      <c r="I37" s="1999">
        <f t="shared" si="14"/>
        <v>0.4298255752198934</v>
      </c>
      <c r="J37" s="2000">
        <f t="shared" si="15"/>
        <v>1663435.7216622995</v>
      </c>
      <c r="K37" s="1999">
        <f>+J37/$C$37</f>
        <v>0.5701744247801066</v>
      </c>
      <c r="L37" s="2006"/>
      <c r="M37" s="1998">
        <f t="shared" si="3"/>
        <v>0</v>
      </c>
      <c r="N37" s="1973">
        <f t="shared" si="9"/>
        <v>1663435.7216622995</v>
      </c>
      <c r="O37" s="1975"/>
      <c r="P37" s="2093">
        <v>76777.606800000009</v>
      </c>
      <c r="Q37" s="1974">
        <f t="shared" si="2"/>
        <v>-1125621.5040376999</v>
      </c>
      <c r="R37" s="2099">
        <f t="shared" si="7"/>
        <v>0</v>
      </c>
    </row>
    <row r="38" spans="1:18" s="1968" customFormat="1" ht="15.6" customHeight="1">
      <c r="A38" s="2007"/>
      <c r="B38" s="2002" t="s">
        <v>2891</v>
      </c>
      <c r="C38" s="2003">
        <f>SUM('VAL AMP 4 PN'!I18:I150)</f>
        <v>1385311.6099999994</v>
      </c>
      <c r="D38" s="2003">
        <f>SUM('VAL AMP 4 PN'!K18:K150)</f>
        <v>141439.5932</v>
      </c>
      <c r="E38" s="2008"/>
      <c r="F38" s="2003">
        <f>SUM('VAL AMP 4 PN'!M18:M150)</f>
        <v>0</v>
      </c>
      <c r="G38" s="2004">
        <f t="shared" si="11"/>
        <v>0</v>
      </c>
      <c r="H38" s="2003">
        <f>SUM('VAL AMP 4 PN'!O18:O150)</f>
        <v>141439.5932</v>
      </c>
      <c r="I38" s="2004">
        <f t="shared" si="14"/>
        <v>0.10209947868696492</v>
      </c>
      <c r="J38" s="2003">
        <f>SUM('VAL AMP 4 PN'!R18:R150)</f>
        <v>1243872.02</v>
      </c>
      <c r="K38" s="2004">
        <f t="shared" si="16"/>
        <v>0.89790052362298511</v>
      </c>
      <c r="L38" s="2006"/>
      <c r="M38" s="1998">
        <f t="shared" si="3"/>
        <v>0</v>
      </c>
      <c r="N38" s="1973">
        <f t="shared" si="9"/>
        <v>1243872.02</v>
      </c>
      <c r="O38" s="1975"/>
      <c r="P38" s="2093">
        <v>76777.606800000009</v>
      </c>
      <c r="Q38" s="1974">
        <f t="shared" si="2"/>
        <v>-64661.986399999994</v>
      </c>
      <c r="R38" s="2099">
        <f t="shared" si="7"/>
        <v>3.2000006176531315E-3</v>
      </c>
    </row>
    <row r="39" spans="1:18" s="1968" customFormat="1" ht="15.6" customHeight="1">
      <c r="A39" s="2007"/>
      <c r="B39" s="2005" t="s">
        <v>1233</v>
      </c>
      <c r="C39" s="2003">
        <f>SUM('VAL AMP 4 PN'!I152:I190)</f>
        <v>1532103.92</v>
      </c>
      <c r="D39" s="2003">
        <f>SUM('VAL AMP 4 PN'!K153:K190)</f>
        <v>1060959.5176376998</v>
      </c>
      <c r="E39" s="2004"/>
      <c r="F39" s="2003">
        <f>SUM('VAL AMP 4 PN'!M153:M190)</f>
        <v>51580.697499999995</v>
      </c>
      <c r="G39" s="2004">
        <f t="shared" si="11"/>
        <v>3.3666578896293139E-2</v>
      </c>
      <c r="H39" s="2003">
        <f>SUM('VAL AMP 4 PN'!O151:O190)</f>
        <v>1112540.2151376999</v>
      </c>
      <c r="I39" s="2004">
        <f t="shared" si="14"/>
        <v>0.72615192782595317</v>
      </c>
      <c r="J39" s="2003">
        <f>SUM('VAL AMP 4 PN'!R153:R190)</f>
        <v>419563.68</v>
      </c>
      <c r="K39" s="2004">
        <f t="shared" si="16"/>
        <v>0.2738480559464922</v>
      </c>
      <c r="L39" s="2006"/>
      <c r="M39" s="1998">
        <f t="shared" si="3"/>
        <v>0</v>
      </c>
      <c r="N39" s="1973">
        <f t="shared" si="9"/>
        <v>419563.68</v>
      </c>
      <c r="O39" s="1975"/>
      <c r="P39" s="2093">
        <v>0</v>
      </c>
      <c r="Q39" s="1974">
        <f t="shared" si="2"/>
        <v>-1060959.5176376998</v>
      </c>
      <c r="R39" s="2099">
        <f t="shared" si="7"/>
        <v>-2.4862300138920546E-2</v>
      </c>
    </row>
    <row r="40" spans="1:18" s="1968" customFormat="1" ht="15" customHeight="1">
      <c r="A40" s="2009">
        <v>4.3</v>
      </c>
      <c r="B40" s="2010" t="s">
        <v>4252</v>
      </c>
      <c r="C40" s="2011">
        <v>-2258509.8199999998</v>
      </c>
      <c r="D40" s="2011">
        <f>+'[35]Val(F3-5)DEDUC MP2'!H31</f>
        <v>0</v>
      </c>
      <c r="E40" s="2012">
        <f>+D40/C40</f>
        <v>0</v>
      </c>
      <c r="F40" s="2013">
        <f>+'[35]Val(F3-5)DEDUC MP2'!K31</f>
        <v>0</v>
      </c>
      <c r="G40" s="2012">
        <f t="shared" si="11"/>
        <v>0</v>
      </c>
      <c r="H40" s="2013">
        <f>+D40+F40</f>
        <v>0</v>
      </c>
      <c r="I40" s="2012">
        <f t="shared" si="14"/>
        <v>0</v>
      </c>
      <c r="J40" s="2013">
        <f>+C40-H40</f>
        <v>-2258509.8199999998</v>
      </c>
      <c r="K40" s="2012">
        <f>+J40/$C$40</f>
        <v>1</v>
      </c>
      <c r="M40" s="1998">
        <f t="shared" si="3"/>
        <v>0</v>
      </c>
      <c r="N40" s="1973">
        <f t="shared" si="9"/>
        <v>-2258509.8199999998</v>
      </c>
      <c r="O40" s="1975"/>
      <c r="P40" s="2093">
        <v>0</v>
      </c>
      <c r="Q40" s="1974">
        <f t="shared" si="2"/>
        <v>0</v>
      </c>
      <c r="R40" s="2099">
        <f t="shared" si="7"/>
        <v>0</v>
      </c>
    </row>
    <row r="41" spans="1:18" ht="8.4499999999999993" customHeight="1">
      <c r="A41" s="2014"/>
      <c r="B41" s="2015"/>
      <c r="C41" s="2016"/>
      <c r="D41" s="2016"/>
      <c r="E41" s="2017"/>
      <c r="F41" s="2018"/>
      <c r="G41" s="2017"/>
      <c r="H41" s="2018"/>
      <c r="I41" s="2017"/>
      <c r="J41" s="2018"/>
      <c r="K41" s="2017"/>
      <c r="M41" s="1998">
        <f t="shared" si="3"/>
        <v>0</v>
      </c>
      <c r="N41" s="1973">
        <f t="shared" si="9"/>
        <v>0</v>
      </c>
      <c r="P41" s="2093"/>
      <c r="Q41" s="1974">
        <f t="shared" si="2"/>
        <v>0</v>
      </c>
      <c r="R41" s="2099">
        <f t="shared" si="7"/>
        <v>0</v>
      </c>
    </row>
    <row r="42" spans="1:18">
      <c r="A42" s="3072" t="s">
        <v>4253</v>
      </c>
      <c r="B42" s="3072"/>
      <c r="C42" s="2019">
        <f>+C13+C26+C30+C32+C37+C40+C23</f>
        <v>20414972.82</v>
      </c>
      <c r="D42" s="2019">
        <f>+D13+D26+D30+D32+D37+D40+D23</f>
        <v>13951620.756219631</v>
      </c>
      <c r="E42" s="2020">
        <f>+D42/C42</f>
        <v>0.68340138775749937</v>
      </c>
      <c r="F42" s="2019">
        <f>+F13+F26+F30+F32+F37+F40+F23</f>
        <v>289037.12929840002</v>
      </c>
      <c r="G42" s="2020">
        <f>+F42/C42</f>
        <v>1.4158095229754022E-2</v>
      </c>
      <c r="H42" s="2019">
        <f>+H13+H30+H26+H32+H37+H40+H23</f>
        <v>14240657.885518033</v>
      </c>
      <c r="I42" s="2020">
        <f>+H42/C42</f>
        <v>0.69755948298725357</v>
      </c>
      <c r="J42" s="2019">
        <f>+J13+J26+J32+J30+J37+J40+0.01</f>
        <v>6174314.9359850846</v>
      </c>
      <c r="K42" s="2020">
        <f>+J42/C42</f>
        <v>0.30244051708637465</v>
      </c>
      <c r="L42" s="1974"/>
      <c r="M42" s="1998">
        <f>+D42+F42-H42</f>
        <v>0</v>
      </c>
      <c r="N42" s="1973">
        <f t="shared" si="9"/>
        <v>6174314.9359850846</v>
      </c>
      <c r="O42" s="1975"/>
      <c r="P42" s="2095">
        <v>8731190.7716186605</v>
      </c>
      <c r="Q42" s="1974">
        <f t="shared" si="2"/>
        <v>-5220429.9846009705</v>
      </c>
      <c r="R42" s="2099">
        <f>+H42+J42-C42</f>
        <v>1.5031173825263977E-3</v>
      </c>
    </row>
    <row r="43" spans="1:18">
      <c r="A43" s="2021"/>
      <c r="B43" s="2022"/>
      <c r="C43" s="2023"/>
      <c r="D43" s="2024"/>
      <c r="E43" s="2024"/>
      <c r="F43" s="2024"/>
      <c r="G43" s="2025"/>
      <c r="H43" s="2024"/>
      <c r="I43" s="2025"/>
      <c r="J43" s="2024"/>
      <c r="K43" s="2025"/>
      <c r="M43" s="1974"/>
      <c r="N43" s="1973">
        <f>+C42-N42</f>
        <v>14240657.884014916</v>
      </c>
      <c r="O43" s="1975"/>
      <c r="R43" s="2099">
        <f>20.18-20.64</f>
        <v>-0.46000000000000085</v>
      </c>
    </row>
    <row r="44" spans="1:18" ht="19.350000000000001" hidden="1" customHeight="1">
      <c r="A44" s="3073" t="s">
        <v>4254</v>
      </c>
      <c r="B44" s="3073"/>
      <c r="C44" s="2026">
        <f>SUM(C45:C54)</f>
        <v>5594400.9700000007</v>
      </c>
      <c r="D44" s="2027">
        <f>SUM(D45:D54)</f>
        <v>2259810.2899510004</v>
      </c>
      <c r="E44" s="2028">
        <f>+D44/C44</f>
        <v>0.40394142323177096</v>
      </c>
      <c r="F44" s="2027">
        <f>SUM(F45:F54)</f>
        <v>82207.815900000001</v>
      </c>
      <c r="G44" s="2028">
        <f>+F44/C44</f>
        <v>1.4694659238914009E-2</v>
      </c>
      <c r="H44" s="2027">
        <f>SUM(H45:H54)</f>
        <v>2324294.2558510001</v>
      </c>
      <c r="I44" s="2028">
        <f>+H44/C44</f>
        <v>0.41546794166436013</v>
      </c>
      <c r="J44" s="2027">
        <f>SUM(J45:J54)</f>
        <v>3270106.7141489997</v>
      </c>
      <c r="K44" s="2029">
        <f>+J44/C44</f>
        <v>0.5845320583356397</v>
      </c>
      <c r="L44" s="1974"/>
      <c r="M44" s="1974"/>
      <c r="N44" s="1973">
        <f>+D42+F42</f>
        <v>14240657.885518031</v>
      </c>
      <c r="O44" s="1974"/>
    </row>
    <row r="45" spans="1:18" ht="15.6" hidden="1" customHeight="1">
      <c r="A45" s="2030"/>
      <c r="B45" s="2031" t="s">
        <v>2823</v>
      </c>
      <c r="C45" s="2032">
        <v>281600</v>
      </c>
      <c r="D45" s="2033">
        <f>+'[36]VAL. PRINC'!R840</f>
        <v>0</v>
      </c>
      <c r="E45" s="2034">
        <f>+D45/C45</f>
        <v>0</v>
      </c>
      <c r="F45" s="2035">
        <f>+'[36]VAL. PRINC'!T840</f>
        <v>0</v>
      </c>
      <c r="G45" s="2034">
        <f>+F45/C45</f>
        <v>0</v>
      </c>
      <c r="H45" s="2036">
        <f>+'[36]VAL. PRINC'!V840</f>
        <v>0</v>
      </c>
      <c r="I45" s="2037">
        <f>+H45/C45</f>
        <v>0</v>
      </c>
      <c r="J45" s="2036">
        <f>+C45-H45</f>
        <v>281600</v>
      </c>
      <c r="K45" s="2034">
        <f>+J45/C45</f>
        <v>1</v>
      </c>
      <c r="L45" s="1974"/>
      <c r="M45" s="1974">
        <f>+J45+H45</f>
        <v>281600</v>
      </c>
      <c r="N45" s="2038">
        <f>+M45+M57+M60+M67</f>
        <v>592269.29378381593</v>
      </c>
      <c r="O45" s="1974"/>
    </row>
    <row r="46" spans="1:18" ht="15.6" hidden="1" customHeight="1">
      <c r="A46" s="2007"/>
      <c r="B46" s="2039" t="s">
        <v>2824</v>
      </c>
      <c r="C46" s="2040">
        <v>633159.44999999995</v>
      </c>
      <c r="D46" s="2033">
        <f>+'[36]VAL. PRINC'!R841</f>
        <v>633159.44999999995</v>
      </c>
      <c r="E46" s="2034">
        <f t="shared" ref="E46:E54" si="17">+D46/C46</f>
        <v>1</v>
      </c>
      <c r="F46" s="2035">
        <f>+'[36]VAL. PRINC'!T841</f>
        <v>0</v>
      </c>
      <c r="G46" s="2034">
        <f t="shared" ref="G46:G54" si="18">+F46/C46</f>
        <v>0</v>
      </c>
      <c r="H46" s="2036">
        <f>+'[36]VAL. PRINC'!V841</f>
        <v>633159.44999999995</v>
      </c>
      <c r="I46" s="2037">
        <f t="shared" ref="I46:I54" si="19">+H46/C46</f>
        <v>1</v>
      </c>
      <c r="J46" s="2036">
        <f t="shared" ref="J46:J54" si="20">+C46-H46</f>
        <v>0</v>
      </c>
      <c r="K46" s="2034">
        <f t="shared" ref="K46:K54" si="21">+J46/C46</f>
        <v>0</v>
      </c>
      <c r="M46" s="1974">
        <f t="shared" ref="M46:M54" si="22">+J46+H46</f>
        <v>633159.44999999995</v>
      </c>
      <c r="N46" s="1974">
        <f>+M50+M58+M68</f>
        <v>144639.03</v>
      </c>
      <c r="O46" s="1975"/>
    </row>
    <row r="47" spans="1:18" ht="15.6" hidden="1" customHeight="1">
      <c r="A47" s="2007"/>
      <c r="B47" s="2039" t="s">
        <v>256</v>
      </c>
      <c r="C47" s="2040">
        <v>1537902.87</v>
      </c>
      <c r="D47" s="2033">
        <f>+'[36]VAL. PRINC'!R842</f>
        <v>1089912.4699510001</v>
      </c>
      <c r="E47" s="2034">
        <f t="shared" si="17"/>
        <v>0.70870045905499868</v>
      </c>
      <c r="F47" s="2035">
        <f>+'[36]VAL. PRINC'!T842</f>
        <v>65284.065900000001</v>
      </c>
      <c r="G47" s="2034">
        <f t="shared" si="18"/>
        <v>4.2450057915556137E-2</v>
      </c>
      <c r="H47" s="2036">
        <f>+'[36]VAL. PRINC'!V842</f>
        <v>1155196.5358510001</v>
      </c>
      <c r="I47" s="2037">
        <f t="shared" si="19"/>
        <v>0.7511505169705549</v>
      </c>
      <c r="J47" s="2036">
        <f t="shared" si="20"/>
        <v>382706.334149</v>
      </c>
      <c r="K47" s="2034">
        <f t="shared" si="21"/>
        <v>0.24884948302944515</v>
      </c>
      <c r="M47" s="1974">
        <f t="shared" si="22"/>
        <v>1537902.87</v>
      </c>
      <c r="N47" s="1974">
        <f>+M49</f>
        <v>486143.77</v>
      </c>
      <c r="O47" s="1975"/>
    </row>
    <row r="48" spans="1:18" ht="15.6" hidden="1" customHeight="1">
      <c r="A48" s="2007"/>
      <c r="B48" s="2039" t="s">
        <v>360</v>
      </c>
      <c r="C48" s="2040">
        <v>134176.26999999999</v>
      </c>
      <c r="D48" s="2033">
        <f>+'[36]VAL. PRINC'!R843</f>
        <v>134406.38</v>
      </c>
      <c r="E48" s="2034">
        <f t="shared" si="17"/>
        <v>1.0017149828356386</v>
      </c>
      <c r="F48" s="2035">
        <f>+'[36]VAL. PRINC'!T843</f>
        <v>0</v>
      </c>
      <c r="G48" s="2034">
        <f t="shared" si="18"/>
        <v>0</v>
      </c>
      <c r="H48" s="2036">
        <f>+'[36]VAL. PRINC'!V843</f>
        <v>134406.38</v>
      </c>
      <c r="I48" s="2037">
        <f t="shared" si="19"/>
        <v>1.0017149828356386</v>
      </c>
      <c r="J48" s="2036">
        <f t="shared" si="20"/>
        <v>-230.11000000001513</v>
      </c>
      <c r="K48" s="2034">
        <f t="shared" si="21"/>
        <v>-1.7149828356386352E-3</v>
      </c>
      <c r="M48" s="1974">
        <f t="shared" si="22"/>
        <v>134176.26999999999</v>
      </c>
      <c r="N48" s="1974">
        <f>+M47</f>
        <v>1537902.87</v>
      </c>
      <c r="O48" s="2041"/>
    </row>
    <row r="49" spans="1:15" ht="15.6" hidden="1" customHeight="1">
      <c r="A49" s="2007"/>
      <c r="B49" s="2039" t="s">
        <v>1816</v>
      </c>
      <c r="C49" s="2040">
        <v>486143.77</v>
      </c>
      <c r="D49" s="2033">
        <f>+'[36]VAL. PRINC'!R844</f>
        <v>199392.45000000004</v>
      </c>
      <c r="E49" s="2034">
        <f t="shared" si="17"/>
        <v>0.41015119868758171</v>
      </c>
      <c r="F49" s="2035">
        <f>+'[36]VAL. PRINC'!T844</f>
        <v>15370</v>
      </c>
      <c r="G49" s="2034">
        <f t="shared" si="18"/>
        <v>3.1616161614083829E-2</v>
      </c>
      <c r="H49" s="2036">
        <f>+'[36]VAL. PRINC'!V844</f>
        <v>214762.45000000004</v>
      </c>
      <c r="I49" s="2037">
        <f t="shared" si="19"/>
        <v>0.44176736030166558</v>
      </c>
      <c r="J49" s="2036">
        <f t="shared" si="20"/>
        <v>271381.31999999995</v>
      </c>
      <c r="K49" s="2034">
        <f t="shared" si="21"/>
        <v>0.55823263969833437</v>
      </c>
      <c r="M49" s="1974">
        <f t="shared" si="22"/>
        <v>486143.77</v>
      </c>
      <c r="N49" s="1974">
        <f>+M46</f>
        <v>633159.44999999995</v>
      </c>
      <c r="O49" s="1975"/>
    </row>
    <row r="50" spans="1:15" ht="15.6" hidden="1" customHeight="1">
      <c r="A50" s="2007"/>
      <c r="B50" s="2039" t="s">
        <v>255</v>
      </c>
      <c r="C50" s="2040">
        <v>95831.08</v>
      </c>
      <c r="D50" s="2033">
        <f>+'[36]VAL. PRINC'!R845</f>
        <v>0</v>
      </c>
      <c r="E50" s="2034">
        <f t="shared" si="17"/>
        <v>0</v>
      </c>
      <c r="F50" s="2035">
        <f>+'[36]VAL. PRINC'!T845</f>
        <v>0</v>
      </c>
      <c r="G50" s="2034">
        <f t="shared" si="18"/>
        <v>0</v>
      </c>
      <c r="H50" s="2036">
        <f>+'[36]VAL. PRINC'!V845</f>
        <v>0</v>
      </c>
      <c r="I50" s="2037">
        <f t="shared" si="19"/>
        <v>0</v>
      </c>
      <c r="J50" s="2036">
        <f t="shared" si="20"/>
        <v>95831.08</v>
      </c>
      <c r="K50" s="2034">
        <f t="shared" si="21"/>
        <v>1</v>
      </c>
      <c r="M50" s="1974">
        <f t="shared" si="22"/>
        <v>95831.08</v>
      </c>
      <c r="N50" s="1974">
        <f>+M48</f>
        <v>134176.26999999999</v>
      </c>
      <c r="O50" s="1975"/>
    </row>
    <row r="51" spans="1:15" ht="15.6" hidden="1" customHeight="1">
      <c r="A51" s="2007"/>
      <c r="B51" s="2039" t="s">
        <v>60</v>
      </c>
      <c r="C51" s="2040">
        <v>185215.69</v>
      </c>
      <c r="D51" s="2033">
        <f>+'[36]VAL. PRINC'!R846</f>
        <v>185215.69</v>
      </c>
      <c r="E51" s="2034">
        <f t="shared" si="17"/>
        <v>1</v>
      </c>
      <c r="F51" s="2035">
        <f>+'[36]VAL. PRINC'!T846</f>
        <v>0</v>
      </c>
      <c r="G51" s="2034">
        <f t="shared" si="18"/>
        <v>0</v>
      </c>
      <c r="H51" s="2036">
        <f>+'[36]VAL. PRINC'!V846</f>
        <v>185215.69</v>
      </c>
      <c r="I51" s="2037">
        <f t="shared" si="19"/>
        <v>1</v>
      </c>
      <c r="J51" s="2036">
        <f t="shared" si="20"/>
        <v>0</v>
      </c>
      <c r="K51" s="2034">
        <f t="shared" si="21"/>
        <v>0</v>
      </c>
      <c r="M51" s="1974">
        <f t="shared" si="22"/>
        <v>185215.69</v>
      </c>
      <c r="N51" s="1974" t="e">
        <f>+M51+#REF!</f>
        <v>#REF!</v>
      </c>
      <c r="O51" s="1975"/>
    </row>
    <row r="52" spans="1:15" ht="15.6" hidden="1" customHeight="1">
      <c r="A52" s="2007"/>
      <c r="B52" s="2039" t="s">
        <v>2825</v>
      </c>
      <c r="C52" s="2040">
        <v>1946691</v>
      </c>
      <c r="D52" s="2042">
        <f>+'[36]VAL. PRINC'!R849</f>
        <v>0</v>
      </c>
      <c r="E52" s="2034">
        <f t="shared" si="17"/>
        <v>0</v>
      </c>
      <c r="F52" s="2035">
        <f>+'[36]VAL. PRINC'!T849</f>
        <v>0</v>
      </c>
      <c r="G52" s="2034">
        <f t="shared" si="18"/>
        <v>0</v>
      </c>
      <c r="H52" s="2043">
        <f>+'[36]VAL. PRINC'!T849</f>
        <v>0</v>
      </c>
      <c r="I52" s="2037">
        <f t="shared" si="19"/>
        <v>0</v>
      </c>
      <c r="J52" s="2036">
        <f t="shared" si="20"/>
        <v>1946691</v>
      </c>
      <c r="K52" s="2034">
        <f t="shared" si="21"/>
        <v>1</v>
      </c>
      <c r="M52" s="1974"/>
      <c r="N52" s="1974"/>
      <c r="O52" s="1975"/>
    </row>
    <row r="53" spans="1:15" ht="15.6" hidden="1" customHeight="1">
      <c r="A53" s="2007"/>
      <c r="B53" s="2044" t="s">
        <v>1814</v>
      </c>
      <c r="C53" s="2040">
        <v>203328.92</v>
      </c>
      <c r="D53" s="2042">
        <f>+'[36]VAL. PRINC'!R850</f>
        <v>0</v>
      </c>
      <c r="E53" s="2034">
        <f t="shared" si="17"/>
        <v>0</v>
      </c>
      <c r="F53" s="2035">
        <f>+'[36]VAL. PRINC'!T850</f>
        <v>0</v>
      </c>
      <c r="G53" s="2034">
        <f t="shared" si="18"/>
        <v>0</v>
      </c>
      <c r="H53" s="2043">
        <f>+'[36]VAL. PRINC'!T850</f>
        <v>0</v>
      </c>
      <c r="I53" s="2037">
        <f t="shared" si="19"/>
        <v>0</v>
      </c>
      <c r="J53" s="2036">
        <f t="shared" si="20"/>
        <v>203328.92</v>
      </c>
      <c r="K53" s="2034">
        <f t="shared" si="21"/>
        <v>1</v>
      </c>
      <c r="M53" s="1974">
        <f t="shared" si="22"/>
        <v>203328.92</v>
      </c>
      <c r="N53" s="1974">
        <f>+M54</f>
        <v>90351.92</v>
      </c>
      <c r="O53" s="1975"/>
    </row>
    <row r="54" spans="1:15" ht="15.6" hidden="1" customHeight="1">
      <c r="A54" s="2045"/>
      <c r="B54" s="2046" t="s">
        <v>1811</v>
      </c>
      <c r="C54" s="2047">
        <v>90351.92</v>
      </c>
      <c r="D54" s="2042">
        <f>+'[36]VAL. PRINC'!R851</f>
        <v>17723.849999999999</v>
      </c>
      <c r="E54" s="2034">
        <f t="shared" si="17"/>
        <v>0.19616461941262564</v>
      </c>
      <c r="F54" s="2035">
        <f>+'[36]VAL. PRINC'!T851</f>
        <v>1553.75</v>
      </c>
      <c r="G54" s="2034">
        <f t="shared" si="18"/>
        <v>1.7196646180844856E-2</v>
      </c>
      <c r="H54" s="2043">
        <f>+'[36]VAL. PRINC'!T851</f>
        <v>1553.75</v>
      </c>
      <c r="I54" s="2037">
        <f t="shared" si="19"/>
        <v>1.7196646180844856E-2</v>
      </c>
      <c r="J54" s="2036">
        <f t="shared" si="20"/>
        <v>88798.17</v>
      </c>
      <c r="K54" s="2034">
        <f t="shared" si="21"/>
        <v>0.98280335381915518</v>
      </c>
      <c r="M54" s="1974">
        <f t="shared" si="22"/>
        <v>90351.92</v>
      </c>
      <c r="N54" s="1974" t="e">
        <f>+M53+#REF!</f>
        <v>#REF!</v>
      </c>
      <c r="O54" s="1975"/>
    </row>
    <row r="55" spans="1:15" ht="15.6" hidden="1" customHeight="1">
      <c r="A55" s="3066" t="s">
        <v>4255</v>
      </c>
      <c r="B55" s="3066"/>
      <c r="C55" s="2048">
        <f>+C56+C59+C66</f>
        <v>359477.24378381588</v>
      </c>
      <c r="D55" s="2048">
        <f>+D56+D59+D66</f>
        <v>58567.01596963816</v>
      </c>
      <c r="E55" s="2028">
        <f>+D55/C55</f>
        <v>0.16292273567352561</v>
      </c>
      <c r="F55" s="2048">
        <f>+F56+F59+F66</f>
        <v>0</v>
      </c>
      <c r="G55" s="2028">
        <f>+F55/C55</f>
        <v>0</v>
      </c>
      <c r="H55" s="2048">
        <f>+H56+H59+H66</f>
        <v>58567.01596963816</v>
      </c>
      <c r="I55" s="2028">
        <f>+H55/C55</f>
        <v>0.16292273567352561</v>
      </c>
      <c r="J55" s="2048">
        <f>+J56+J59+J66</f>
        <v>300910.22781417769</v>
      </c>
      <c r="K55" s="2029">
        <f>+J55/C55</f>
        <v>0.83707726432647434</v>
      </c>
      <c r="N55" s="1973" t="e">
        <f>SUM(N45:N54)</f>
        <v>#REF!</v>
      </c>
      <c r="O55" s="2041"/>
    </row>
    <row r="56" spans="1:15" ht="15.6" hidden="1" customHeight="1">
      <c r="A56" s="2049"/>
      <c r="B56" s="2050" t="s">
        <v>4256</v>
      </c>
      <c r="C56" s="2051">
        <f>SUM(C57:C58)</f>
        <v>60115.31</v>
      </c>
      <c r="D56" s="2051">
        <f>SUM(D57:D58)</f>
        <v>55029.742846971581</v>
      </c>
      <c r="E56" s="2052"/>
      <c r="F56" s="2051">
        <f>SUM(F57:F58)</f>
        <v>0</v>
      </c>
      <c r="G56" s="2053"/>
      <c r="H56" s="2051">
        <f t="shared" ref="H56:H68" si="23">+F56+D56</f>
        <v>55029.742846971581</v>
      </c>
      <c r="I56" s="2053"/>
      <c r="J56" s="2051">
        <f>SUM(J57:J58)</f>
        <v>5085.5671530284235</v>
      </c>
      <c r="K56" s="2053"/>
      <c r="N56" s="1974" t="e">
        <f>+N55+C42</f>
        <v>#REF!</v>
      </c>
      <c r="O56" s="1975"/>
    </row>
    <row r="57" spans="1:15" ht="15.6" hidden="1" customHeight="1">
      <c r="A57" s="2007"/>
      <c r="B57" s="2044" t="s">
        <v>256</v>
      </c>
      <c r="C57" s="2041">
        <f>+'[36]VALORIZ. 3'!G61</f>
        <v>45201.65</v>
      </c>
      <c r="D57" s="2042">
        <f>+'[36]VALORIZ. 3'!I61</f>
        <v>41377.731825034469</v>
      </c>
      <c r="E57" s="2054">
        <f>+D57/C57</f>
        <v>0.91540312853699957</v>
      </c>
      <c r="F57" s="2042">
        <f>+'[36]VALORIZ. 3'!K61</f>
        <v>0</v>
      </c>
      <c r="G57" s="2054">
        <f>+F57/C57</f>
        <v>0</v>
      </c>
      <c r="H57" s="2043">
        <f t="shared" si="23"/>
        <v>41377.731825034469</v>
      </c>
      <c r="I57" s="2054">
        <f>+H57/C57</f>
        <v>0.91540312853699957</v>
      </c>
      <c r="J57" s="2043">
        <f>+C57-H57</f>
        <v>3823.9181749655327</v>
      </c>
      <c r="K57" s="1981">
        <f>+J57/C57</f>
        <v>8.4596871463000406E-2</v>
      </c>
      <c r="M57" s="1974">
        <f t="shared" ref="M57:M58" si="24">+J57+H57</f>
        <v>45201.65</v>
      </c>
      <c r="O57" s="1975"/>
    </row>
    <row r="58" spans="1:15" ht="15.6" hidden="1" customHeight="1">
      <c r="A58" s="2007"/>
      <c r="B58" s="2044" t="s">
        <v>1816</v>
      </c>
      <c r="C58" s="2041">
        <f>+'[36]VALORIZ. 3'!G62</f>
        <v>14913.66</v>
      </c>
      <c r="D58" s="2042">
        <f>+'[36]VALORIZ. 3'!I62</f>
        <v>13652.011021937109</v>
      </c>
      <c r="E58" s="2054">
        <f>+D58/C58</f>
        <v>0.91540312853699957</v>
      </c>
      <c r="F58" s="2042">
        <f>+'[36]VALORIZ. 3'!K62</f>
        <v>0</v>
      </c>
      <c r="G58" s="2054">
        <f>+F58/C58</f>
        <v>0</v>
      </c>
      <c r="H58" s="2043">
        <f t="shared" si="23"/>
        <v>13652.011021937109</v>
      </c>
      <c r="I58" s="2054">
        <f>+H58/C58</f>
        <v>0.91540312853699957</v>
      </c>
      <c r="J58" s="2043">
        <f t="shared" ref="J58" si="25">+C58-H58</f>
        <v>1261.6489780628908</v>
      </c>
      <c r="K58" s="1981">
        <f>+J58/C58</f>
        <v>8.459687146300042E-2</v>
      </c>
      <c r="M58" s="1974">
        <f t="shared" si="24"/>
        <v>14913.66</v>
      </c>
      <c r="O58" s="1975"/>
    </row>
    <row r="59" spans="1:15" ht="15.6" hidden="1" customHeight="1">
      <c r="A59" s="2007"/>
      <c r="B59" s="2050" t="s">
        <v>4257</v>
      </c>
      <c r="C59" s="2055">
        <f>+C60</f>
        <v>179125.35378381587</v>
      </c>
      <c r="D59" s="2055">
        <f>+D60</f>
        <v>3537.2731226665815</v>
      </c>
      <c r="E59" s="2056"/>
      <c r="F59" s="2055">
        <f>+F60</f>
        <v>0</v>
      </c>
      <c r="G59" s="2057"/>
      <c r="H59" s="2055">
        <f>+H60</f>
        <v>3537.2731226665815</v>
      </c>
      <c r="I59" s="2057"/>
      <c r="J59" s="2055">
        <f>+J60</f>
        <v>175588.08066114929</v>
      </c>
      <c r="K59" s="2057"/>
      <c r="O59" s="2041"/>
    </row>
    <row r="60" spans="1:15" ht="15.6" hidden="1" customHeight="1">
      <c r="A60" s="2007"/>
      <c r="B60" s="2058" t="s">
        <v>4258</v>
      </c>
      <c r="C60" s="2059">
        <f>SUM(C61:C63)</f>
        <v>179125.35378381587</v>
      </c>
      <c r="D60" s="2060">
        <f>SUM(D61:D63)</f>
        <v>3537.2731226665815</v>
      </c>
      <c r="E60" s="2056"/>
      <c r="F60" s="2035">
        <v>0</v>
      </c>
      <c r="G60" s="2057"/>
      <c r="H60" s="2043">
        <f t="shared" si="23"/>
        <v>3537.2731226665815</v>
      </c>
      <c r="I60" s="2057"/>
      <c r="J60" s="2043">
        <f t="shared" ref="J60" si="26">+C60-H60</f>
        <v>175588.08066114929</v>
      </c>
      <c r="K60" s="2057"/>
      <c r="M60" s="1974">
        <f t="shared" ref="M60" si="27">+J60+H60</f>
        <v>179125.35378381587</v>
      </c>
      <c r="O60" s="1975"/>
    </row>
    <row r="61" spans="1:15" ht="15.6" hidden="1" customHeight="1">
      <c r="A61" s="2007"/>
      <c r="B61" s="2044" t="s">
        <v>256</v>
      </c>
      <c r="C61" s="2041">
        <f>+'[36]VAL 5 AMP4 MM'!G259</f>
        <v>141516.06656581606</v>
      </c>
      <c r="D61" s="2035">
        <f>+'[36]VAL 5 AMP4 MM'!K259</f>
        <v>2794.5847313881704</v>
      </c>
      <c r="E61" s="2054">
        <f t="shared" ref="E61:E62" si="28">+D61/C61</f>
        <v>1.974747319653963E-2</v>
      </c>
      <c r="F61" s="2035">
        <f>+'[36]VAL 5 AMP4 MM'!K259</f>
        <v>2794.5847313881704</v>
      </c>
      <c r="G61" s="2054">
        <f>+F61/C61</f>
        <v>1.974747319653963E-2</v>
      </c>
      <c r="H61" s="2043"/>
      <c r="I61" s="2057"/>
      <c r="J61" s="2043"/>
      <c r="K61" s="2057"/>
      <c r="M61" s="1974"/>
      <c r="O61" s="1975"/>
    </row>
    <row r="62" spans="1:15" ht="15.6" hidden="1" customHeight="1">
      <c r="A62" s="2007"/>
      <c r="B62" s="2044" t="s">
        <v>1816</v>
      </c>
      <c r="C62" s="2041">
        <f>+'[36]VAL 5 AMP4 MM'!G260</f>
        <v>32001.683836142925</v>
      </c>
      <c r="D62" s="2035">
        <f>+'[36]VAL 5 AMP4 MM'!K260</f>
        <v>631.95239379836789</v>
      </c>
      <c r="E62" s="2054">
        <f t="shared" si="28"/>
        <v>1.974747319653963E-2</v>
      </c>
      <c r="F62" s="2035">
        <f>+'[36]VAL 5 AMP4 MM'!K260</f>
        <v>631.95239379836789</v>
      </c>
      <c r="G62" s="2054">
        <f t="shared" ref="G62:G63" si="29">+F62/C62</f>
        <v>1.974747319653963E-2</v>
      </c>
      <c r="H62" s="2043"/>
      <c r="I62" s="2057"/>
      <c r="J62" s="2043"/>
      <c r="K62" s="2057"/>
      <c r="M62" s="1974"/>
      <c r="O62" s="1975"/>
    </row>
    <row r="63" spans="1:15" ht="15.6" hidden="1" customHeight="1">
      <c r="A63" s="2007"/>
      <c r="B63" s="2044" t="s">
        <v>3920</v>
      </c>
      <c r="C63" s="2041">
        <f>+'[36]VAL 5 AMP4 MM'!G261</f>
        <v>5607.6033818568603</v>
      </c>
      <c r="D63" s="2035">
        <f>+'[36]VAL 5 AMP4 MM'!K261</f>
        <v>110.73599748004334</v>
      </c>
      <c r="E63" s="2054">
        <f>+D63/C63</f>
        <v>1.974747319653963E-2</v>
      </c>
      <c r="F63" s="2035">
        <f>+'[36]VAL 5 AMP4 MM'!K261</f>
        <v>110.73599748004334</v>
      </c>
      <c r="G63" s="2054">
        <f t="shared" si="29"/>
        <v>1.974747319653963E-2</v>
      </c>
      <c r="H63" s="2043"/>
      <c r="I63" s="2057"/>
      <c r="J63" s="2043"/>
      <c r="K63" s="2057"/>
      <c r="M63" s="1974"/>
      <c r="O63" s="1975"/>
    </row>
    <row r="64" spans="1:15" ht="15.6" hidden="1" customHeight="1">
      <c r="A64" s="2007"/>
      <c r="B64" s="2044"/>
      <c r="C64" s="2041"/>
      <c r="D64" s="2035"/>
      <c r="E64" s="2056"/>
      <c r="F64" s="2035"/>
      <c r="G64" s="2057"/>
      <c r="H64" s="2043"/>
      <c r="I64" s="2057"/>
      <c r="J64" s="2043"/>
      <c r="K64" s="2057"/>
      <c r="M64" s="1974"/>
      <c r="O64" s="1975"/>
    </row>
    <row r="65" spans="1:15" ht="15.6" hidden="1" customHeight="1">
      <c r="A65" s="2007"/>
      <c r="B65" s="2044"/>
      <c r="C65" s="2041"/>
      <c r="D65" s="2035"/>
      <c r="E65" s="2056"/>
      <c r="F65" s="2035"/>
      <c r="G65" s="2057"/>
      <c r="H65" s="2043"/>
      <c r="I65" s="2057"/>
      <c r="J65" s="2043"/>
      <c r="K65" s="2057"/>
      <c r="M65" s="1974"/>
      <c r="O65" s="1975"/>
    </row>
    <row r="66" spans="1:15" ht="15.6" hidden="1" customHeight="1">
      <c r="A66" s="2007"/>
      <c r="B66" s="2061" t="s">
        <v>4259</v>
      </c>
      <c r="C66" s="2055">
        <f>SUM(C67:C68)</f>
        <v>120236.57999999999</v>
      </c>
      <c r="D66" s="2055">
        <f>SUM(D67:D68)</f>
        <v>0</v>
      </c>
      <c r="E66" s="2056"/>
      <c r="F66" s="2055">
        <f>SUM(F67:F68)</f>
        <v>0</v>
      </c>
      <c r="G66" s="2057"/>
      <c r="H66" s="2055">
        <f>SUM(H67:H68)</f>
        <v>0</v>
      </c>
      <c r="I66" s="2057"/>
      <c r="J66" s="2055">
        <f>SUM(J67:J68)</f>
        <v>120236.57999999999</v>
      </c>
      <c r="K66" s="2057"/>
      <c r="O66" s="1975"/>
    </row>
    <row r="67" spans="1:15" ht="15.6" hidden="1" customHeight="1">
      <c r="A67" s="2007"/>
      <c r="B67" s="2044" t="s">
        <v>256</v>
      </c>
      <c r="C67" s="2041">
        <v>86342.29</v>
      </c>
      <c r="D67" s="2035">
        <v>0</v>
      </c>
      <c r="E67" s="2056"/>
      <c r="F67" s="2035">
        <v>0</v>
      </c>
      <c r="G67" s="2057"/>
      <c r="H67" s="2043">
        <f t="shared" si="23"/>
        <v>0</v>
      </c>
      <c r="I67" s="2057"/>
      <c r="J67" s="2043">
        <f t="shared" ref="J67:J68" si="30">+C67-H67</f>
        <v>86342.29</v>
      </c>
      <c r="K67" s="2057"/>
      <c r="M67" s="1974">
        <f t="shared" ref="M67:M68" si="31">+J67+H67</f>
        <v>86342.29</v>
      </c>
      <c r="O67" s="1975"/>
    </row>
    <row r="68" spans="1:15" ht="15.6" hidden="1" customHeight="1">
      <c r="A68" s="2062"/>
      <c r="B68" s="2063" t="s">
        <v>1816</v>
      </c>
      <c r="C68" s="2064">
        <v>33894.29</v>
      </c>
      <c r="D68" s="2035">
        <v>0</v>
      </c>
      <c r="E68" s="2065"/>
      <c r="F68" s="2035">
        <v>0</v>
      </c>
      <c r="G68" s="2066"/>
      <c r="H68" s="2067">
        <f t="shared" si="23"/>
        <v>0</v>
      </c>
      <c r="I68" s="2066"/>
      <c r="J68" s="2067">
        <f t="shared" si="30"/>
        <v>33894.29</v>
      </c>
      <c r="K68" s="2066"/>
      <c r="M68" s="1974">
        <f t="shared" si="31"/>
        <v>33894.29</v>
      </c>
      <c r="O68" s="1975"/>
    </row>
    <row r="69" spans="1:15" ht="15.6" hidden="1" customHeight="1">
      <c r="A69" s="3067" t="s">
        <v>4260</v>
      </c>
      <c r="B69" s="3067"/>
      <c r="C69" s="2068">
        <f>+C44+C55</f>
        <v>5953878.2137838164</v>
      </c>
      <c r="D69" s="2068">
        <f>+D44+D55</f>
        <v>2318377.3059206386</v>
      </c>
      <c r="E69" s="2028">
        <f>+D69/C69</f>
        <v>0.38938944040765999</v>
      </c>
      <c r="F69" s="2068">
        <f>+F44+F55</f>
        <v>82207.815900000001</v>
      </c>
      <c r="G69" s="2028">
        <f>+F69/C69</f>
        <v>1.3807439948919477E-2</v>
      </c>
      <c r="H69" s="2068">
        <f>+H44+H55</f>
        <v>2382861.2718206383</v>
      </c>
      <c r="I69" s="2028">
        <f>+H69/C69</f>
        <v>0.40022002235519011</v>
      </c>
      <c r="J69" s="2068">
        <f>+J44+J55</f>
        <v>3571016.9419631772</v>
      </c>
      <c r="K69" s="2029">
        <f>+J69/C69</f>
        <v>0.59977997764480973</v>
      </c>
      <c r="O69" s="1975"/>
    </row>
    <row r="70" spans="1:15" ht="9.6" hidden="1" customHeight="1">
      <c r="A70" s="2069"/>
      <c r="B70" s="2070"/>
      <c r="C70" s="2071"/>
      <c r="D70" s="2072"/>
      <c r="E70" s="2073"/>
      <c r="F70" s="2072"/>
      <c r="G70" s="2074"/>
      <c r="H70" s="2072"/>
      <c r="I70" s="2074"/>
      <c r="J70" s="2072"/>
      <c r="K70" s="2074"/>
      <c r="O70" s="1975"/>
    </row>
    <row r="71" spans="1:15" ht="16.7" hidden="1" customHeight="1">
      <c r="A71" s="3068" t="s">
        <v>4261</v>
      </c>
      <c r="B71" s="3068"/>
      <c r="C71" s="2075">
        <f>+C69+C42</f>
        <v>26368851.033783816</v>
      </c>
      <c r="D71" s="2075">
        <f>+D69+D42</f>
        <v>16269998.062140269</v>
      </c>
      <c r="E71" s="2076">
        <f>+D71/C71</f>
        <v>0.61701581313858234</v>
      </c>
      <c r="F71" s="2075">
        <f>+F69+F42</f>
        <v>371244.9451984</v>
      </c>
      <c r="G71" s="2077">
        <f>+F71/C71</f>
        <v>1.4078920037993327E-2</v>
      </c>
      <c r="H71" s="2075">
        <f>+H69+H42</f>
        <v>16623519.157338671</v>
      </c>
      <c r="I71" s="2077">
        <f>+H71/C71</f>
        <v>0.63042258216107294</v>
      </c>
      <c r="J71" s="2075">
        <f>+J69+J42</f>
        <v>9745331.8779482618</v>
      </c>
      <c r="K71" s="2077">
        <f>+J71/C71</f>
        <v>0.36957741789593057</v>
      </c>
      <c r="O71" s="1975"/>
    </row>
    <row r="72" spans="1:15" ht="12" hidden="1" customHeight="1">
      <c r="A72" s="2078"/>
      <c r="B72" s="2078"/>
      <c r="C72" s="2078"/>
      <c r="D72" s="2079"/>
      <c r="E72" s="2079"/>
      <c r="F72" s="2079"/>
      <c r="G72" s="2080"/>
      <c r="H72" s="2079"/>
      <c r="I72" s="2080"/>
      <c r="J72" s="2079"/>
      <c r="K72" s="2080"/>
      <c r="O72" s="1975"/>
    </row>
    <row r="73" spans="1:15" hidden="1"/>
    <row r="74" spans="1:15">
      <c r="C74" s="1973">
        <f>+C55+C44</f>
        <v>5953878.2137838164</v>
      </c>
      <c r="D74" s="1974">
        <f>+'[37]RESUMEN GENERAL'!$H$41</f>
        <v>13052165.080509864</v>
      </c>
      <c r="H74" s="2219"/>
      <c r="I74" s="2346"/>
      <c r="J74" s="1974">
        <f>+H42+J42</f>
        <v>20414972.821503118</v>
      </c>
    </row>
    <row r="75" spans="1:15">
      <c r="D75" s="1974">
        <f>+D42-D74</f>
        <v>899455.67570976727</v>
      </c>
      <c r="E75" s="2351" t="s">
        <v>4354</v>
      </c>
      <c r="F75" s="2219"/>
      <c r="H75" s="2219"/>
      <c r="J75" s="1974">
        <f>+J74-C42</f>
        <v>1.5031173825263977E-3</v>
      </c>
      <c r="K75" s="2351" t="s">
        <v>4354</v>
      </c>
      <c r="M75" s="1974">
        <f>+M39+M34</f>
        <v>0</v>
      </c>
    </row>
    <row r="76" spans="1:15">
      <c r="H76" s="2219"/>
    </row>
    <row r="77" spans="1:15">
      <c r="C77" s="1973">
        <v>20414972.82</v>
      </c>
      <c r="D77" s="1974"/>
      <c r="F77" s="2219"/>
      <c r="G77" s="2219"/>
      <c r="H77" s="2219"/>
      <c r="I77" s="1974"/>
      <c r="K77" s="1974"/>
    </row>
    <row r="78" spans="1:15">
      <c r="C78" s="1973">
        <f>+C77-C42</f>
        <v>0</v>
      </c>
      <c r="D78" s="1974"/>
      <c r="F78" s="2219"/>
      <c r="G78" s="2219"/>
    </row>
    <row r="79" spans="1:15">
      <c r="F79" s="2219"/>
      <c r="H79" s="2219"/>
      <c r="K79" s="1974"/>
    </row>
    <row r="80" spans="1:15">
      <c r="H80" s="2219"/>
    </row>
    <row r="81" spans="6:9">
      <c r="H81" s="2219"/>
    </row>
    <row r="82" spans="6:9">
      <c r="F82" s="2219"/>
    </row>
    <row r="84" spans="6:9">
      <c r="I84" s="1974"/>
    </row>
    <row r="85" spans="6:9">
      <c r="F85" s="2219"/>
    </row>
    <row r="86" spans="6:9">
      <c r="F86" s="2219"/>
    </row>
    <row r="87" spans="6:9">
      <c r="F87" s="2219"/>
    </row>
  </sheetData>
  <mergeCells count="18">
    <mergeCell ref="A55:B55"/>
    <mergeCell ref="A69:B69"/>
    <mergeCell ref="A71:B71"/>
    <mergeCell ref="J10:K11"/>
    <mergeCell ref="D11:E11"/>
    <mergeCell ref="F11:G11"/>
    <mergeCell ref="H11:I11"/>
    <mergeCell ref="A42:B42"/>
    <mergeCell ref="A44:B44"/>
    <mergeCell ref="A10:A12"/>
    <mergeCell ref="B10:B12"/>
    <mergeCell ref="C10:C12"/>
    <mergeCell ref="D10:I10"/>
    <mergeCell ref="A1:K1"/>
    <mergeCell ref="A2:K2"/>
    <mergeCell ref="A3:K3"/>
    <mergeCell ref="A4:A5"/>
    <mergeCell ref="B4:I5"/>
  </mergeCells>
  <printOptions horizontalCentered="1"/>
  <pageMargins left="0.17" right="0.11811023622047245" top="0.59055118110236227" bottom="0.41" header="0.31496062992125984" footer="0.31496062992125984"/>
  <pageSetup paperSize="9" scale="81"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2"/>
  <sheetViews>
    <sheetView view="pageBreakPreview" topLeftCell="A40" zoomScale="85" zoomScaleNormal="40" zoomScaleSheetLayoutView="85" workbookViewId="0">
      <selection activeCell="I100" sqref="I100"/>
    </sheetView>
  </sheetViews>
  <sheetFormatPr baseColWidth="10" defaultColWidth="6.5703125" defaultRowHeight="12.75"/>
  <cols>
    <col min="1" max="1" width="11" style="303" customWidth="1"/>
    <col min="2" max="2" width="15" style="303" customWidth="1"/>
    <col min="3" max="3" width="9.28515625" style="303" customWidth="1"/>
    <col min="4" max="4" width="9.140625" style="303" customWidth="1"/>
    <col min="5" max="5" width="8.140625" style="303" customWidth="1"/>
    <col min="6" max="6" width="13.5703125" style="303" customWidth="1"/>
    <col min="7" max="7" width="17.5703125" style="303" customWidth="1"/>
    <col min="8" max="8" width="14.42578125" style="303" bestFit="1" customWidth="1"/>
    <col min="9" max="9" width="13.140625" style="303" customWidth="1"/>
    <col min="10" max="10" width="8.42578125" style="303" customWidth="1"/>
    <col min="11" max="11" width="11.42578125" style="303" bestFit="1" customWidth="1"/>
    <col min="12" max="12" width="18.5703125" style="303" customWidth="1"/>
    <col min="13" max="13" width="12.5703125" style="303" customWidth="1"/>
    <col min="14" max="14" width="7.140625" style="303" customWidth="1"/>
    <col min="15" max="26" width="16.42578125" style="303" customWidth="1"/>
    <col min="27" max="40" width="12.5703125" style="303" customWidth="1"/>
    <col min="41" max="41" width="11.42578125" style="303" customWidth="1"/>
    <col min="42" max="42" width="11.5703125" style="303" bestFit="1" customWidth="1"/>
    <col min="43" max="43" width="13" style="303" customWidth="1"/>
    <col min="44" max="278" width="11.42578125" style="303" customWidth="1"/>
    <col min="279" max="279" width="2.5703125" style="303" customWidth="1"/>
    <col min="280" max="16384" width="6.5703125" style="303"/>
  </cols>
  <sheetData>
    <row r="1" spans="1:55" s="307" customFormat="1" ht="18.75">
      <c r="A1" s="1289"/>
      <c r="B1" s="3105" t="s">
        <v>4295</v>
      </c>
      <c r="C1" s="3105"/>
      <c r="D1" s="3105"/>
      <c r="E1" s="3105"/>
      <c r="F1" s="3105"/>
      <c r="G1" s="3105"/>
      <c r="H1" s="3105"/>
      <c r="I1" s="3105"/>
      <c r="J1" s="3105"/>
      <c r="K1" s="3105"/>
      <c r="L1" s="3105"/>
      <c r="M1" s="3105"/>
      <c r="N1" s="3105"/>
      <c r="O1" s="2157"/>
      <c r="P1" s="2157"/>
      <c r="Q1" s="2157"/>
      <c r="R1" s="2157"/>
      <c r="S1" s="2157"/>
      <c r="T1" s="2157"/>
      <c r="U1" s="2157"/>
      <c r="V1" s="2157"/>
      <c r="W1" s="2157"/>
      <c r="X1" s="2157"/>
      <c r="Y1" s="2157"/>
      <c r="Z1" s="2157"/>
      <c r="AA1" s="2157"/>
      <c r="AB1" s="2157"/>
      <c r="AC1" s="2157"/>
      <c r="AD1" s="2157"/>
      <c r="AE1" s="2157"/>
      <c r="AF1" s="2157"/>
      <c r="AG1" s="2157"/>
      <c r="AH1" s="2157"/>
      <c r="AI1" s="2157"/>
      <c r="AJ1" s="2157"/>
      <c r="AK1" s="2157"/>
      <c r="AL1" s="2157"/>
      <c r="AM1" s="2157"/>
      <c r="AN1" s="2157"/>
      <c r="AQ1" s="3105"/>
      <c r="AR1" s="3105"/>
      <c r="AS1" s="3105"/>
      <c r="AT1" s="3105"/>
      <c r="AU1" s="3105"/>
      <c r="AV1" s="3105"/>
      <c r="AW1" s="3105"/>
      <c r="AX1" s="3105"/>
      <c r="AY1" s="3105"/>
      <c r="AZ1" s="3105"/>
      <c r="BA1" s="3105"/>
      <c r="BB1" s="3105"/>
      <c r="BC1" s="3105"/>
    </row>
    <row r="2" spans="1:55" s="307" customFormat="1" ht="16.5">
      <c r="A2" s="1289"/>
      <c r="B2" s="3106" t="s">
        <v>4365</v>
      </c>
      <c r="C2" s="3107"/>
      <c r="D2" s="3107"/>
      <c r="E2" s="3107"/>
      <c r="F2" s="3107"/>
      <c r="G2" s="3107"/>
      <c r="H2" s="3107"/>
      <c r="I2" s="3107"/>
      <c r="J2" s="3107"/>
      <c r="K2" s="3107"/>
      <c r="L2" s="3107"/>
      <c r="M2" s="3107"/>
      <c r="N2" s="3107"/>
      <c r="O2" s="2158"/>
      <c r="P2" s="2158"/>
      <c r="Q2" s="2158"/>
      <c r="R2" s="2158"/>
      <c r="S2" s="2158"/>
      <c r="T2" s="2158"/>
      <c r="U2" s="2158"/>
      <c r="V2" s="2158"/>
      <c r="W2" s="2158"/>
      <c r="X2" s="2158"/>
      <c r="Y2" s="2158"/>
      <c r="Z2" s="2158"/>
      <c r="AA2" s="2158"/>
      <c r="AB2" s="2158"/>
      <c r="AC2" s="2158"/>
      <c r="AD2" s="2158"/>
      <c r="AE2" s="2158"/>
      <c r="AF2" s="2158"/>
      <c r="AG2" s="2158"/>
      <c r="AH2" s="2158"/>
      <c r="AI2" s="2158"/>
      <c r="AJ2" s="2158"/>
      <c r="AK2" s="2158"/>
      <c r="AL2" s="2158"/>
      <c r="AM2" s="2158"/>
      <c r="AN2" s="2158"/>
      <c r="AQ2" s="3108"/>
      <c r="AR2" s="3109"/>
      <c r="AS2" s="3109"/>
      <c r="AT2" s="3109"/>
      <c r="AU2" s="3109"/>
      <c r="AV2" s="3109"/>
      <c r="AW2" s="3109"/>
      <c r="AX2" s="3109"/>
      <c r="AY2" s="3109"/>
      <c r="AZ2" s="3109"/>
      <c r="BA2" s="3109"/>
      <c r="BB2" s="3109"/>
      <c r="BC2" s="3109"/>
    </row>
    <row r="3" spans="1:55" s="307" customFormat="1" ht="14.25">
      <c r="A3" s="1289"/>
      <c r="B3" s="3106"/>
      <c r="C3" s="3107"/>
      <c r="D3" s="3107"/>
      <c r="E3" s="3107"/>
      <c r="F3" s="3107"/>
      <c r="G3" s="3107"/>
      <c r="H3" s="3107"/>
      <c r="I3" s="3107"/>
      <c r="J3" s="3107"/>
      <c r="K3" s="3107"/>
      <c r="L3" s="3107"/>
      <c r="M3" s="3107"/>
      <c r="N3" s="3107"/>
      <c r="O3" s="2158"/>
      <c r="P3" s="2158"/>
      <c r="Q3" s="2158"/>
      <c r="R3" s="2158"/>
      <c r="S3" s="2158"/>
      <c r="T3" s="2158"/>
      <c r="U3" s="2158"/>
      <c r="V3" s="2158"/>
      <c r="W3" s="2158"/>
      <c r="X3" s="2158"/>
      <c r="Y3" s="2158"/>
      <c r="Z3" s="2158"/>
      <c r="AA3" s="2158"/>
      <c r="AB3" s="2158"/>
      <c r="AC3" s="2158"/>
      <c r="AD3" s="2158"/>
      <c r="AE3" s="2158"/>
      <c r="AF3" s="2158"/>
      <c r="AG3" s="2158"/>
      <c r="AH3" s="2158"/>
      <c r="AI3" s="2158"/>
      <c r="AJ3" s="2158"/>
      <c r="AK3" s="2158"/>
      <c r="AL3" s="2158"/>
      <c r="AM3" s="2158"/>
      <c r="AN3" s="2158"/>
      <c r="AQ3" s="3106"/>
      <c r="AR3" s="3107"/>
      <c r="AS3" s="3107"/>
      <c r="AT3" s="3107"/>
      <c r="AU3" s="3107"/>
      <c r="AV3" s="3107"/>
      <c r="AW3" s="3107"/>
      <c r="AX3" s="3107"/>
      <c r="AY3" s="3107"/>
      <c r="AZ3" s="3107"/>
      <c r="BA3" s="3107"/>
      <c r="BB3" s="3107"/>
      <c r="BC3" s="3107"/>
    </row>
    <row r="4" spans="1:55" s="307" customFormat="1" ht="35.25" customHeight="1">
      <c r="A4" s="1289"/>
      <c r="B4" s="1375" t="s">
        <v>291</v>
      </c>
      <c r="C4" s="1290"/>
      <c r="D4" s="3101" t="str">
        <f>'[38]VAL. PRINC'!D4:M4</f>
        <v>MEJORAMIENTO DEL SERVICIO EDUCATIVO EN LA IEP N° 54002 SANTA ROSA E IES SANTA ROSA DEL DISTRITO DE ABANCAY, PROVINCIA DE ABANCAY - REGIÓN APURÍMAC</v>
      </c>
      <c r="E4" s="3101"/>
      <c r="F4" s="3101"/>
      <c r="G4" s="3101"/>
      <c r="H4" s="3101"/>
      <c r="I4" s="3101"/>
      <c r="J4" s="3101"/>
      <c r="K4" s="3101"/>
      <c r="L4" s="3101"/>
      <c r="M4" s="3101"/>
      <c r="N4" s="1375"/>
      <c r="O4" s="1375"/>
      <c r="P4" s="1375"/>
      <c r="Q4" s="1375"/>
      <c r="R4" s="1375"/>
      <c r="S4" s="1375"/>
      <c r="T4" s="1375"/>
      <c r="U4" s="1375"/>
      <c r="V4" s="1375"/>
      <c r="W4" s="1375"/>
      <c r="X4" s="1375"/>
      <c r="Y4" s="1375"/>
      <c r="Z4" s="1375"/>
      <c r="AA4" s="1375"/>
      <c r="AB4" s="1375"/>
      <c r="AC4" s="1375"/>
      <c r="AD4" s="1375"/>
      <c r="AE4" s="1375"/>
      <c r="AF4" s="1375"/>
      <c r="AG4" s="1375"/>
      <c r="AH4" s="1375"/>
      <c r="AI4" s="1375"/>
      <c r="AJ4" s="1375"/>
      <c r="AK4" s="1375"/>
      <c r="AL4" s="1375"/>
      <c r="AM4" s="1375"/>
      <c r="AN4" s="1375"/>
    </row>
    <row r="5" spans="1:55" s="307" customFormat="1" ht="15.75" customHeight="1">
      <c r="A5" s="1289"/>
      <c r="B5" s="1376" t="s">
        <v>292</v>
      </c>
      <c r="C5" s="1291"/>
      <c r="D5" s="3102">
        <f>+'[38]VAL. PRINC'!F848</f>
        <v>19902744.010000005</v>
      </c>
      <c r="E5" s="3102"/>
      <c r="F5" s="3102"/>
      <c r="G5" s="1465"/>
      <c r="H5" s="1465"/>
      <c r="I5" s="1465"/>
      <c r="J5" s="1465"/>
      <c r="K5" s="1465"/>
      <c r="L5" s="1465"/>
      <c r="M5" s="1465"/>
      <c r="N5" s="1465"/>
      <c r="O5" s="1465"/>
      <c r="P5" s="1465"/>
      <c r="Q5" s="1465"/>
      <c r="R5" s="1465"/>
      <c r="S5" s="1465"/>
      <c r="T5" s="1465"/>
      <c r="U5" s="1465"/>
      <c r="V5" s="1465"/>
      <c r="W5" s="1465"/>
      <c r="X5" s="1465"/>
      <c r="Y5" s="1465"/>
      <c r="Z5" s="1465"/>
      <c r="AA5" s="1465"/>
      <c r="AB5" s="1465"/>
      <c r="AC5" s="1465"/>
      <c r="AD5" s="1465"/>
      <c r="AE5" s="1465"/>
      <c r="AF5" s="1465"/>
      <c r="AG5" s="1465"/>
      <c r="AH5" s="1465"/>
      <c r="AI5" s="1465"/>
      <c r="AJ5" s="1465"/>
      <c r="AK5" s="1465"/>
      <c r="AL5" s="1465"/>
      <c r="AM5" s="1465"/>
      <c r="AN5" s="1465"/>
    </row>
    <row r="6" spans="1:55" s="307" customFormat="1" ht="15.75" customHeight="1">
      <c r="A6" s="1289"/>
      <c r="B6" s="1376" t="s">
        <v>3691</v>
      </c>
      <c r="C6" s="1291"/>
      <c r="D6" s="3103">
        <v>26822242.739999998</v>
      </c>
      <c r="E6" s="3103"/>
      <c r="F6" s="3103"/>
      <c r="G6" s="1465"/>
      <c r="H6" s="1465"/>
      <c r="I6" s="1465"/>
      <c r="J6" s="1465"/>
      <c r="K6" s="1465"/>
      <c r="L6" s="1465"/>
      <c r="M6" s="1465"/>
      <c r="N6" s="1465"/>
      <c r="O6" s="1465"/>
      <c r="P6" s="1465"/>
      <c r="Q6" s="1465"/>
      <c r="R6" s="1465"/>
      <c r="S6" s="1465"/>
      <c r="T6" s="1465"/>
      <c r="U6" s="1465"/>
      <c r="V6" s="1465"/>
      <c r="W6" s="1465"/>
      <c r="X6" s="1465"/>
      <c r="Y6" s="1465"/>
      <c r="Z6" s="1465"/>
      <c r="AA6" s="1465"/>
      <c r="AB6" s="1465"/>
      <c r="AC6" s="1465"/>
      <c r="AD6" s="1465"/>
      <c r="AE6" s="1465"/>
      <c r="AF6" s="1465"/>
      <c r="AG6" s="1465"/>
      <c r="AH6" s="1465"/>
      <c r="AI6" s="1465"/>
      <c r="AJ6" s="1465"/>
      <c r="AK6" s="1465"/>
      <c r="AL6" s="1465"/>
      <c r="AM6" s="1465"/>
      <c r="AN6" s="1465"/>
    </row>
    <row r="7" spans="1:55" s="307" customFormat="1" ht="15.75" customHeight="1">
      <c r="A7" s="1289"/>
      <c r="B7" s="1376" t="s">
        <v>293</v>
      </c>
      <c r="C7" s="1291"/>
      <c r="D7" s="1466" t="s">
        <v>4366</v>
      </c>
      <c r="E7" s="1466"/>
      <c r="F7" s="1466"/>
      <c r="G7" s="1466"/>
      <c r="H7" s="1466"/>
      <c r="I7" s="1466"/>
      <c r="J7" s="1466"/>
      <c r="K7" s="1466"/>
      <c r="L7" s="1466"/>
      <c r="M7" s="1466"/>
      <c r="N7" s="1466"/>
      <c r="O7" s="1466"/>
      <c r="P7" s="1466"/>
      <c r="Q7" s="1466"/>
      <c r="R7" s="1466"/>
      <c r="S7" s="1466"/>
      <c r="T7" s="1466"/>
      <c r="U7" s="1466"/>
      <c r="V7" s="1466"/>
      <c r="W7" s="1466"/>
      <c r="X7" s="1466"/>
      <c r="Y7" s="1466"/>
      <c r="Z7" s="1466"/>
      <c r="AA7" s="1466"/>
      <c r="AB7" s="1466"/>
      <c r="AC7" s="1466"/>
      <c r="AD7" s="1466"/>
      <c r="AE7" s="1466"/>
      <c r="AF7" s="1466"/>
      <c r="AG7" s="1466"/>
      <c r="AH7" s="1466"/>
      <c r="AI7" s="1466"/>
      <c r="AJ7" s="1466"/>
      <c r="AK7" s="1466"/>
      <c r="AL7" s="1466"/>
      <c r="AM7" s="1466"/>
      <c r="AN7" s="1466"/>
    </row>
    <row r="8" spans="1:55" s="307" customFormat="1" ht="15.75" customHeight="1">
      <c r="A8" s="1289"/>
      <c r="B8" s="1376" t="s">
        <v>294</v>
      </c>
      <c r="C8" s="1291"/>
      <c r="D8" s="1466" t="s">
        <v>3572</v>
      </c>
      <c r="E8" s="1466"/>
      <c r="F8" s="1466"/>
      <c r="G8" s="1466"/>
      <c r="H8" s="1466"/>
      <c r="I8" s="1466"/>
      <c r="J8" s="1466"/>
      <c r="K8" s="1466"/>
      <c r="L8" s="1466"/>
      <c r="M8" s="1466"/>
      <c r="N8" s="1466"/>
      <c r="O8" s="1466"/>
      <c r="P8" s="1466"/>
      <c r="Q8" s="1466"/>
      <c r="R8" s="1466"/>
      <c r="S8" s="1466"/>
      <c r="T8" s="1466"/>
      <c r="U8" s="1466"/>
      <c r="V8" s="1466"/>
      <c r="W8" s="1466"/>
      <c r="X8" s="1466"/>
      <c r="Y8" s="1466"/>
      <c r="Z8" s="1466"/>
      <c r="AA8" s="1466"/>
      <c r="AB8" s="1466"/>
      <c r="AC8" s="1466"/>
      <c r="AD8" s="1466"/>
      <c r="AE8" s="1466"/>
      <c r="AF8" s="1466"/>
      <c r="AG8" s="1466"/>
      <c r="AH8" s="1466"/>
      <c r="AI8" s="1466"/>
      <c r="AJ8" s="1466"/>
      <c r="AK8" s="1466"/>
      <c r="AL8" s="1466"/>
      <c r="AM8" s="1466"/>
      <c r="AN8" s="1466"/>
    </row>
    <row r="9" spans="1:55" s="307" customFormat="1" ht="15.75" customHeight="1">
      <c r="A9" s="1289"/>
      <c r="B9" s="1376" t="s">
        <v>295</v>
      </c>
      <c r="C9" s="1291"/>
      <c r="D9" s="1467" t="s">
        <v>4364</v>
      </c>
      <c r="E9" s="1467"/>
      <c r="F9" s="1467"/>
      <c r="G9" s="1467"/>
      <c r="H9" s="1467"/>
      <c r="I9" s="1467"/>
      <c r="J9" s="1467"/>
      <c r="K9" s="1467"/>
      <c r="L9" s="1467"/>
      <c r="M9" s="1467"/>
      <c r="N9" s="1467"/>
      <c r="O9" s="1467"/>
      <c r="P9" s="1467"/>
      <c r="Q9" s="1467"/>
      <c r="R9" s="1467"/>
      <c r="S9" s="1467"/>
      <c r="T9" s="1467"/>
      <c r="U9" s="1467"/>
      <c r="V9" s="1467"/>
      <c r="W9" s="1467"/>
      <c r="X9" s="1467"/>
      <c r="Y9" s="1467"/>
      <c r="Z9" s="1467"/>
      <c r="AA9" s="1467"/>
      <c r="AB9" s="1467"/>
      <c r="AC9" s="1467"/>
      <c r="AD9" s="1467"/>
      <c r="AE9" s="1467"/>
      <c r="AF9" s="1467"/>
      <c r="AG9" s="1467"/>
      <c r="AH9" s="1467"/>
      <c r="AI9" s="1467"/>
      <c r="AJ9" s="1467"/>
      <c r="AK9" s="1467"/>
      <c r="AL9" s="1467"/>
      <c r="AM9" s="1467"/>
      <c r="AN9" s="1467"/>
    </row>
    <row r="10" spans="1:55" s="307" customFormat="1" ht="15.75" customHeight="1">
      <c r="A10" s="1289"/>
      <c r="B10" s="1376" t="s">
        <v>296</v>
      </c>
      <c r="C10" s="1292"/>
      <c r="D10" s="1466" t="s">
        <v>3573</v>
      </c>
      <c r="E10" s="1466"/>
      <c r="F10" s="1466"/>
      <c r="G10" s="1466"/>
      <c r="H10" s="1466"/>
      <c r="I10" s="1466"/>
      <c r="J10" s="1466"/>
      <c r="K10" s="1466"/>
      <c r="L10" s="1466"/>
      <c r="M10" s="1466"/>
      <c r="N10" s="1466"/>
      <c r="O10" s="1466"/>
      <c r="P10" s="1466"/>
      <c r="Q10" s="1466"/>
      <c r="R10" s="1466"/>
      <c r="S10" s="1466"/>
      <c r="T10" s="1466"/>
      <c r="U10" s="1466"/>
      <c r="V10" s="1466"/>
      <c r="W10" s="1466"/>
      <c r="X10" s="1466"/>
      <c r="Y10" s="1466"/>
      <c r="Z10" s="1466"/>
      <c r="AA10" s="1466"/>
      <c r="AB10" s="1466"/>
      <c r="AC10" s="1466"/>
      <c r="AD10" s="1466"/>
      <c r="AE10" s="1466"/>
      <c r="AF10" s="1466"/>
      <c r="AG10" s="1466"/>
      <c r="AH10" s="1466"/>
      <c r="AI10" s="1466"/>
      <c r="AJ10" s="1466"/>
      <c r="AK10" s="1466"/>
      <c r="AL10" s="1466"/>
      <c r="AM10" s="1466"/>
      <c r="AN10" s="1466"/>
    </row>
    <row r="11" spans="1:55" s="307" customFormat="1" ht="15.75" customHeight="1">
      <c r="A11" s="1289"/>
      <c r="B11" s="1376" t="s">
        <v>297</v>
      </c>
      <c r="C11" s="1293"/>
      <c r="D11" s="1464" t="s">
        <v>3571</v>
      </c>
      <c r="E11" s="1464"/>
      <c r="F11" s="1464"/>
      <c r="G11" s="1464"/>
      <c r="H11" s="1464"/>
      <c r="I11" s="1464"/>
      <c r="J11" s="1464"/>
      <c r="K11" s="1464"/>
      <c r="L11" s="1464"/>
      <c r="M11" s="1464"/>
      <c r="N11" s="1464"/>
      <c r="O11" s="1464"/>
      <c r="P11" s="1464"/>
      <c r="Q11" s="1464"/>
      <c r="R11" s="1464"/>
      <c r="S11" s="1464"/>
      <c r="T11" s="1464"/>
      <c r="U11" s="1464"/>
      <c r="V11" s="1464"/>
      <c r="W11" s="1464"/>
      <c r="X11" s="1464"/>
      <c r="Y11" s="1464"/>
      <c r="Z11" s="1464"/>
      <c r="AA11" s="1464"/>
      <c r="AB11" s="1464"/>
      <c r="AC11" s="1464"/>
      <c r="AD11" s="1464"/>
      <c r="AE11" s="1464"/>
      <c r="AF11" s="1464"/>
      <c r="AG11" s="1464"/>
      <c r="AH11" s="1464"/>
      <c r="AI11" s="1464"/>
      <c r="AJ11" s="1464"/>
      <c r="AK11" s="1464"/>
      <c r="AL11" s="1464"/>
      <c r="AM11" s="1464"/>
      <c r="AN11" s="1464"/>
    </row>
    <row r="12" spans="1:55" s="306" customFormat="1" ht="15.75" customHeight="1">
      <c r="B12" s="1376" t="s">
        <v>3692</v>
      </c>
      <c r="D12" s="3104" t="s">
        <v>3634</v>
      </c>
      <c r="E12" s="3104"/>
      <c r="F12" s="3104"/>
      <c r="G12" s="3104"/>
      <c r="H12" s="3104"/>
      <c r="I12" s="3104"/>
      <c r="J12" s="3104"/>
      <c r="K12" s="3104"/>
      <c r="L12" s="3104"/>
      <c r="M12" s="3104"/>
      <c r="N12" s="1464"/>
      <c r="O12" s="1464"/>
      <c r="P12" s="1464"/>
      <c r="Q12" s="1464"/>
      <c r="R12" s="1464"/>
      <c r="S12" s="1464"/>
      <c r="T12" s="1464"/>
      <c r="U12" s="1464"/>
      <c r="V12" s="1464"/>
      <c r="W12" s="1464"/>
      <c r="X12" s="1464"/>
      <c r="Y12" s="1464"/>
      <c r="Z12" s="1464"/>
      <c r="AA12" s="1464"/>
      <c r="AB12" s="1464"/>
      <c r="AC12" s="1464"/>
      <c r="AD12" s="1464"/>
      <c r="AE12" s="1464"/>
      <c r="AF12" s="1464"/>
      <c r="AG12" s="1464"/>
      <c r="AH12" s="1464"/>
      <c r="AI12" s="1464"/>
      <c r="AJ12" s="1464"/>
      <c r="AK12" s="1464"/>
      <c r="AL12" s="1464"/>
      <c r="AM12" s="1464"/>
      <c r="AN12" s="1464"/>
    </row>
    <row r="13" spans="1:55" s="306" customFormat="1" ht="15.75" customHeight="1">
      <c r="B13" s="1376" t="s">
        <v>3693</v>
      </c>
      <c r="D13" s="2160" t="s">
        <v>4327</v>
      </c>
      <c r="E13" s="2160"/>
      <c r="F13" s="2160"/>
      <c r="G13" s="2160"/>
      <c r="H13" s="2160"/>
      <c r="I13" s="2160"/>
      <c r="J13" s="2160"/>
      <c r="K13" s="2160"/>
      <c r="L13" s="2160"/>
      <c r="M13" s="2160"/>
      <c r="N13" s="1464"/>
      <c r="O13" s="1464"/>
      <c r="P13" s="1464"/>
      <c r="Q13" s="1464"/>
      <c r="R13" s="1464"/>
      <c r="S13" s="1464"/>
      <c r="T13" s="1464"/>
      <c r="U13" s="1464"/>
      <c r="V13" s="1464"/>
      <c r="W13" s="1464"/>
      <c r="X13" s="1464"/>
      <c r="Y13" s="1464"/>
      <c r="Z13" s="1464"/>
      <c r="AA13" s="1464"/>
      <c r="AB13" s="1464"/>
      <c r="AC13" s="1464"/>
      <c r="AD13" s="1464"/>
      <c r="AE13" s="1464"/>
      <c r="AF13" s="1464"/>
      <c r="AG13" s="1464"/>
      <c r="AH13" s="1464"/>
      <c r="AI13" s="1464"/>
      <c r="AJ13" s="1464"/>
      <c r="AK13" s="1464"/>
      <c r="AL13" s="1464"/>
      <c r="AM13" s="1464"/>
      <c r="AN13" s="1464"/>
    </row>
    <row r="56" spans="1:40">
      <c r="O56" s="1387"/>
      <c r="P56" s="3098">
        <v>2019</v>
      </c>
      <c r="Q56" s="3099"/>
      <c r="R56" s="3099"/>
      <c r="S56" s="3099"/>
      <c r="T56" s="3099"/>
      <c r="U56" s="3100"/>
      <c r="V56" s="3077">
        <v>2020</v>
      </c>
      <c r="W56" s="3078"/>
      <c r="X56" s="3078"/>
      <c r="Y56" s="3078"/>
      <c r="Z56" s="3078"/>
      <c r="AA56" s="3078"/>
      <c r="AB56" s="3078"/>
      <c r="AC56" s="3078"/>
      <c r="AD56" s="3078"/>
      <c r="AE56" s="3079"/>
      <c r="AF56" s="3098">
        <v>2021</v>
      </c>
      <c r="AG56" s="3099"/>
      <c r="AH56" s="3099"/>
      <c r="AI56" s="3099"/>
      <c r="AJ56" s="3099"/>
      <c r="AK56" s="3100"/>
      <c r="AL56" s="2168"/>
      <c r="AM56" s="2168"/>
      <c r="AN56" s="2168"/>
    </row>
    <row r="57" spans="1:40" s="2161" customFormat="1">
      <c r="O57" s="2164"/>
      <c r="P57" s="2164" t="s">
        <v>528</v>
      </c>
      <c r="Q57" s="2164" t="s">
        <v>530</v>
      </c>
      <c r="R57" s="2164" t="s">
        <v>4280</v>
      </c>
      <c r="S57" s="2164" t="s">
        <v>4281</v>
      </c>
      <c r="T57" s="2164" t="s">
        <v>2152</v>
      </c>
      <c r="U57" s="2164" t="s">
        <v>4282</v>
      </c>
      <c r="V57" s="2164" t="s">
        <v>4283</v>
      </c>
      <c r="W57" s="2164" t="s">
        <v>4284</v>
      </c>
      <c r="X57" s="2164" t="s">
        <v>4289</v>
      </c>
      <c r="Y57" s="2164" t="s">
        <v>447</v>
      </c>
      <c r="Z57" s="2164" t="s">
        <v>528</v>
      </c>
      <c r="AA57" s="2164" t="s">
        <v>4277</v>
      </c>
      <c r="AB57" s="2164" t="s">
        <v>4280</v>
      </c>
      <c r="AC57" s="2164" t="s">
        <v>4281</v>
      </c>
      <c r="AD57" s="2164" t="s">
        <v>2152</v>
      </c>
      <c r="AE57" s="2164" t="s">
        <v>4282</v>
      </c>
      <c r="AF57" s="2164" t="s">
        <v>4283</v>
      </c>
      <c r="AG57" s="2164" t="s">
        <v>4284</v>
      </c>
      <c r="AH57" s="2164" t="s">
        <v>4285</v>
      </c>
      <c r="AI57" s="2164" t="s">
        <v>1797</v>
      </c>
      <c r="AJ57" s="2164" t="s">
        <v>448</v>
      </c>
      <c r="AK57" s="2164" t="s">
        <v>447</v>
      </c>
      <c r="AL57" s="1377"/>
      <c r="AM57" s="1377"/>
      <c r="AN57" s="1377"/>
    </row>
    <row r="58" spans="1:40">
      <c r="O58" s="1387" t="s">
        <v>4286</v>
      </c>
      <c r="P58" s="1389">
        <f>+I69</f>
        <v>163335.85083333339</v>
      </c>
      <c r="Q58" s="1389">
        <f>+I70</f>
        <v>198250.70737759999</v>
      </c>
      <c r="R58" s="1389">
        <f>+I71</f>
        <v>515145.37920035288</v>
      </c>
      <c r="S58" s="1389">
        <f>+I72</f>
        <v>509571.72485879995</v>
      </c>
      <c r="T58" s="1389">
        <f>+I73</f>
        <v>548883.38561104971</v>
      </c>
      <c r="U58" s="1389">
        <f>+I74</f>
        <v>566686.0553353033</v>
      </c>
      <c r="V58" s="1389">
        <f>+I75</f>
        <v>150231.86396299998</v>
      </c>
      <c r="W58" s="1389">
        <f>+I76</f>
        <v>362432.44625150017</v>
      </c>
      <c r="X58" s="1389">
        <f>+I77</f>
        <v>278985.27599320019</v>
      </c>
      <c r="Y58" s="2165"/>
      <c r="Z58" s="2165">
        <v>599332.04767999949</v>
      </c>
      <c r="AA58" s="2165">
        <v>614710.61599999992</v>
      </c>
      <c r="AB58" s="2165">
        <v>398967.69059099996</v>
      </c>
      <c r="AC58" s="2165">
        <v>537925.3792812482</v>
      </c>
      <c r="AD58" s="2165">
        <v>435855.97540000005</v>
      </c>
      <c r="AE58" s="2165">
        <f>184138.5666</f>
        <v>184138.56659999999</v>
      </c>
      <c r="AF58" s="2165">
        <f>191923.4705+57565.518622172</f>
        <v>249488.989122172</v>
      </c>
      <c r="AG58" s="2165"/>
      <c r="AH58" s="2165">
        <v>491662.19662610599</v>
      </c>
      <c r="AI58" s="2165">
        <v>622162.79332784051</v>
      </c>
      <c r="AJ58" s="2165">
        <v>614449.08968906011</v>
      </c>
      <c r="AK58" s="2165">
        <v>435125.62085304008</v>
      </c>
      <c r="AL58" s="2169"/>
      <c r="AM58" s="2169"/>
      <c r="AN58" s="2169"/>
    </row>
    <row r="59" spans="1:40">
      <c r="O59" s="1387" t="s">
        <v>4278</v>
      </c>
      <c r="P59" s="1387"/>
      <c r="Q59" s="1387"/>
      <c r="R59" s="1387"/>
      <c r="S59" s="1387"/>
      <c r="T59" s="1387"/>
      <c r="U59" s="1387"/>
      <c r="V59" s="1387"/>
      <c r="W59" s="1387"/>
      <c r="X59" s="1387"/>
      <c r="Y59" s="2165">
        <v>10883.300000000001</v>
      </c>
      <c r="Z59" s="2165">
        <v>119400</v>
      </c>
      <c r="AA59" s="2165">
        <v>444</v>
      </c>
      <c r="AB59" s="2165">
        <f>34170</f>
        <v>34170</v>
      </c>
      <c r="AC59" s="2165"/>
      <c r="AD59" s="2165"/>
      <c r="AE59" s="2165"/>
      <c r="AF59" s="2165">
        <f>109.200000000012</f>
        <v>109.200000000012</v>
      </c>
      <c r="AG59" s="2165"/>
      <c r="AH59" s="2165"/>
      <c r="AI59" s="2165"/>
      <c r="AJ59" s="2165"/>
      <c r="AK59" s="2165"/>
      <c r="AL59" s="2169"/>
      <c r="AM59" s="2169"/>
      <c r="AN59" s="2169"/>
    </row>
    <row r="60" spans="1:40">
      <c r="O60" s="1387" t="s">
        <v>4279</v>
      </c>
      <c r="P60" s="1387"/>
      <c r="Q60" s="1387"/>
      <c r="R60" s="1387"/>
      <c r="S60" s="1387"/>
      <c r="T60" s="1387"/>
      <c r="U60" s="1387"/>
      <c r="V60" s="1387"/>
      <c r="W60" s="1387"/>
      <c r="X60" s="1387"/>
      <c r="Y60" s="2165"/>
      <c r="Z60" s="2165"/>
      <c r="AA60" s="2165"/>
      <c r="AB60" s="2165"/>
      <c r="AC60" s="2165"/>
      <c r="AD60" s="2165">
        <v>457948.8995</v>
      </c>
      <c r="AE60" s="2165">
        <v>69155.92730000001</v>
      </c>
      <c r="AF60" s="2165">
        <f>5927.856+10654.1627999999</f>
        <v>16582.0187999999</v>
      </c>
      <c r="AG60" s="2165"/>
      <c r="AH60" s="2165">
        <v>9016</v>
      </c>
      <c r="AI60" s="2165">
        <v>0</v>
      </c>
      <c r="AJ60" s="2165"/>
      <c r="AK60" s="2165"/>
      <c r="AL60" s="2169"/>
      <c r="AM60" s="2169"/>
      <c r="AN60" s="2169"/>
    </row>
    <row r="61" spans="1:40">
      <c r="O61" s="1387" t="s">
        <v>4287</v>
      </c>
      <c r="P61" s="1387"/>
      <c r="Q61" s="1387"/>
      <c r="R61" s="1387"/>
      <c r="S61" s="1387"/>
      <c r="T61" s="1387"/>
      <c r="U61" s="1387"/>
      <c r="V61" s="1387"/>
      <c r="W61" s="1387"/>
      <c r="X61" s="1387"/>
      <c r="Y61" s="2165"/>
      <c r="Z61" s="2165"/>
      <c r="AA61" s="2165"/>
      <c r="AB61" s="2165"/>
      <c r="AC61" s="2165"/>
      <c r="AD61" s="2165"/>
      <c r="AE61" s="2165">
        <v>888036.85309999983</v>
      </c>
      <c r="AF61" s="2165">
        <f>12225.826996+11167.8308140003</f>
        <v>23393.657810000299</v>
      </c>
      <c r="AG61" s="2165"/>
      <c r="AH61" s="2165">
        <v>219669.15758399997</v>
      </c>
      <c r="AI61" s="2165">
        <v>161365.83375679998</v>
      </c>
      <c r="AJ61" s="2165">
        <v>17986.787199999999</v>
      </c>
      <c r="AK61" s="2165">
        <v>242224.28167059997</v>
      </c>
      <c r="AL61" s="2169"/>
      <c r="AM61" s="2169"/>
      <c r="AN61" s="2169"/>
    </row>
    <row r="62" spans="1:40">
      <c r="O62" s="1387" t="s">
        <v>4288</v>
      </c>
      <c r="P62" s="1387"/>
      <c r="Q62" s="1387"/>
      <c r="R62" s="1387"/>
      <c r="S62" s="1387"/>
      <c r="T62" s="1387"/>
      <c r="U62" s="1387"/>
      <c r="V62" s="1387"/>
      <c r="W62" s="1387"/>
      <c r="X62" s="1387"/>
      <c r="Y62" s="2165"/>
      <c r="Z62" s="2165"/>
      <c r="AA62" s="2165"/>
      <c r="AB62" s="2165"/>
      <c r="AC62" s="2165"/>
      <c r="AD62" s="2165"/>
      <c r="AE62" s="2165">
        <v>56971.901399999995</v>
      </c>
      <c r="AF62" s="2165">
        <v>601.96020000000897</v>
      </c>
      <c r="AG62" s="2165"/>
      <c r="AH62" s="2165">
        <v>19203.745200000001</v>
      </c>
      <c r="AI62" s="2165">
        <v>3458.1701999999996</v>
      </c>
      <c r="AJ62" s="2165">
        <v>116076.48023850001</v>
      </c>
      <c r="AK62" s="2165">
        <v>56754.928524999988</v>
      </c>
      <c r="AL62" s="2169"/>
      <c r="AM62" s="2169"/>
      <c r="AN62" s="2169"/>
    </row>
    <row r="63" spans="1:40" ht="16.5" thickBot="1">
      <c r="A63" s="3080" t="s">
        <v>298</v>
      </c>
      <c r="B63" s="3080"/>
      <c r="C63" s="3080"/>
      <c r="D63" s="3080"/>
      <c r="E63" s="3080"/>
      <c r="F63" s="3080"/>
      <c r="G63" s="3080"/>
      <c r="H63" s="3080"/>
      <c r="I63" s="3080"/>
      <c r="J63" s="3080"/>
      <c r="K63" s="3080"/>
      <c r="L63" s="3080"/>
      <c r="M63" s="3081"/>
      <c r="N63" s="3081"/>
      <c r="O63" s="2166" t="s">
        <v>358</v>
      </c>
      <c r="P63" s="2166"/>
      <c r="Q63" s="2166"/>
      <c r="R63" s="2166"/>
      <c r="S63" s="2166"/>
      <c r="T63" s="2166"/>
      <c r="U63" s="2166"/>
      <c r="V63" s="2166"/>
      <c r="W63" s="2166"/>
      <c r="X63" s="2166"/>
      <c r="Y63" s="2167">
        <f>SUM(Y58:Y62)</f>
        <v>10883.300000000001</v>
      </c>
      <c r="Z63" s="2167">
        <f t="shared" ref="Z63:AH63" si="0">SUM(Z58:Z62)</f>
        <v>718732.04767999949</v>
      </c>
      <c r="AA63" s="2167">
        <f t="shared" si="0"/>
        <v>615154.61599999992</v>
      </c>
      <c r="AB63" s="2167">
        <f t="shared" si="0"/>
        <v>433137.69059099996</v>
      </c>
      <c r="AC63" s="2167">
        <f t="shared" si="0"/>
        <v>537925.3792812482</v>
      </c>
      <c r="AD63" s="2167">
        <f t="shared" si="0"/>
        <v>893804.87490000005</v>
      </c>
      <c r="AE63" s="2167">
        <f t="shared" si="0"/>
        <v>1198303.2483999999</v>
      </c>
      <c r="AF63" s="2167">
        <f t="shared" si="0"/>
        <v>290175.82593217224</v>
      </c>
      <c r="AG63" s="2167">
        <f t="shared" si="0"/>
        <v>0</v>
      </c>
      <c r="AH63" s="2167">
        <f t="shared" si="0"/>
        <v>739551.09941010596</v>
      </c>
      <c r="AI63" s="2167">
        <f t="shared" ref="AI63" si="1">SUM(AI58:AI62)</f>
        <v>786986.7972846406</v>
      </c>
      <c r="AJ63" s="2167">
        <f t="shared" ref="AJ63" si="2">SUM(AJ58:AJ62)</f>
        <v>748512.35712756019</v>
      </c>
      <c r="AK63" s="2167">
        <f t="shared" ref="AK63" si="3">SUM(AK58:AK62)</f>
        <v>734104.83104864007</v>
      </c>
      <c r="AL63" s="2170"/>
      <c r="AM63" s="2170"/>
      <c r="AN63" s="2170"/>
    </row>
    <row r="64" spans="1:40" ht="13.15" customHeight="1">
      <c r="A64" s="3088" t="s">
        <v>4317</v>
      </c>
      <c r="B64" s="3089"/>
      <c r="C64" s="3091" t="s">
        <v>1919</v>
      </c>
      <c r="D64" s="3086"/>
      <c r="E64" s="3087"/>
      <c r="F64" s="3085" t="s">
        <v>1920</v>
      </c>
      <c r="G64" s="3086"/>
      <c r="H64" s="3087"/>
      <c r="I64" s="3085" t="s">
        <v>1921</v>
      </c>
      <c r="J64" s="3086"/>
      <c r="K64" s="3087"/>
      <c r="L64" s="3092" t="s">
        <v>299</v>
      </c>
      <c r="M64" s="3093"/>
      <c r="N64" s="1377"/>
      <c r="O64" s="1377"/>
      <c r="P64" s="1377"/>
      <c r="Q64" s="1377"/>
      <c r="R64" s="1377"/>
      <c r="S64" s="2164"/>
      <c r="T64" s="1377"/>
      <c r="U64" s="1377"/>
      <c r="V64" s="1377"/>
      <c r="W64" s="1377"/>
      <c r="X64" s="1377"/>
      <c r="Y64" s="1377"/>
      <c r="Z64" s="1377"/>
      <c r="AA64" s="1377"/>
      <c r="AB64" s="1377"/>
      <c r="AC64" s="1377"/>
      <c r="AD64" s="1377"/>
      <c r="AE64" s="1377"/>
      <c r="AF64" s="1377"/>
      <c r="AG64" s="1377"/>
      <c r="AH64" s="1377"/>
      <c r="AI64" s="1377"/>
      <c r="AJ64" s="1377"/>
      <c r="AK64" s="1377"/>
      <c r="AL64" s="1377"/>
      <c r="AM64" s="1377"/>
      <c r="AN64" s="1377"/>
    </row>
    <row r="65" spans="1:44" ht="16.149999999999999" customHeight="1">
      <c r="A65" s="3090" t="s">
        <v>4318</v>
      </c>
      <c r="B65" s="3096" t="s">
        <v>300</v>
      </c>
      <c r="C65" s="1378" t="s">
        <v>82</v>
      </c>
      <c r="D65" s="1379" t="s">
        <v>82</v>
      </c>
      <c r="E65" s="1380" t="s">
        <v>301</v>
      </c>
      <c r="F65" s="1378" t="s">
        <v>82</v>
      </c>
      <c r="G65" s="1379" t="s">
        <v>82</v>
      </c>
      <c r="H65" s="1380" t="s">
        <v>301</v>
      </c>
      <c r="I65" s="1378" t="s">
        <v>82</v>
      </c>
      <c r="J65" s="1379" t="s">
        <v>82</v>
      </c>
      <c r="K65" s="1380" t="s">
        <v>301</v>
      </c>
      <c r="L65" s="3094" t="s">
        <v>302</v>
      </c>
      <c r="M65" s="3094" t="s">
        <v>303</v>
      </c>
      <c r="N65" s="3076"/>
      <c r="O65" s="2159"/>
      <c r="P65" s="2176" t="s">
        <v>4290</v>
      </c>
      <c r="Q65" s="2182" t="s">
        <v>4293</v>
      </c>
      <c r="R65" s="2183" t="s">
        <v>4294</v>
      </c>
      <c r="S65" s="2182" t="s">
        <v>4292</v>
      </c>
      <c r="T65" s="2179"/>
      <c r="U65" s="2179"/>
      <c r="V65" s="2179"/>
      <c r="W65" s="2175"/>
      <c r="X65" s="2175"/>
      <c r="Y65" s="2175"/>
      <c r="Z65" s="2175"/>
      <c r="AA65" s="2159"/>
      <c r="AB65" s="2159"/>
      <c r="AC65" s="2159"/>
      <c r="AD65" s="2159"/>
      <c r="AE65" s="2159"/>
      <c r="AF65" s="2159"/>
      <c r="AG65" s="2171"/>
      <c r="AH65" s="2159"/>
      <c r="AI65" s="2159"/>
      <c r="AJ65" s="2159"/>
      <c r="AK65" s="2159"/>
      <c r="AL65" s="2159"/>
      <c r="AM65" s="2159"/>
      <c r="AN65" s="2159"/>
    </row>
    <row r="66" spans="1:44" ht="13.15" customHeight="1">
      <c r="A66" s="3090"/>
      <c r="B66" s="3097"/>
      <c r="C66" s="1381" t="s">
        <v>1</v>
      </c>
      <c r="D66" s="1382" t="s">
        <v>0</v>
      </c>
      <c r="E66" s="1383" t="s">
        <v>0</v>
      </c>
      <c r="F66" s="1381" t="s">
        <v>1</v>
      </c>
      <c r="G66" s="1382" t="s">
        <v>0</v>
      </c>
      <c r="H66" s="1383" t="s">
        <v>0</v>
      </c>
      <c r="I66" s="1381" t="s">
        <v>1</v>
      </c>
      <c r="J66" s="1382" t="s">
        <v>0</v>
      </c>
      <c r="K66" s="1383" t="s">
        <v>0</v>
      </c>
      <c r="L66" s="3095"/>
      <c r="M66" s="3095"/>
      <c r="N66" s="3076"/>
      <c r="O66" s="1387" t="s">
        <v>4286</v>
      </c>
      <c r="P66" s="2176">
        <v>15398736.547100004</v>
      </c>
      <c r="Q66" s="2180">
        <f>+P66</f>
        <v>15398736.547100004</v>
      </c>
      <c r="R66" s="2180">
        <f>+Q66</f>
        <v>15398736.547100004</v>
      </c>
      <c r="S66" s="2176">
        <v>15586650.219999997</v>
      </c>
      <c r="T66" s="2175"/>
      <c r="U66" s="2175"/>
      <c r="V66" s="2175"/>
      <c r="W66" s="2175"/>
      <c r="X66" s="2175"/>
      <c r="Y66" s="2175"/>
      <c r="Z66" s="2175"/>
      <c r="AA66" s="2159"/>
      <c r="AB66" s="2159"/>
      <c r="AC66" s="2159"/>
      <c r="AD66" s="2159"/>
      <c r="AE66" s="2159"/>
      <c r="AF66" s="2173"/>
      <c r="AG66" s="2159"/>
      <c r="AH66" s="2159"/>
      <c r="AI66" s="2159"/>
      <c r="AJ66" s="2159"/>
      <c r="AK66" s="2159"/>
      <c r="AL66" s="2159"/>
      <c r="AM66" s="2159"/>
      <c r="AN66" s="2159"/>
    </row>
    <row r="67" spans="1:44">
      <c r="A67" s="1387"/>
      <c r="B67" s="1372"/>
      <c r="C67" s="1387"/>
      <c r="D67" s="1387"/>
      <c r="E67" s="1387"/>
      <c r="F67" s="1387"/>
      <c r="G67" s="1387"/>
      <c r="H67" s="1387">
        <v>0</v>
      </c>
      <c r="I67" s="1387"/>
      <c r="J67" s="1387"/>
      <c r="K67" s="1387">
        <v>0</v>
      </c>
      <c r="L67" s="1372"/>
      <c r="M67" s="1372"/>
      <c r="N67" s="1384"/>
      <c r="O67" s="1387" t="s">
        <v>4278</v>
      </c>
      <c r="P67" s="2177">
        <v>164897.29999999999</v>
      </c>
      <c r="Q67" s="2181">
        <f>+P67</f>
        <v>164897.29999999999</v>
      </c>
      <c r="R67" s="2181">
        <f>+Q67</f>
        <v>164897.29999999999</v>
      </c>
      <c r="S67" s="2177">
        <v>165006.5</v>
      </c>
      <c r="T67" s="2174"/>
      <c r="U67" s="2174"/>
      <c r="V67" s="2174"/>
      <c r="W67" s="2174"/>
      <c r="X67" s="2174"/>
      <c r="Y67" s="2174"/>
      <c r="Z67" s="2174"/>
      <c r="AA67" s="1384"/>
      <c r="AB67" s="2162"/>
      <c r="AC67" s="1384"/>
      <c r="AD67" s="1384"/>
      <c r="AE67" s="1384"/>
      <c r="AF67" s="1384"/>
      <c r="AG67" s="2172"/>
      <c r="AH67" s="2172"/>
      <c r="AI67" s="1384"/>
      <c r="AJ67" s="1384"/>
      <c r="AK67" s="1384"/>
      <c r="AL67" s="1384"/>
      <c r="AM67" s="1384"/>
      <c r="AN67" s="1384"/>
    </row>
    <row r="68" spans="1:44">
      <c r="A68" s="1372"/>
      <c r="B68" s="1388"/>
      <c r="C68" s="1389"/>
      <c r="D68" s="1390"/>
      <c r="E68" s="1391"/>
      <c r="F68" s="1389"/>
      <c r="G68" s="1390"/>
      <c r="H68" s="1391"/>
      <c r="I68" s="1389"/>
      <c r="J68" s="1390"/>
      <c r="K68" s="1391"/>
      <c r="L68" s="1385"/>
      <c r="M68" s="1385"/>
      <c r="N68" s="1343" t="str">
        <f>IF(K68&gt;E68,K68/E68,"")</f>
        <v/>
      </c>
      <c r="O68" s="1387" t="s">
        <v>4279</v>
      </c>
      <c r="P68" s="2177"/>
      <c r="Q68" s="2181">
        <v>575817.15679999988</v>
      </c>
      <c r="R68" s="2181">
        <f>+Q68</f>
        <v>575817.15679999988</v>
      </c>
      <c r="S68" s="2177">
        <v>587707.12</v>
      </c>
      <c r="T68" s="2174"/>
      <c r="U68" s="2174"/>
      <c r="V68" s="2174"/>
      <c r="W68" s="2174"/>
      <c r="X68" s="2174"/>
      <c r="Y68" s="2174"/>
      <c r="Z68" s="2174"/>
      <c r="AA68" s="1343"/>
      <c r="AB68" s="1343"/>
      <c r="AC68" s="1343"/>
      <c r="AD68" s="1343"/>
      <c r="AE68" s="1343"/>
      <c r="AF68" s="2174"/>
      <c r="AG68" s="2174"/>
      <c r="AH68" s="1343"/>
      <c r="AI68" s="1343"/>
      <c r="AJ68" s="1343"/>
      <c r="AK68" s="1343"/>
      <c r="AL68" s="1343"/>
      <c r="AM68" s="1343"/>
      <c r="AN68" s="1343"/>
      <c r="AP68" s="305"/>
    </row>
    <row r="69" spans="1:44">
      <c r="A69" s="1372">
        <v>1</v>
      </c>
      <c r="B69" s="1388">
        <v>43677</v>
      </c>
      <c r="C69" s="1389"/>
      <c r="D69" s="1390"/>
      <c r="E69" s="1391"/>
      <c r="F69" s="1389">
        <v>163335.85083333339</v>
      </c>
      <c r="G69" s="1390">
        <f t="shared" ref="G69:G98" si="4">+F69/$F$103</f>
        <v>7.2095222060975022E-3</v>
      </c>
      <c r="H69" s="1391">
        <f>G69</f>
        <v>7.2095222060975022E-3</v>
      </c>
      <c r="I69" s="1389">
        <v>163335.85083333339</v>
      </c>
      <c r="J69" s="1390">
        <f t="shared" ref="J69:J99" si="5">+I69/F$103</f>
        <v>7.2095222060975022E-3</v>
      </c>
      <c r="K69" s="1391">
        <f>J69</f>
        <v>7.2095222060975022E-3</v>
      </c>
      <c r="L69" s="1385" t="str">
        <f t="shared" ref="L69:M71" si="6">IF(J69&gt;=G69,"ADELANTADO","ATRASADO")</f>
        <v>ADELANTADO</v>
      </c>
      <c r="M69" s="1385" t="str">
        <f t="shared" si="6"/>
        <v>ADELANTADO</v>
      </c>
      <c r="N69" s="1343" t="e">
        <f>IF(K69&gt;E69,K69/E69,"")</f>
        <v>#DIV/0!</v>
      </c>
      <c r="O69" s="1387" t="s">
        <v>4287</v>
      </c>
      <c r="P69" s="2177"/>
      <c r="Q69" s="2181"/>
      <c r="R69" s="2181">
        <v>3388063.5096000014</v>
      </c>
      <c r="S69" s="2177">
        <v>3433797.0500000007</v>
      </c>
      <c r="T69" s="2174"/>
      <c r="U69" s="2174"/>
      <c r="V69" s="2174"/>
      <c r="W69" s="2174"/>
      <c r="X69" s="2174"/>
      <c r="Y69" s="2174"/>
      <c r="Z69" s="2174"/>
      <c r="AA69" s="1343"/>
      <c r="AB69" s="2163"/>
      <c r="AC69" s="1343"/>
      <c r="AD69" s="1343"/>
      <c r="AE69" s="1343"/>
      <c r="AF69" s="1343"/>
      <c r="AG69" s="1343"/>
      <c r="AH69" s="1343"/>
      <c r="AI69" s="1343"/>
      <c r="AJ69" s="1343"/>
      <c r="AK69" s="1343"/>
      <c r="AL69" s="1343"/>
      <c r="AM69" s="1343"/>
      <c r="AN69" s="1343"/>
      <c r="AO69" s="1295">
        <v>566463.24800000002</v>
      </c>
      <c r="AP69" s="1295">
        <f>I69</f>
        <v>163335.85083333339</v>
      </c>
      <c r="AQ69" s="1295">
        <f>F69</f>
        <v>163335.85083333339</v>
      </c>
    </row>
    <row r="70" spans="1:44">
      <c r="A70" s="1372">
        <f>+A69+1</f>
        <v>2</v>
      </c>
      <c r="B70" s="1388">
        <v>43707</v>
      </c>
      <c r="C70" s="1389"/>
      <c r="D70" s="1390"/>
      <c r="E70" s="1391"/>
      <c r="F70" s="1389">
        <v>198250.70737759999</v>
      </c>
      <c r="G70" s="1390">
        <f t="shared" si="4"/>
        <v>8.7506378417300697E-3</v>
      </c>
      <c r="H70" s="1390">
        <f>+G70+H69</f>
        <v>1.5960160047827573E-2</v>
      </c>
      <c r="I70" s="1389">
        <v>198250.70737759999</v>
      </c>
      <c r="J70" s="1390">
        <f t="shared" si="5"/>
        <v>8.7506378417300697E-3</v>
      </c>
      <c r="K70" s="1391">
        <f t="shared" ref="K70:K92" si="7">J70+K69</f>
        <v>1.5960160047827573E-2</v>
      </c>
      <c r="L70" s="1385" t="str">
        <f t="shared" si="6"/>
        <v>ADELANTADO</v>
      </c>
      <c r="M70" s="1385" t="str">
        <f t="shared" si="6"/>
        <v>ADELANTADO</v>
      </c>
      <c r="N70" s="1343"/>
      <c r="O70" s="1387" t="s">
        <v>4288</v>
      </c>
      <c r="P70" s="2177"/>
      <c r="Q70" s="2177"/>
      <c r="R70" s="2181">
        <v>2866473.4419000009</v>
      </c>
      <c r="S70" s="2177">
        <v>2917415.5299999993</v>
      </c>
      <c r="T70" s="2174"/>
      <c r="U70" s="2174"/>
      <c r="V70" s="2174"/>
      <c r="W70" s="2174"/>
      <c r="X70" s="2174"/>
      <c r="Y70" s="2174"/>
      <c r="Z70" s="2174"/>
      <c r="AA70" s="1343"/>
      <c r="AB70" s="1343"/>
      <c r="AC70" s="1343"/>
      <c r="AD70" s="1343"/>
      <c r="AE70" s="1343"/>
      <c r="AF70" s="1343"/>
      <c r="AG70" s="1343"/>
      <c r="AH70" s="1343"/>
      <c r="AI70" s="1343"/>
      <c r="AJ70" s="1343"/>
      <c r="AK70" s="1343"/>
      <c r="AL70" s="1343"/>
      <c r="AM70" s="1343"/>
      <c r="AN70" s="1343"/>
      <c r="AO70" s="1295">
        <v>764713.95799999998</v>
      </c>
      <c r="AP70" s="1295">
        <f t="shared" ref="AP70:AP77" si="8">AP69+I70</f>
        <v>361586.55821093335</v>
      </c>
      <c r="AQ70" s="1295">
        <f t="shared" ref="AQ70:AQ77" si="9">AQ69+F70</f>
        <v>361586.55821093335</v>
      </c>
    </row>
    <row r="71" spans="1:44">
      <c r="A71" s="1372">
        <f t="shared" ref="A71:A98" si="10">+A70+1</f>
        <v>3</v>
      </c>
      <c r="B71" s="1388">
        <v>43738</v>
      </c>
      <c r="C71" s="1389"/>
      <c r="D71" s="1390"/>
      <c r="E71" s="1391"/>
      <c r="F71" s="1389">
        <v>515145.37920035288</v>
      </c>
      <c r="G71" s="1390">
        <f t="shared" si="4"/>
        <v>2.2738131474290661E-2</v>
      </c>
      <c r="H71" s="1391">
        <f t="shared" ref="H71:H90" si="11">G71+H70</f>
        <v>3.8698291522118233E-2</v>
      </c>
      <c r="I71" s="1389">
        <v>515145.37920035288</v>
      </c>
      <c r="J71" s="1390">
        <f t="shared" si="5"/>
        <v>2.2738131474290661E-2</v>
      </c>
      <c r="K71" s="1391">
        <f t="shared" si="7"/>
        <v>3.8698291522118233E-2</v>
      </c>
      <c r="L71" s="1385" t="str">
        <f t="shared" si="6"/>
        <v>ADELANTADO</v>
      </c>
      <c r="M71" s="1385" t="str">
        <f t="shared" si="6"/>
        <v>ADELANTADO</v>
      </c>
      <c r="N71" s="1343"/>
      <c r="O71" s="1387" t="s">
        <v>4291</v>
      </c>
      <c r="P71" s="1387"/>
      <c r="Q71" s="1387"/>
      <c r="R71" s="2181">
        <v>-2223144.83</v>
      </c>
      <c r="S71" s="2177">
        <v>-2258509.8199999998</v>
      </c>
      <c r="T71" s="2174"/>
      <c r="U71" s="2174"/>
      <c r="V71" s="2174"/>
      <c r="W71" s="2174"/>
      <c r="X71" s="2174"/>
      <c r="Y71" s="2174"/>
      <c r="Z71" s="2174"/>
      <c r="AA71" s="1343"/>
      <c r="AB71" s="1343"/>
      <c r="AC71" s="1343"/>
      <c r="AD71" s="1343"/>
      <c r="AE71" s="1343"/>
      <c r="AF71" s="1343"/>
      <c r="AG71" s="1343"/>
      <c r="AH71" s="1343"/>
      <c r="AI71" s="1343"/>
      <c r="AJ71" s="1343"/>
      <c r="AK71" s="1343"/>
      <c r="AL71" s="1343"/>
      <c r="AM71" s="1343"/>
      <c r="AN71" s="1343"/>
      <c r="AO71" s="1295">
        <v>764713.95799999998</v>
      </c>
      <c r="AP71" s="1295">
        <f t="shared" si="8"/>
        <v>876731.93741128617</v>
      </c>
      <c r="AQ71" s="1295">
        <f t="shared" si="9"/>
        <v>876731.93741128617</v>
      </c>
    </row>
    <row r="72" spans="1:44">
      <c r="A72" s="1372">
        <f t="shared" si="10"/>
        <v>4</v>
      </c>
      <c r="B72" s="1388">
        <v>43769</v>
      </c>
      <c r="C72" s="1389"/>
      <c r="D72" s="1390"/>
      <c r="E72" s="1391"/>
      <c r="F72" s="1389">
        <v>509571.72485879995</v>
      </c>
      <c r="G72" s="1390">
        <f t="shared" si="4"/>
        <v>2.2492114543289147E-2</v>
      </c>
      <c r="H72" s="1391">
        <f t="shared" si="11"/>
        <v>6.1190406065407377E-2</v>
      </c>
      <c r="I72" s="1389">
        <v>509571.72485879995</v>
      </c>
      <c r="J72" s="1390">
        <f t="shared" si="5"/>
        <v>2.2492114543289147E-2</v>
      </c>
      <c r="K72" s="1391">
        <f t="shared" si="7"/>
        <v>6.1190406065407377E-2</v>
      </c>
      <c r="L72" s="1385" t="str">
        <f t="shared" ref="L72:M87" si="12">IF(J72&gt;=G72,"ADELANTADO","ATRASADO")</f>
        <v>ADELANTADO</v>
      </c>
      <c r="M72" s="1385" t="str">
        <f t="shared" si="12"/>
        <v>ADELANTADO</v>
      </c>
      <c r="N72" s="1343"/>
      <c r="O72" s="1343"/>
      <c r="P72" s="2174"/>
      <c r="Q72" s="2174"/>
      <c r="R72" s="2174"/>
      <c r="S72" s="2174"/>
      <c r="T72" s="2174"/>
      <c r="U72" s="2174"/>
      <c r="V72" s="2174"/>
      <c r="W72" s="2174"/>
      <c r="X72" s="2174"/>
      <c r="Y72" s="2174"/>
      <c r="Z72" s="2174"/>
      <c r="AA72" s="1343"/>
      <c r="AB72" s="1343"/>
      <c r="AC72" s="1343"/>
      <c r="AD72" s="1343"/>
      <c r="AE72" s="1343"/>
      <c r="AF72" s="1343"/>
      <c r="AG72" s="1343"/>
      <c r="AH72" s="1343"/>
      <c r="AI72" s="1343"/>
      <c r="AJ72" s="1343"/>
      <c r="AK72" s="1343"/>
      <c r="AL72" s="1343"/>
      <c r="AM72" s="1343"/>
      <c r="AN72" s="1343"/>
      <c r="AP72" s="1295">
        <f t="shared" si="8"/>
        <v>1386303.6622700861</v>
      </c>
      <c r="AQ72" s="1295">
        <f t="shared" si="9"/>
        <v>1386303.6622700861</v>
      </c>
    </row>
    <row r="73" spans="1:44" ht="15.75">
      <c r="A73" s="1372">
        <f t="shared" si="10"/>
        <v>5</v>
      </c>
      <c r="B73" s="1388">
        <v>43799</v>
      </c>
      <c r="C73" s="1389"/>
      <c r="D73" s="1390"/>
      <c r="E73" s="1391"/>
      <c r="F73" s="1389">
        <v>548883.38561104971</v>
      </c>
      <c r="G73" s="1390">
        <f t="shared" si="4"/>
        <v>2.4227301825847918E-2</v>
      </c>
      <c r="H73" s="1391">
        <f t="shared" si="11"/>
        <v>8.5417707891255301E-2</v>
      </c>
      <c r="I73" s="1389">
        <v>548883.38561104971</v>
      </c>
      <c r="J73" s="1390">
        <f t="shared" si="5"/>
        <v>2.4227301825847918E-2</v>
      </c>
      <c r="K73" s="1391">
        <f t="shared" si="7"/>
        <v>8.5417707891255301E-2</v>
      </c>
      <c r="L73" s="1385" t="str">
        <f t="shared" si="12"/>
        <v>ADELANTADO</v>
      </c>
      <c r="M73" s="1385" t="str">
        <f t="shared" si="12"/>
        <v>ADELANTADO</v>
      </c>
      <c r="N73" s="1343"/>
      <c r="O73" s="2166" t="s">
        <v>358</v>
      </c>
      <c r="P73" s="2178">
        <f>SUM(P66:P70)</f>
        <v>15563633.847100005</v>
      </c>
      <c r="Q73" s="2178">
        <f>SUM(Q66:Q70)</f>
        <v>16139451.003900005</v>
      </c>
      <c r="R73" s="2178">
        <f>SUM(R66:R71)</f>
        <v>20170843.125400007</v>
      </c>
      <c r="S73" s="2178">
        <f>SUM(S66:S71)</f>
        <v>20432066.599999994</v>
      </c>
      <c r="T73" s="2174"/>
      <c r="U73" s="2174"/>
      <c r="V73" s="2174"/>
      <c r="W73" s="2174"/>
      <c r="X73" s="2174"/>
      <c r="Y73" s="2174"/>
      <c r="Z73" s="2174"/>
      <c r="AA73" s="1343"/>
      <c r="AB73" s="1343"/>
      <c r="AC73" s="1343"/>
      <c r="AD73" s="1343"/>
      <c r="AE73" s="1343"/>
      <c r="AF73" s="1343"/>
      <c r="AG73" s="1343"/>
      <c r="AH73" s="1343"/>
      <c r="AI73" s="1343"/>
      <c r="AJ73" s="1343"/>
      <c r="AK73" s="1343"/>
      <c r="AL73" s="1343"/>
      <c r="AM73" s="1343"/>
      <c r="AN73" s="1343"/>
      <c r="AP73" s="1295">
        <f t="shared" si="8"/>
        <v>1935187.0478811357</v>
      </c>
      <c r="AQ73" s="1295">
        <f t="shared" si="9"/>
        <v>1935187.0478811357</v>
      </c>
    </row>
    <row r="74" spans="1:44">
      <c r="A74" s="1372">
        <f t="shared" si="10"/>
        <v>6</v>
      </c>
      <c r="B74" s="1388">
        <v>43830</v>
      </c>
      <c r="C74" s="1389"/>
      <c r="D74" s="1390"/>
      <c r="E74" s="1391"/>
      <c r="F74" s="1389">
        <v>566686.0553353033</v>
      </c>
      <c r="G74" s="1390">
        <f t="shared" si="4"/>
        <v>2.5013098342962777E-2</v>
      </c>
      <c r="H74" s="1391">
        <f t="shared" si="11"/>
        <v>0.11043080623421808</v>
      </c>
      <c r="I74" s="1389">
        <v>566686.0553353033</v>
      </c>
      <c r="J74" s="1390">
        <f t="shared" si="5"/>
        <v>2.5013098342962777E-2</v>
      </c>
      <c r="K74" s="1391">
        <f t="shared" si="7"/>
        <v>0.11043080623421808</v>
      </c>
      <c r="L74" s="1385" t="str">
        <f t="shared" si="12"/>
        <v>ADELANTADO</v>
      </c>
      <c r="M74" s="1385" t="str">
        <f t="shared" si="12"/>
        <v>ADELANTADO</v>
      </c>
      <c r="N74" s="1343"/>
      <c r="O74" s="1343"/>
      <c r="P74" s="1343"/>
      <c r="Q74" s="1343"/>
      <c r="R74" s="1343"/>
      <c r="S74" s="1343"/>
      <c r="T74" s="1343"/>
      <c r="U74" s="1343"/>
      <c r="V74" s="1343"/>
      <c r="W74" s="1343"/>
      <c r="X74" s="1343"/>
      <c r="Y74" s="1343"/>
      <c r="Z74" s="1343"/>
      <c r="AA74" s="1343"/>
      <c r="AB74" s="1343"/>
      <c r="AC74" s="1343"/>
      <c r="AD74" s="1343"/>
      <c r="AE74" s="1343"/>
      <c r="AF74" s="1343"/>
      <c r="AG74" s="1343"/>
      <c r="AH74" s="1343"/>
      <c r="AI74" s="1343"/>
      <c r="AJ74" s="1343"/>
      <c r="AK74" s="1343"/>
      <c r="AL74" s="1343"/>
      <c r="AM74" s="1343"/>
      <c r="AN74" s="1343"/>
      <c r="AP74" s="1295">
        <f t="shared" si="8"/>
        <v>2501873.103216439</v>
      </c>
      <c r="AQ74" s="1295">
        <f t="shared" si="9"/>
        <v>2501873.103216439</v>
      </c>
      <c r="AR74" s="1295">
        <f>AQ74-AP74</f>
        <v>0</v>
      </c>
    </row>
    <row r="75" spans="1:44">
      <c r="A75" s="1372">
        <f t="shared" si="10"/>
        <v>7</v>
      </c>
      <c r="B75" s="1388">
        <v>43861</v>
      </c>
      <c r="C75" s="1389"/>
      <c r="D75" s="1390"/>
      <c r="E75" s="1391"/>
      <c r="F75" s="1389">
        <v>150231.86396299998</v>
      </c>
      <c r="G75" s="1390">
        <f t="shared" si="4"/>
        <v>6.6311220333976411E-3</v>
      </c>
      <c r="H75" s="1391">
        <f t="shared" si="11"/>
        <v>0.11706192826761572</v>
      </c>
      <c r="I75" s="1389">
        <v>150231.86396299998</v>
      </c>
      <c r="J75" s="1390">
        <f t="shared" si="5"/>
        <v>6.6311220333976411E-3</v>
      </c>
      <c r="K75" s="1391">
        <f t="shared" si="7"/>
        <v>0.11706192826761572</v>
      </c>
      <c r="L75" s="1385" t="str">
        <f t="shared" si="12"/>
        <v>ADELANTADO</v>
      </c>
      <c r="M75" s="1385" t="str">
        <f t="shared" si="12"/>
        <v>ADELANTADO</v>
      </c>
      <c r="N75" s="1343"/>
      <c r="O75" s="1343"/>
      <c r="P75" s="1343"/>
      <c r="Q75" s="1343"/>
      <c r="R75" s="1343"/>
      <c r="S75" s="1343"/>
      <c r="T75" s="1343"/>
      <c r="U75" s="1343"/>
      <c r="V75" s="1343"/>
      <c r="W75" s="1343"/>
      <c r="X75" s="1343"/>
      <c r="Y75" s="1343"/>
      <c r="Z75" s="1343"/>
      <c r="AA75" s="1343"/>
      <c r="AB75" s="1343"/>
      <c r="AC75" s="1343"/>
      <c r="AD75" s="1343"/>
      <c r="AE75" s="1343"/>
      <c r="AF75" s="1343"/>
      <c r="AG75" s="1343"/>
      <c r="AH75" s="1343"/>
      <c r="AI75" s="1343"/>
      <c r="AJ75" s="1343"/>
      <c r="AK75" s="1343"/>
      <c r="AL75" s="1343"/>
      <c r="AM75" s="1343"/>
      <c r="AN75" s="1343"/>
      <c r="AP75" s="1295">
        <f t="shared" si="8"/>
        <v>2652104.967179439</v>
      </c>
      <c r="AQ75" s="1295">
        <f t="shared" si="9"/>
        <v>2652104.967179439</v>
      </c>
    </row>
    <row r="76" spans="1:44">
      <c r="A76" s="1372">
        <f t="shared" si="10"/>
        <v>8</v>
      </c>
      <c r="B76" s="1388">
        <v>43890</v>
      </c>
      <c r="C76" s="1389"/>
      <c r="D76" s="1390"/>
      <c r="E76" s="1391"/>
      <c r="F76" s="1389">
        <v>362432.44625150017</v>
      </c>
      <c r="G76" s="1390">
        <f t="shared" si="4"/>
        <v>1.5997496912828271E-2</v>
      </c>
      <c r="H76" s="1391">
        <f t="shared" si="11"/>
        <v>0.133059425180444</v>
      </c>
      <c r="I76" s="1389">
        <v>362432.44625150017</v>
      </c>
      <c r="J76" s="1390">
        <f t="shared" si="5"/>
        <v>1.5997496912828271E-2</v>
      </c>
      <c r="K76" s="1391">
        <f t="shared" si="7"/>
        <v>0.133059425180444</v>
      </c>
      <c r="L76" s="1386" t="str">
        <f t="shared" si="12"/>
        <v>ADELANTADO</v>
      </c>
      <c r="M76" s="1386" t="str">
        <f t="shared" si="12"/>
        <v>ADELANTADO</v>
      </c>
      <c r="N76" s="1343"/>
      <c r="O76" s="1343"/>
      <c r="P76" s="1343"/>
      <c r="Q76" s="1343"/>
      <c r="R76" s="1343"/>
      <c r="S76" s="1343"/>
      <c r="T76" s="1343"/>
      <c r="U76" s="1343"/>
      <c r="V76" s="1343"/>
      <c r="W76" s="1343"/>
      <c r="X76" s="1343"/>
      <c r="Y76" s="1343"/>
      <c r="Z76" s="1343"/>
      <c r="AA76" s="1343"/>
      <c r="AB76" s="1343"/>
      <c r="AC76" s="1343"/>
      <c r="AD76" s="1343"/>
      <c r="AE76" s="1343"/>
      <c r="AF76" s="1343"/>
      <c r="AG76" s="1343"/>
      <c r="AH76" s="1343"/>
      <c r="AI76" s="1343"/>
      <c r="AJ76" s="1343"/>
      <c r="AK76" s="1343"/>
      <c r="AL76" s="1343"/>
      <c r="AM76" s="1343"/>
      <c r="AN76" s="1343"/>
      <c r="AP76" s="1295">
        <f t="shared" si="8"/>
        <v>3014537.4134309394</v>
      </c>
      <c r="AQ76" s="1295">
        <f t="shared" si="9"/>
        <v>3014537.4134309394</v>
      </c>
    </row>
    <row r="77" spans="1:44">
      <c r="A77" s="1372">
        <f t="shared" si="10"/>
        <v>9</v>
      </c>
      <c r="B77" s="1388">
        <v>43921</v>
      </c>
      <c r="C77" s="1389"/>
      <c r="D77" s="1390"/>
      <c r="E77" s="1391"/>
      <c r="F77" s="1389">
        <v>278985.27599320019</v>
      </c>
      <c r="G77" s="1390">
        <f t="shared" si="4"/>
        <v>1.2314201274156176E-2</v>
      </c>
      <c r="H77" s="1391">
        <f>+G77+H76</f>
        <v>0.14537362645460017</v>
      </c>
      <c r="I77" s="1389">
        <v>278985.27599320019</v>
      </c>
      <c r="J77" s="1390">
        <f t="shared" si="5"/>
        <v>1.2314201274156176E-2</v>
      </c>
      <c r="K77" s="1391">
        <f t="shared" si="7"/>
        <v>0.14537362645460017</v>
      </c>
      <c r="L77" s="1386" t="str">
        <f t="shared" si="12"/>
        <v>ADELANTADO</v>
      </c>
      <c r="M77" s="1386" t="str">
        <f t="shared" si="12"/>
        <v>ADELANTADO</v>
      </c>
      <c r="N77" s="1343"/>
      <c r="O77" s="1343"/>
      <c r="P77" s="1343"/>
      <c r="Q77" s="1343"/>
      <c r="R77" s="1343"/>
      <c r="S77" s="1343"/>
      <c r="T77" s="1343"/>
      <c r="U77" s="1343"/>
      <c r="V77" s="1343"/>
      <c r="W77" s="1343"/>
      <c r="X77" s="1343"/>
      <c r="Y77" s="1343"/>
      <c r="Z77" s="1343"/>
      <c r="AA77" s="1343"/>
      <c r="AB77" s="1343"/>
      <c r="AC77" s="1343"/>
      <c r="AD77" s="1343"/>
      <c r="AE77" s="1343"/>
      <c r="AF77" s="1343"/>
      <c r="AG77" s="1343"/>
      <c r="AH77" s="1343"/>
      <c r="AI77" s="1343"/>
      <c r="AJ77" s="1343"/>
      <c r="AK77" s="1343"/>
      <c r="AL77" s="1343"/>
      <c r="AM77" s="1343"/>
      <c r="AN77" s="1343"/>
      <c r="AP77" s="1295">
        <f t="shared" si="8"/>
        <v>3293522.6894241394</v>
      </c>
      <c r="AQ77" s="1295">
        <f t="shared" si="9"/>
        <v>3293522.6894241394</v>
      </c>
    </row>
    <row r="78" spans="1:44">
      <c r="A78" s="1372">
        <f t="shared" si="10"/>
        <v>10</v>
      </c>
      <c r="B78" s="1388">
        <v>43951</v>
      </c>
      <c r="C78" s="1389"/>
      <c r="D78" s="1390"/>
      <c r="E78" s="1391"/>
      <c r="F78" s="1389">
        <v>0</v>
      </c>
      <c r="G78" s="1390">
        <f t="shared" si="4"/>
        <v>0</v>
      </c>
      <c r="H78" s="1391">
        <f t="shared" si="11"/>
        <v>0.14537362645460017</v>
      </c>
      <c r="I78" s="1389">
        <v>0</v>
      </c>
      <c r="J78" s="1390">
        <f t="shared" si="5"/>
        <v>0</v>
      </c>
      <c r="K78" s="1391">
        <f t="shared" si="7"/>
        <v>0.14537362645460017</v>
      </c>
      <c r="L78" s="1386" t="str">
        <f t="shared" si="12"/>
        <v>ADELANTADO</v>
      </c>
      <c r="M78" s="1386" t="str">
        <f t="shared" si="12"/>
        <v>ADELANTADO</v>
      </c>
      <c r="N78" s="1343"/>
      <c r="O78" s="1343"/>
      <c r="P78" s="1343"/>
      <c r="Q78" s="1343"/>
      <c r="R78" s="1343"/>
      <c r="S78" s="1343"/>
      <c r="T78" s="1343"/>
      <c r="U78" s="1343"/>
      <c r="V78" s="1343"/>
      <c r="W78" s="1343"/>
      <c r="X78" s="1343"/>
      <c r="Y78" s="1343"/>
      <c r="Z78" s="1343"/>
      <c r="AA78" s="1343"/>
      <c r="AB78" s="1343"/>
      <c r="AC78" s="1343"/>
      <c r="AD78" s="1343"/>
      <c r="AE78" s="1343"/>
      <c r="AF78" s="1343"/>
      <c r="AG78" s="1343"/>
      <c r="AH78" s="1343"/>
      <c r="AI78" s="1343"/>
      <c r="AJ78" s="1343"/>
      <c r="AK78" s="1343"/>
      <c r="AL78" s="1343"/>
      <c r="AM78" s="1343"/>
      <c r="AN78" s="1343"/>
      <c r="AP78" s="1295"/>
      <c r="AQ78" s="1295"/>
    </row>
    <row r="79" spans="1:44">
      <c r="A79" s="1372">
        <f t="shared" si="10"/>
        <v>11</v>
      </c>
      <c r="B79" s="1388">
        <v>43982</v>
      </c>
      <c r="C79" s="1389"/>
      <c r="D79" s="1390"/>
      <c r="E79" s="1391"/>
      <c r="F79" s="1389">
        <v>0</v>
      </c>
      <c r="G79" s="1390">
        <f t="shared" si="4"/>
        <v>0</v>
      </c>
      <c r="H79" s="1391">
        <f t="shared" si="11"/>
        <v>0.14537362645460017</v>
      </c>
      <c r="I79" s="1389">
        <v>0</v>
      </c>
      <c r="J79" s="1390">
        <f t="shared" si="5"/>
        <v>0</v>
      </c>
      <c r="K79" s="1391">
        <f t="shared" si="7"/>
        <v>0.14537362645460017</v>
      </c>
      <c r="L79" s="1386" t="str">
        <f t="shared" si="12"/>
        <v>ADELANTADO</v>
      </c>
      <c r="M79" s="1386" t="str">
        <f t="shared" si="12"/>
        <v>ADELANTADO</v>
      </c>
      <c r="N79" s="1343"/>
      <c r="O79" s="1343"/>
      <c r="P79" s="1343"/>
      <c r="Q79" s="1343"/>
      <c r="R79" s="1343"/>
      <c r="S79" s="1343"/>
      <c r="T79" s="1343"/>
      <c r="U79" s="1343"/>
      <c r="V79" s="1343"/>
      <c r="W79" s="1343"/>
      <c r="X79" s="1343"/>
      <c r="Y79" s="1343"/>
      <c r="Z79" s="1343"/>
      <c r="AA79" s="1343"/>
      <c r="AB79" s="1343"/>
      <c r="AC79" s="1343"/>
      <c r="AD79" s="1343"/>
      <c r="AE79" s="1343"/>
      <c r="AF79" s="1343"/>
      <c r="AG79" s="1343"/>
      <c r="AH79" s="1343"/>
      <c r="AI79" s="1343"/>
      <c r="AJ79" s="1343"/>
      <c r="AK79" s="1343"/>
      <c r="AL79" s="1343"/>
      <c r="AM79" s="1343"/>
      <c r="AN79" s="1343"/>
      <c r="AP79" s="1295"/>
      <c r="AQ79" s="1295"/>
    </row>
    <row r="80" spans="1:44">
      <c r="A80" s="1372">
        <f t="shared" si="10"/>
        <v>12</v>
      </c>
      <c r="B80" s="1388">
        <v>44012</v>
      </c>
      <c r="C80" s="1389"/>
      <c r="D80" s="1390"/>
      <c r="E80" s="1391"/>
      <c r="F80" s="1389">
        <v>10883.300000000001</v>
      </c>
      <c r="G80" s="1390">
        <f t="shared" si="4"/>
        <v>4.8038071632959734E-4</v>
      </c>
      <c r="H80" s="1391">
        <f t="shared" si="11"/>
        <v>0.14585400717092978</v>
      </c>
      <c r="I80" s="1389">
        <f>+Y63</f>
        <v>10883.300000000001</v>
      </c>
      <c r="J80" s="1390">
        <f t="shared" si="5"/>
        <v>4.8038071632959734E-4</v>
      </c>
      <c r="K80" s="1391">
        <f t="shared" si="7"/>
        <v>0.14585400717092978</v>
      </c>
      <c r="L80" s="1386" t="str">
        <f t="shared" si="12"/>
        <v>ADELANTADO</v>
      </c>
      <c r="M80" s="1386" t="str">
        <f t="shared" si="12"/>
        <v>ADELANTADO</v>
      </c>
      <c r="N80" s="1343"/>
      <c r="O80" s="1343"/>
      <c r="P80" s="1343"/>
      <c r="Q80" s="1343"/>
      <c r="R80" s="1343"/>
      <c r="S80" s="1343"/>
      <c r="T80" s="1343"/>
      <c r="U80" s="1343"/>
      <c r="V80" s="1343"/>
      <c r="W80" s="1343"/>
      <c r="X80" s="1343"/>
      <c r="Y80" s="1343"/>
      <c r="Z80" s="1343"/>
      <c r="AA80" s="1343"/>
      <c r="AB80" s="1343"/>
      <c r="AC80" s="1343"/>
      <c r="AD80" s="1343"/>
      <c r="AE80" s="1343"/>
      <c r="AF80" s="1343"/>
      <c r="AG80" s="1343"/>
      <c r="AH80" s="1343"/>
      <c r="AI80" s="1343"/>
      <c r="AJ80" s="1343"/>
      <c r="AK80" s="1343"/>
      <c r="AL80" s="1343"/>
      <c r="AM80" s="1343"/>
      <c r="AN80" s="1343"/>
      <c r="AP80" s="1295"/>
      <c r="AQ80" s="1295"/>
    </row>
    <row r="81" spans="1:43">
      <c r="A81" s="1372">
        <f t="shared" si="10"/>
        <v>13</v>
      </c>
      <c r="B81" s="1388">
        <v>44043</v>
      </c>
      <c r="C81" s="1389"/>
      <c r="D81" s="1390"/>
      <c r="E81" s="1391"/>
      <c r="F81" s="1389">
        <v>718732.04767999949</v>
      </c>
      <c r="G81" s="1390">
        <f t="shared" si="4"/>
        <v>3.1724294645333349E-2</v>
      </c>
      <c r="H81" s="1391">
        <f t="shared" si="11"/>
        <v>0.17757830181626313</v>
      </c>
      <c r="I81" s="1389">
        <f>+Z63</f>
        <v>718732.04767999949</v>
      </c>
      <c r="J81" s="1390">
        <f t="shared" si="5"/>
        <v>3.1724294645333349E-2</v>
      </c>
      <c r="K81" s="1391">
        <f t="shared" si="7"/>
        <v>0.17757830181626313</v>
      </c>
      <c r="L81" s="1386" t="str">
        <f t="shared" si="12"/>
        <v>ADELANTADO</v>
      </c>
      <c r="M81" s="1386" t="str">
        <f t="shared" si="12"/>
        <v>ADELANTADO</v>
      </c>
      <c r="N81" s="1343"/>
      <c r="O81" s="1343"/>
      <c r="P81" s="1343"/>
      <c r="Q81" s="1343"/>
      <c r="R81" s="1343"/>
      <c r="S81" s="1343"/>
      <c r="T81" s="1343"/>
      <c r="U81" s="1343"/>
      <c r="V81" s="1343"/>
      <c r="W81" s="1343"/>
      <c r="X81" s="1343"/>
      <c r="Y81" s="1343"/>
      <c r="Z81" s="1343"/>
      <c r="AA81" s="1343"/>
      <c r="AB81" s="1343"/>
      <c r="AC81" s="1343"/>
      <c r="AD81" s="1343"/>
      <c r="AE81" s="1343"/>
      <c r="AF81" s="1343"/>
      <c r="AG81" s="1343"/>
      <c r="AH81" s="1343"/>
      <c r="AI81" s="1343"/>
      <c r="AJ81" s="1343"/>
      <c r="AK81" s="1343"/>
      <c r="AL81" s="1343"/>
      <c r="AM81" s="1343"/>
      <c r="AN81" s="1343"/>
      <c r="AP81" s="1295"/>
      <c r="AQ81" s="1295"/>
    </row>
    <row r="82" spans="1:43">
      <c r="A82" s="1372">
        <f t="shared" si="10"/>
        <v>14</v>
      </c>
      <c r="B82" s="1388">
        <v>44074</v>
      </c>
      <c r="C82" s="1389"/>
      <c r="D82" s="1390"/>
      <c r="E82" s="1391"/>
      <c r="F82" s="1389">
        <v>615154.61599999992</v>
      </c>
      <c r="G82" s="1390">
        <f t="shared" si="4"/>
        <v>2.715246433412093E-2</v>
      </c>
      <c r="H82" s="1391">
        <f t="shared" si="11"/>
        <v>0.20473076615038407</v>
      </c>
      <c r="I82" s="1389">
        <f>+AA63</f>
        <v>615154.61599999992</v>
      </c>
      <c r="J82" s="1390">
        <f t="shared" si="5"/>
        <v>2.715246433412093E-2</v>
      </c>
      <c r="K82" s="1391">
        <f t="shared" si="7"/>
        <v>0.20473076615038407</v>
      </c>
      <c r="L82" s="1386" t="str">
        <f t="shared" si="12"/>
        <v>ADELANTADO</v>
      </c>
      <c r="M82" s="1386" t="str">
        <f t="shared" si="12"/>
        <v>ADELANTADO</v>
      </c>
      <c r="N82" s="1343"/>
      <c r="O82" s="1343"/>
      <c r="P82" s="1343"/>
      <c r="Q82" s="1343"/>
      <c r="R82" s="1343"/>
      <c r="S82" s="1343"/>
      <c r="T82" s="1343"/>
      <c r="U82" s="1343"/>
      <c r="V82" s="1343"/>
      <c r="W82" s="1343"/>
      <c r="X82" s="1343"/>
      <c r="Y82" s="1343"/>
      <c r="Z82" s="1343"/>
      <c r="AA82" s="1343"/>
      <c r="AB82" s="1343"/>
      <c r="AC82" s="1343"/>
      <c r="AD82" s="1343"/>
      <c r="AE82" s="1343"/>
      <c r="AF82" s="1343"/>
      <c r="AG82" s="1343"/>
      <c r="AH82" s="1343"/>
      <c r="AI82" s="1343"/>
      <c r="AJ82" s="1343"/>
      <c r="AK82" s="1343"/>
      <c r="AL82" s="1343"/>
      <c r="AM82" s="1343"/>
      <c r="AN82" s="1343"/>
      <c r="AP82" s="1295"/>
      <c r="AQ82" s="1295"/>
    </row>
    <row r="83" spans="1:43">
      <c r="A83" s="1372">
        <f t="shared" si="10"/>
        <v>15</v>
      </c>
      <c r="B83" s="1388">
        <v>44104</v>
      </c>
      <c r="C83" s="1389"/>
      <c r="D83" s="1390"/>
      <c r="E83" s="1391"/>
      <c r="F83" s="1389">
        <v>433137.69059099996</v>
      </c>
      <c r="G83" s="1390">
        <f t="shared" si="4"/>
        <v>1.9118373478214514E-2</v>
      </c>
      <c r="H83" s="1391">
        <f t="shared" si="11"/>
        <v>0.22384913962859859</v>
      </c>
      <c r="I83" s="1389">
        <f>+AB63</f>
        <v>433137.69059099996</v>
      </c>
      <c r="J83" s="1390">
        <f t="shared" si="5"/>
        <v>1.9118373478214514E-2</v>
      </c>
      <c r="K83" s="1391">
        <f t="shared" si="7"/>
        <v>0.22384913962859859</v>
      </c>
      <c r="L83" s="1386" t="str">
        <f t="shared" si="12"/>
        <v>ADELANTADO</v>
      </c>
      <c r="M83" s="1386" t="str">
        <f t="shared" si="12"/>
        <v>ADELANTADO</v>
      </c>
      <c r="N83" s="1343"/>
      <c r="O83" s="1343"/>
      <c r="P83" s="1343"/>
      <c r="Q83" s="1343"/>
      <c r="R83" s="1343"/>
      <c r="S83" s="1343"/>
      <c r="T83" s="1343"/>
      <c r="U83" s="1343"/>
      <c r="V83" s="1343"/>
      <c r="W83" s="1343"/>
      <c r="X83" s="1343"/>
      <c r="Y83" s="1343"/>
      <c r="Z83" s="1343"/>
      <c r="AA83" s="1343"/>
      <c r="AB83" s="1343"/>
      <c r="AC83" s="1343"/>
      <c r="AD83" s="1343"/>
      <c r="AE83" s="1343"/>
      <c r="AF83" s="1343"/>
      <c r="AG83" s="1343"/>
      <c r="AH83" s="1343"/>
      <c r="AI83" s="1343"/>
      <c r="AJ83" s="1343"/>
      <c r="AK83" s="1343"/>
      <c r="AL83" s="1343"/>
      <c r="AM83" s="1343"/>
      <c r="AN83" s="1343"/>
      <c r="AP83" s="1295"/>
      <c r="AQ83" s="1295"/>
    </row>
    <row r="84" spans="1:43" s="1443" customFormat="1">
      <c r="A84" s="1372">
        <f t="shared" si="10"/>
        <v>16</v>
      </c>
      <c r="B84" s="1437">
        <v>44135</v>
      </c>
      <c r="C84" s="1438"/>
      <c r="D84" s="1439"/>
      <c r="E84" s="1440"/>
      <c r="F84" s="1438">
        <v>537925.3792812482</v>
      </c>
      <c r="G84" s="1390">
        <f t="shared" si="4"/>
        <v>2.3743623628035275E-2</v>
      </c>
      <c r="H84" s="1440">
        <f t="shared" si="11"/>
        <v>0.24759276325663387</v>
      </c>
      <c r="I84" s="1438">
        <f>+AC63</f>
        <v>537925.3792812482</v>
      </c>
      <c r="J84" s="1390">
        <f t="shared" si="5"/>
        <v>2.3743623628035275E-2</v>
      </c>
      <c r="K84" s="1440">
        <f t="shared" si="7"/>
        <v>0.24759276325663387</v>
      </c>
      <c r="L84" s="1441" t="str">
        <f t="shared" si="12"/>
        <v>ADELANTADO</v>
      </c>
      <c r="M84" s="1441" t="str">
        <f t="shared" si="12"/>
        <v>ADELANTADO</v>
      </c>
      <c r="N84" s="1442"/>
      <c r="O84" s="1442"/>
      <c r="P84" s="1442"/>
      <c r="Q84" s="1442"/>
      <c r="R84" s="1442"/>
      <c r="S84" s="1442"/>
      <c r="T84" s="1442"/>
      <c r="U84" s="1442"/>
      <c r="V84" s="1442"/>
      <c r="W84" s="1442"/>
      <c r="X84" s="1442"/>
      <c r="Y84" s="1442"/>
      <c r="Z84" s="1442"/>
      <c r="AA84" s="1442"/>
      <c r="AB84" s="1442"/>
      <c r="AC84" s="1442"/>
      <c r="AD84" s="1442"/>
      <c r="AE84" s="1442"/>
      <c r="AF84" s="1442"/>
      <c r="AG84" s="1442"/>
      <c r="AH84" s="1442"/>
      <c r="AI84" s="1442"/>
      <c r="AJ84" s="1442"/>
      <c r="AK84" s="1442"/>
      <c r="AL84" s="1442"/>
      <c r="AM84" s="1442"/>
      <c r="AN84" s="1442"/>
      <c r="AP84" s="1444"/>
      <c r="AQ84" s="1444"/>
    </row>
    <row r="85" spans="1:43">
      <c r="A85" s="1372">
        <f t="shared" si="10"/>
        <v>17</v>
      </c>
      <c r="B85" s="1437">
        <v>44165</v>
      </c>
      <c r="C85" s="1438"/>
      <c r="D85" s="1439"/>
      <c r="E85" s="1440"/>
      <c r="F85" s="1438">
        <v>893804.87490000005</v>
      </c>
      <c r="G85" s="1390">
        <f t="shared" si="4"/>
        <v>3.9451878204528786E-2</v>
      </c>
      <c r="H85" s="1391">
        <f t="shared" si="11"/>
        <v>0.28704464146116265</v>
      </c>
      <c r="I85" s="1438">
        <f>+AD63</f>
        <v>893804.87490000005</v>
      </c>
      <c r="J85" s="1390">
        <f t="shared" si="5"/>
        <v>3.9451878204528786E-2</v>
      </c>
      <c r="K85" s="1440">
        <f t="shared" si="7"/>
        <v>0.28704464146116265</v>
      </c>
      <c r="L85" s="1441" t="str">
        <f t="shared" si="12"/>
        <v>ADELANTADO</v>
      </c>
      <c r="M85" s="1441" t="str">
        <f t="shared" si="12"/>
        <v>ADELANTADO</v>
      </c>
      <c r="N85" s="1343"/>
      <c r="O85" s="1343"/>
      <c r="P85" s="1343"/>
      <c r="Q85" s="1343"/>
      <c r="R85" s="1343"/>
      <c r="S85" s="1343"/>
      <c r="T85" s="1343"/>
      <c r="U85" s="1343"/>
      <c r="V85" s="1343"/>
      <c r="W85" s="1343"/>
      <c r="X85" s="1343"/>
      <c r="Y85" s="1343"/>
      <c r="Z85" s="1343"/>
      <c r="AA85" s="1343"/>
      <c r="AB85" s="1343"/>
      <c r="AC85" s="1343"/>
      <c r="AD85" s="1343"/>
      <c r="AE85" s="1343"/>
      <c r="AF85" s="1343"/>
      <c r="AG85" s="1343"/>
      <c r="AH85" s="1343"/>
      <c r="AI85" s="1343"/>
      <c r="AJ85" s="1343"/>
      <c r="AK85" s="1343"/>
      <c r="AL85" s="1343"/>
      <c r="AM85" s="1343"/>
      <c r="AN85" s="1343"/>
      <c r="AP85" s="1295"/>
      <c r="AQ85" s="1295"/>
    </row>
    <row r="86" spans="1:43">
      <c r="A86" s="1372">
        <f t="shared" si="10"/>
        <v>18</v>
      </c>
      <c r="B86" s="1437">
        <v>44196</v>
      </c>
      <c r="C86" s="1438"/>
      <c r="D86" s="1439"/>
      <c r="E86" s="1440"/>
      <c r="F86" s="1438">
        <v>1198303.2483999999</v>
      </c>
      <c r="G86" s="1390">
        <f t="shared" si="4"/>
        <v>5.2892208507206023E-2</v>
      </c>
      <c r="H86" s="1391">
        <f t="shared" si="11"/>
        <v>0.3399368499683687</v>
      </c>
      <c r="I86" s="1438">
        <f>+AE63</f>
        <v>1198303.2483999999</v>
      </c>
      <c r="J86" s="1390">
        <f t="shared" si="5"/>
        <v>5.2892208507206023E-2</v>
      </c>
      <c r="K86" s="1440">
        <f t="shared" si="7"/>
        <v>0.3399368499683687</v>
      </c>
      <c r="L86" s="1441" t="str">
        <f t="shared" si="12"/>
        <v>ADELANTADO</v>
      </c>
      <c r="M86" s="1441" t="str">
        <f t="shared" si="12"/>
        <v>ADELANTADO</v>
      </c>
      <c r="N86" s="1343"/>
      <c r="O86" s="1343"/>
      <c r="P86" s="1343"/>
      <c r="Q86" s="1343"/>
      <c r="R86" s="1343"/>
      <c r="S86" s="1343"/>
      <c r="T86" s="1343"/>
      <c r="U86" s="1343"/>
      <c r="V86" s="1343"/>
      <c r="W86" s="1343"/>
      <c r="X86" s="1343"/>
      <c r="Y86" s="1343"/>
      <c r="Z86" s="1343"/>
      <c r="AA86" s="1343"/>
      <c r="AB86" s="1343"/>
      <c r="AC86" s="1343"/>
      <c r="AD86" s="1343"/>
      <c r="AE86" s="1343"/>
      <c r="AF86" s="1343"/>
      <c r="AG86" s="1343"/>
      <c r="AH86" s="1343"/>
      <c r="AI86" s="1343"/>
      <c r="AJ86" s="1343"/>
      <c r="AK86" s="1343"/>
      <c r="AL86" s="1343"/>
      <c r="AM86" s="1343"/>
      <c r="AN86" s="1343"/>
      <c r="AP86" s="1295"/>
      <c r="AQ86" s="1295"/>
    </row>
    <row r="87" spans="1:43">
      <c r="A87" s="1372">
        <f t="shared" si="10"/>
        <v>19</v>
      </c>
      <c r="B87" s="1437">
        <v>44227</v>
      </c>
      <c r="C87" s="1438"/>
      <c r="D87" s="1439"/>
      <c r="E87" s="1440"/>
      <c r="F87" s="1438">
        <v>290175.82593217224</v>
      </c>
      <c r="G87" s="1390">
        <f t="shared" si="4"/>
        <v>1.2808143772828962E-2</v>
      </c>
      <c r="H87" s="1440">
        <f>G87+H86</f>
        <v>0.35274499374119767</v>
      </c>
      <c r="I87" s="1438">
        <f>+AF63</f>
        <v>290175.82593217224</v>
      </c>
      <c r="J87" s="1390">
        <f t="shared" si="5"/>
        <v>1.2808143772828962E-2</v>
      </c>
      <c r="K87" s="1440">
        <f>J87+K86</f>
        <v>0.35274499374119767</v>
      </c>
      <c r="L87" s="1441" t="str">
        <f>IF(J87&gt;=G87,"ADELANTADO","ATRASADO")</f>
        <v>ADELANTADO</v>
      </c>
      <c r="M87" s="1441" t="str">
        <f t="shared" si="12"/>
        <v>ADELANTADO</v>
      </c>
      <c r="N87" s="1343"/>
      <c r="O87" s="1343"/>
      <c r="P87" s="1343"/>
      <c r="Q87" s="1343"/>
      <c r="R87" s="1343"/>
      <c r="S87" s="1343"/>
      <c r="T87" s="1343"/>
      <c r="U87" s="1343"/>
      <c r="V87" s="1343"/>
      <c r="W87" s="1343"/>
      <c r="X87" s="1343"/>
      <c r="Y87" s="1343"/>
      <c r="Z87" s="1343"/>
      <c r="AA87" s="1343"/>
      <c r="AB87" s="1343"/>
      <c r="AC87" s="1343"/>
      <c r="AD87" s="1343"/>
      <c r="AE87" s="1343"/>
      <c r="AF87" s="1343"/>
      <c r="AG87" s="1343"/>
      <c r="AH87" s="1343"/>
      <c r="AI87" s="1343"/>
      <c r="AJ87" s="1343"/>
      <c r="AK87" s="1343"/>
      <c r="AL87" s="1343"/>
      <c r="AM87" s="1343"/>
      <c r="AN87" s="1343"/>
      <c r="AP87" s="1295"/>
      <c r="AQ87" s="1295"/>
    </row>
    <row r="88" spans="1:43">
      <c r="A88" s="1372">
        <f t="shared" si="10"/>
        <v>20</v>
      </c>
      <c r="B88" s="1437">
        <v>44255</v>
      </c>
      <c r="C88" s="1438"/>
      <c r="D88" s="1439"/>
      <c r="E88" s="1440"/>
      <c r="F88" s="1438">
        <v>0</v>
      </c>
      <c r="G88" s="1390">
        <f t="shared" si="4"/>
        <v>0</v>
      </c>
      <c r="H88" s="1440">
        <f t="shared" si="11"/>
        <v>0.35274499374119767</v>
      </c>
      <c r="I88" s="1438">
        <v>0</v>
      </c>
      <c r="J88" s="1390">
        <f t="shared" si="5"/>
        <v>0</v>
      </c>
      <c r="K88" s="1440">
        <f t="shared" si="7"/>
        <v>0.35274499374119767</v>
      </c>
      <c r="L88" s="1441" t="str">
        <f>IF(J88&gt;=G88,"ADELANTADO","ATRASADO")</f>
        <v>ADELANTADO</v>
      </c>
      <c r="M88" s="1441" t="str">
        <f t="shared" ref="M88:M90" si="13">IF(K88&gt;=H88,"ADELANTADO","ATRASADO")</f>
        <v>ADELANTADO</v>
      </c>
      <c r="N88" s="1343"/>
      <c r="O88" s="1343"/>
      <c r="P88" s="1343"/>
      <c r="Q88" s="1343"/>
      <c r="R88" s="1343"/>
      <c r="S88" s="1343"/>
      <c r="T88" s="1343"/>
      <c r="U88" s="1343"/>
      <c r="V88" s="1343"/>
      <c r="W88" s="1343"/>
      <c r="X88" s="1343"/>
      <c r="Y88" s="1343"/>
      <c r="Z88" s="1343"/>
      <c r="AA88" s="1343"/>
      <c r="AB88" s="1343"/>
      <c r="AC88" s="1343"/>
      <c r="AD88" s="1343"/>
      <c r="AE88" s="1343"/>
      <c r="AF88" s="1343"/>
      <c r="AG88" s="1343"/>
      <c r="AH88" s="1343"/>
      <c r="AI88" s="1343"/>
      <c r="AJ88" s="1343"/>
      <c r="AK88" s="1343"/>
      <c r="AL88" s="1343"/>
      <c r="AM88" s="1343"/>
      <c r="AN88" s="1343"/>
      <c r="AP88" s="1295"/>
      <c r="AQ88" s="1295"/>
    </row>
    <row r="89" spans="1:43">
      <c r="A89" s="1372">
        <f t="shared" si="10"/>
        <v>21</v>
      </c>
      <c r="B89" s="1437">
        <v>44286</v>
      </c>
      <c r="C89" s="1438"/>
      <c r="D89" s="1439"/>
      <c r="E89" s="1440"/>
      <c r="F89" s="1438">
        <v>739551.09941010596</v>
      </c>
      <c r="G89" s="1390">
        <f t="shared" si="4"/>
        <v>3.2643232006557561E-2</v>
      </c>
      <c r="H89" s="1440">
        <f t="shared" si="11"/>
        <v>0.38538822574775522</v>
      </c>
      <c r="I89" s="1438">
        <f>+AH63</f>
        <v>739551.09941010596</v>
      </c>
      <c r="J89" s="1390">
        <f t="shared" si="5"/>
        <v>3.2643232006557561E-2</v>
      </c>
      <c r="K89" s="1440">
        <f t="shared" si="7"/>
        <v>0.38538822574775522</v>
      </c>
      <c r="L89" s="1441" t="str">
        <f>IF(J89&gt;=G89,"ADELANTADO","ATRASADO")</f>
        <v>ADELANTADO</v>
      </c>
      <c r="M89" s="1441" t="str">
        <f t="shared" si="13"/>
        <v>ADELANTADO</v>
      </c>
      <c r="N89" s="1343"/>
      <c r="O89" s="1343"/>
      <c r="P89" s="1343"/>
      <c r="Q89" s="1343"/>
      <c r="R89" s="1343"/>
      <c r="S89" s="1343"/>
      <c r="T89" s="1343"/>
      <c r="U89" s="1343"/>
      <c r="V89" s="1343"/>
      <c r="W89" s="1343"/>
      <c r="X89" s="1343"/>
      <c r="Y89" s="1343"/>
      <c r="Z89" s="1343"/>
      <c r="AA89" s="1343"/>
      <c r="AB89" s="1343"/>
      <c r="AC89" s="1343"/>
      <c r="AD89" s="1343"/>
      <c r="AE89" s="1343"/>
      <c r="AF89" s="1343"/>
      <c r="AG89" s="1343"/>
      <c r="AH89" s="1343"/>
      <c r="AI89" s="1343"/>
      <c r="AJ89" s="1343"/>
      <c r="AK89" s="1343"/>
      <c r="AL89" s="1343"/>
      <c r="AM89" s="1343"/>
      <c r="AN89" s="1343"/>
      <c r="AP89" s="1295"/>
      <c r="AQ89" s="1295"/>
    </row>
    <row r="90" spans="1:43">
      <c r="A90" s="1372">
        <f t="shared" si="10"/>
        <v>22</v>
      </c>
      <c r="B90" s="1437">
        <v>44316</v>
      </c>
      <c r="C90" s="1438"/>
      <c r="D90" s="1439"/>
      <c r="E90" s="1440"/>
      <c r="F90" s="1438">
        <v>786986.7972846406</v>
      </c>
      <c r="G90" s="1390">
        <f t="shared" si="4"/>
        <v>3.4737008207210242E-2</v>
      </c>
      <c r="H90" s="1440">
        <f t="shared" si="11"/>
        <v>0.42012523395496548</v>
      </c>
      <c r="I90" s="1438">
        <f>+AI63</f>
        <v>786986.7972846406</v>
      </c>
      <c r="J90" s="1390">
        <f t="shared" si="5"/>
        <v>3.4737008207210242E-2</v>
      </c>
      <c r="K90" s="1440">
        <f t="shared" si="7"/>
        <v>0.42012523395496548</v>
      </c>
      <c r="L90" s="1441" t="str">
        <f>IF(J90&gt;=G90,"ADELANTADO","ATRASADO")</f>
        <v>ADELANTADO</v>
      </c>
      <c r="M90" s="1441" t="str">
        <f t="shared" si="13"/>
        <v>ADELANTADO</v>
      </c>
      <c r="N90" s="1343"/>
      <c r="O90" s="1343"/>
      <c r="P90" s="1343"/>
      <c r="Q90" s="1343"/>
      <c r="R90" s="1343"/>
      <c r="S90" s="1343"/>
      <c r="T90" s="1343"/>
      <c r="U90" s="1343"/>
      <c r="V90" s="1343"/>
      <c r="W90" s="1343"/>
      <c r="X90" s="1343"/>
      <c r="Y90" s="1343"/>
      <c r="Z90" s="1343"/>
      <c r="AA90" s="1343"/>
      <c r="AB90" s="1343"/>
      <c r="AC90" s="1343"/>
      <c r="AD90" s="1343"/>
      <c r="AE90" s="1343"/>
      <c r="AF90" s="1343"/>
      <c r="AG90" s="1343"/>
      <c r="AH90" s="1343"/>
      <c r="AI90" s="1343"/>
      <c r="AJ90" s="1343"/>
      <c r="AK90" s="1343"/>
      <c r="AL90" s="1343"/>
      <c r="AM90" s="1343"/>
      <c r="AN90" s="1343"/>
      <c r="AP90" s="1295"/>
      <c r="AQ90" s="1295"/>
    </row>
    <row r="91" spans="1:43">
      <c r="A91" s="1372">
        <f t="shared" si="10"/>
        <v>23</v>
      </c>
      <c r="B91" s="1437">
        <v>44346</v>
      </c>
      <c r="C91" s="1438"/>
      <c r="D91" s="1439"/>
      <c r="E91" s="1440"/>
      <c r="F91" s="1438">
        <v>748512.35712756019</v>
      </c>
      <c r="G91" s="1390">
        <f t="shared" si="4"/>
        <v>3.3038775215099528E-2</v>
      </c>
      <c r="H91" s="1440">
        <f t="shared" ref="H91:H92" si="14">G91+H90</f>
        <v>0.453164009170065</v>
      </c>
      <c r="I91" s="1438">
        <f>+AJ63</f>
        <v>748512.35712756019</v>
      </c>
      <c r="J91" s="1390">
        <f t="shared" si="5"/>
        <v>3.3038775215099528E-2</v>
      </c>
      <c r="K91" s="1440">
        <f t="shared" si="7"/>
        <v>0.453164009170065</v>
      </c>
      <c r="L91" s="1441" t="str">
        <f t="shared" ref="L91:L92" si="15">IF(J91&gt;=G91,"ADELANTADO","ATRASADO")</f>
        <v>ADELANTADO</v>
      </c>
      <c r="M91" s="1441" t="str">
        <f t="shared" ref="M91:M92" si="16">IF(K91&gt;=H91,"ADELANTADO","ATRASADO")</f>
        <v>ADELANTADO</v>
      </c>
      <c r="N91" s="1343"/>
      <c r="O91" s="1343"/>
      <c r="P91" s="1343"/>
      <c r="Q91" s="1343"/>
      <c r="R91" s="1343"/>
      <c r="S91" s="1343"/>
      <c r="T91" s="1343"/>
      <c r="U91" s="1343"/>
      <c r="V91" s="1343"/>
      <c r="W91" s="1343"/>
      <c r="X91" s="1343"/>
      <c r="Y91" s="1343"/>
      <c r="Z91" s="1343"/>
      <c r="AA91" s="1343"/>
      <c r="AB91" s="1343"/>
      <c r="AC91" s="1343"/>
      <c r="AD91" s="1343"/>
      <c r="AE91" s="1343"/>
      <c r="AF91" s="1343"/>
      <c r="AG91" s="1343"/>
      <c r="AH91" s="1343"/>
      <c r="AI91" s="1343"/>
      <c r="AJ91" s="1343"/>
      <c r="AK91" s="1343"/>
      <c r="AL91" s="1343"/>
      <c r="AM91" s="1343"/>
      <c r="AN91" s="1343"/>
      <c r="AP91" s="1295"/>
      <c r="AQ91" s="1295"/>
    </row>
    <row r="92" spans="1:43">
      <c r="A92" s="1372">
        <f t="shared" si="10"/>
        <v>24</v>
      </c>
      <c r="B92" s="1437">
        <v>44377</v>
      </c>
      <c r="C92" s="1438"/>
      <c r="D92" s="1439"/>
      <c r="E92" s="1440"/>
      <c r="F92" s="1438">
        <v>734104.83104864007</v>
      </c>
      <c r="G92" s="1390">
        <f t="shared" si="4"/>
        <v>3.2402837797374302E-2</v>
      </c>
      <c r="H92" s="1440">
        <f t="shared" si="14"/>
        <v>0.48556684696743929</v>
      </c>
      <c r="I92" s="1438">
        <v>734104.83104864007</v>
      </c>
      <c r="J92" s="1390">
        <f t="shared" si="5"/>
        <v>3.2402837797374302E-2</v>
      </c>
      <c r="K92" s="1440">
        <f t="shared" si="7"/>
        <v>0.48556684696743929</v>
      </c>
      <c r="L92" s="1441" t="str">
        <f t="shared" si="15"/>
        <v>ADELANTADO</v>
      </c>
      <c r="M92" s="1441" t="str">
        <f t="shared" si="16"/>
        <v>ADELANTADO</v>
      </c>
      <c r="N92" s="1343"/>
      <c r="O92" s="1343"/>
      <c r="P92" s="1343"/>
      <c r="Q92" s="1343"/>
      <c r="R92" s="1343"/>
      <c r="S92" s="1343"/>
      <c r="T92" s="1343"/>
      <c r="U92" s="1343"/>
      <c r="V92" s="1343"/>
      <c r="W92" s="1343"/>
      <c r="X92" s="1343"/>
      <c r="Y92" s="1343"/>
      <c r="Z92" s="1343"/>
      <c r="AA92" s="1343"/>
      <c r="AB92" s="1343"/>
      <c r="AC92" s="1343"/>
      <c r="AD92" s="1343"/>
      <c r="AE92" s="1343"/>
      <c r="AF92" s="1343"/>
      <c r="AG92" s="1343"/>
      <c r="AH92" s="1343"/>
      <c r="AI92" s="1343"/>
      <c r="AJ92" s="1343"/>
      <c r="AK92" s="1343"/>
      <c r="AL92" s="1343"/>
      <c r="AM92" s="1343"/>
      <c r="AN92" s="1343"/>
      <c r="AP92" s="1295"/>
      <c r="AQ92" s="1295"/>
    </row>
    <row r="93" spans="1:43">
      <c r="A93" s="1372">
        <f t="shared" si="10"/>
        <v>25</v>
      </c>
      <c r="B93" s="1437">
        <v>44408</v>
      </c>
      <c r="C93" s="1438"/>
      <c r="D93" s="1439"/>
      <c r="E93" s="1440"/>
      <c r="F93" s="1438">
        <v>722254.07459729782</v>
      </c>
      <c r="G93" s="1390">
        <f t="shared" si="4"/>
        <v>3.1879754277380969E-2</v>
      </c>
      <c r="H93" s="1440">
        <f t="shared" ref="H93" si="17">G93+H92</f>
        <v>0.51744660124482023</v>
      </c>
      <c r="I93" s="1438">
        <v>722254.07459729782</v>
      </c>
      <c r="J93" s="1390">
        <f t="shared" si="5"/>
        <v>3.1879754277380969E-2</v>
      </c>
      <c r="K93" s="1440">
        <f t="shared" ref="K93" si="18">J93+K92</f>
        <v>0.51744660124482023</v>
      </c>
      <c r="L93" s="1441" t="str">
        <f t="shared" ref="L93" si="19">IF(J93&gt;=G93,"ADELANTADO","ATRASADO")</f>
        <v>ADELANTADO</v>
      </c>
      <c r="M93" s="1441" t="str">
        <f t="shared" ref="M93" si="20">IF(K93&gt;=H93,"ADELANTADO","ATRASADO")</f>
        <v>ADELANTADO</v>
      </c>
      <c r="N93" s="1343"/>
      <c r="O93" s="1343"/>
      <c r="P93" s="1343"/>
      <c r="Q93" s="1343"/>
      <c r="R93" s="1343"/>
      <c r="S93" s="1343"/>
      <c r="T93" s="1343"/>
      <c r="U93" s="1343"/>
      <c r="V93" s="1343"/>
      <c r="W93" s="1343"/>
      <c r="X93" s="1343"/>
      <c r="Y93" s="1343"/>
      <c r="Z93" s="1343"/>
      <c r="AA93" s="1343"/>
      <c r="AB93" s="1343"/>
      <c r="AC93" s="1343"/>
      <c r="AD93" s="1343"/>
      <c r="AE93" s="1343"/>
      <c r="AF93" s="1343"/>
      <c r="AG93" s="1343"/>
      <c r="AH93" s="1343"/>
      <c r="AI93" s="1343"/>
      <c r="AJ93" s="1343"/>
      <c r="AK93" s="1343"/>
      <c r="AL93" s="1343"/>
      <c r="AM93" s="1343"/>
      <c r="AN93" s="1343"/>
      <c r="AP93" s="1295"/>
      <c r="AQ93" s="1295"/>
    </row>
    <row r="94" spans="1:43">
      <c r="A94" s="1372">
        <f t="shared" si="10"/>
        <v>26</v>
      </c>
      <c r="B94" s="1437">
        <v>44439</v>
      </c>
      <c r="C94" s="1438"/>
      <c r="D94" s="1439"/>
      <c r="E94" s="1440"/>
      <c r="F94" s="1438">
        <v>0</v>
      </c>
      <c r="G94" s="1390">
        <f t="shared" si="4"/>
        <v>0</v>
      </c>
      <c r="H94" s="1440">
        <f t="shared" ref="H94" si="21">G94+H93</f>
        <v>0.51744660124482023</v>
      </c>
      <c r="I94" s="1438">
        <v>0</v>
      </c>
      <c r="J94" s="1390">
        <f t="shared" si="5"/>
        <v>0</v>
      </c>
      <c r="K94" s="1440">
        <f t="shared" ref="K94" si="22">J94+K93</f>
        <v>0.51744660124482023</v>
      </c>
      <c r="L94" s="1441" t="str">
        <f t="shared" ref="L94" si="23">IF(J94&gt;=G94,"ADELANTADO","ATRASADO")</f>
        <v>ADELANTADO</v>
      </c>
      <c r="M94" s="1441" t="str">
        <f t="shared" ref="M94" si="24">IF(K94&gt;=H94,"ADELANTADO","ATRASADO")</f>
        <v>ADELANTADO</v>
      </c>
      <c r="N94" s="1343"/>
      <c r="O94" s="1343"/>
      <c r="P94" s="1343"/>
      <c r="Q94" s="1343"/>
      <c r="R94" s="1343"/>
      <c r="S94" s="1343"/>
      <c r="T94" s="1343"/>
      <c r="U94" s="1343"/>
      <c r="V94" s="1343"/>
      <c r="W94" s="1343"/>
      <c r="X94" s="1343"/>
      <c r="Y94" s="1343"/>
      <c r="Z94" s="1343"/>
      <c r="AA94" s="1343"/>
      <c r="AB94" s="1343"/>
      <c r="AC94" s="1343"/>
      <c r="AD94" s="1343"/>
      <c r="AE94" s="1343"/>
      <c r="AF94" s="1343"/>
      <c r="AG94" s="1343"/>
      <c r="AH94" s="1343"/>
      <c r="AI94" s="1343"/>
      <c r="AJ94" s="1343"/>
      <c r="AK94" s="1343"/>
      <c r="AL94" s="1343"/>
      <c r="AM94" s="1343"/>
      <c r="AN94" s="1343"/>
      <c r="AP94" s="1295"/>
      <c r="AQ94" s="1295"/>
    </row>
    <row r="95" spans="1:43">
      <c r="A95" s="1372">
        <f t="shared" si="10"/>
        <v>27</v>
      </c>
      <c r="B95" s="1437">
        <v>44469</v>
      </c>
      <c r="C95" s="1438"/>
      <c r="D95" s="1439"/>
      <c r="E95" s="1440"/>
      <c r="F95" s="1438">
        <v>0</v>
      </c>
      <c r="G95" s="1390">
        <f t="shared" si="4"/>
        <v>0</v>
      </c>
      <c r="H95" s="1440">
        <f t="shared" ref="H95" si="25">G95+H94</f>
        <v>0.51744660124482023</v>
      </c>
      <c r="I95" s="1438">
        <v>0</v>
      </c>
      <c r="J95" s="1390">
        <f t="shared" si="5"/>
        <v>0</v>
      </c>
      <c r="K95" s="1440">
        <f t="shared" ref="K95" si="26">J95+K94</f>
        <v>0.51744660124482023</v>
      </c>
      <c r="L95" s="1441" t="str">
        <f t="shared" ref="L95" si="27">IF(J95&gt;=G95,"ADELANTADO","ATRASADO")</f>
        <v>ADELANTADO</v>
      </c>
      <c r="M95" s="1441" t="str">
        <f t="shared" ref="M95" si="28">IF(K95&gt;=H95,"ADELANTADO","ATRASADO")</f>
        <v>ADELANTADO</v>
      </c>
      <c r="N95" s="1343"/>
      <c r="O95" s="1343"/>
      <c r="P95" s="1343"/>
      <c r="Q95" s="1343"/>
      <c r="R95" s="1343"/>
      <c r="S95" s="1343"/>
      <c r="T95" s="1343"/>
      <c r="U95" s="1343"/>
      <c r="V95" s="1343"/>
      <c r="W95" s="1343"/>
      <c r="X95" s="1343"/>
      <c r="Y95" s="1343"/>
      <c r="Z95" s="1343"/>
      <c r="AA95" s="1343"/>
      <c r="AB95" s="1343"/>
      <c r="AC95" s="1343"/>
      <c r="AD95" s="1343"/>
      <c r="AE95" s="1343"/>
      <c r="AF95" s="1343"/>
      <c r="AG95" s="1343"/>
      <c r="AH95" s="1343"/>
      <c r="AI95" s="1343"/>
      <c r="AJ95" s="1343"/>
      <c r="AK95" s="1343"/>
      <c r="AL95" s="1343"/>
      <c r="AM95" s="1343"/>
      <c r="AN95" s="1343"/>
      <c r="AP95" s="1295"/>
      <c r="AQ95" s="1295"/>
    </row>
    <row r="96" spans="1:43">
      <c r="A96" s="1372">
        <f t="shared" si="10"/>
        <v>28</v>
      </c>
      <c r="B96" s="1437">
        <v>44500</v>
      </c>
      <c r="C96" s="1438"/>
      <c r="D96" s="1439"/>
      <c r="E96" s="1440"/>
      <c r="F96" s="1438">
        <v>793790.43433117657</v>
      </c>
      <c r="G96" s="1390">
        <f t="shared" si="4"/>
        <v>3.5037315654221857E-2</v>
      </c>
      <c r="H96" s="1440">
        <f>G96+H95</f>
        <v>0.55248391689904208</v>
      </c>
      <c r="I96" s="1438">
        <v>402439.05875293631</v>
      </c>
      <c r="J96" s="1390">
        <f t="shared" si="5"/>
        <v>1.7763358845455372E-2</v>
      </c>
      <c r="K96" s="1440">
        <f>J96+K95</f>
        <v>0.53520996009027555</v>
      </c>
      <c r="L96" s="1441" t="str">
        <f t="shared" ref="L96:L97" si="29">IF(J96&gt;=G96,"ADELANTADO","ATRASADO")</f>
        <v>ATRASADO</v>
      </c>
      <c r="M96" s="1441" t="str">
        <f t="shared" ref="M96:M97" si="30">IF(K96&gt;=H96,"ADELANTADO","ATRASADO")</f>
        <v>ATRASADO</v>
      </c>
      <c r="N96" s="1343"/>
      <c r="O96" s="1343"/>
      <c r="P96" s="1343"/>
      <c r="Q96" s="1343"/>
      <c r="R96" s="1343"/>
      <c r="S96" s="1343"/>
      <c r="T96" s="1343"/>
      <c r="U96" s="1343"/>
      <c r="V96" s="1343"/>
      <c r="W96" s="1343"/>
      <c r="X96" s="1343"/>
      <c r="Y96" s="1343"/>
      <c r="Z96" s="1343"/>
      <c r="AA96" s="1343"/>
      <c r="AB96" s="1343"/>
      <c r="AC96" s="1343"/>
      <c r="AD96" s="1343"/>
      <c r="AE96" s="1343"/>
      <c r="AF96" s="1343"/>
      <c r="AG96" s="1343"/>
      <c r="AH96" s="1343"/>
      <c r="AI96" s="1343"/>
      <c r="AJ96" s="1343"/>
      <c r="AK96" s="1343"/>
      <c r="AL96" s="1343"/>
      <c r="AM96" s="1343"/>
      <c r="AN96" s="1343"/>
      <c r="AP96" s="1295"/>
      <c r="AQ96" s="1295"/>
    </row>
    <row r="97" spans="1:43">
      <c r="A97" s="1372">
        <f t="shared" si="10"/>
        <v>29</v>
      </c>
      <c r="B97" s="1437">
        <v>44530</v>
      </c>
      <c r="C97" s="1438"/>
      <c r="D97" s="1439"/>
      <c r="E97" s="1440"/>
      <c r="F97" s="1438">
        <v>1288775.8327739933</v>
      </c>
      <c r="G97" s="1390">
        <f t="shared" si="4"/>
        <v>5.6885600666731984E-2</v>
      </c>
      <c r="H97" s="1440">
        <f t="shared" ref="H97" si="31">G97+H96</f>
        <v>0.60936951756577407</v>
      </c>
      <c r="I97" s="1438">
        <v>422157.39032383333</v>
      </c>
      <c r="J97" s="1390">
        <f t="shared" si="5"/>
        <v>1.8633711242692606E-2</v>
      </c>
      <c r="K97" s="1440">
        <f t="shared" ref="K97" si="32">J97+K96</f>
        <v>0.55384367133296819</v>
      </c>
      <c r="L97" s="1441" t="str">
        <f t="shared" si="29"/>
        <v>ATRASADO</v>
      </c>
      <c r="M97" s="1441" t="str">
        <f t="shared" si="30"/>
        <v>ATRASADO</v>
      </c>
      <c r="N97" s="1343"/>
      <c r="O97" s="1343"/>
      <c r="P97" s="1343"/>
      <c r="Q97" s="1343"/>
      <c r="R97" s="1343"/>
      <c r="S97" s="1343"/>
      <c r="T97" s="1343"/>
      <c r="U97" s="1343"/>
      <c r="V97" s="1343"/>
      <c r="W97" s="1343"/>
      <c r="X97" s="1343"/>
      <c r="Y97" s="1343"/>
      <c r="Z97" s="1343"/>
      <c r="AA97" s="1343"/>
      <c r="AB97" s="1343"/>
      <c r="AC97" s="1343"/>
      <c r="AD97" s="1343"/>
      <c r="AE97" s="1343"/>
      <c r="AF97" s="1343"/>
      <c r="AG97" s="1343"/>
      <c r="AH97" s="1343"/>
      <c r="AI97" s="1343"/>
      <c r="AJ97" s="1343"/>
      <c r="AK97" s="1343"/>
      <c r="AL97" s="1343"/>
      <c r="AM97" s="1343"/>
      <c r="AN97" s="1343"/>
      <c r="AP97" s="1295"/>
      <c r="AQ97" s="1295"/>
    </row>
    <row r="98" spans="1:43">
      <c r="A98" s="1372">
        <f t="shared" si="10"/>
        <v>30</v>
      </c>
      <c r="B98" s="1437">
        <v>44561</v>
      </c>
      <c r="C98" s="1438"/>
      <c r="D98" s="1439"/>
      <c r="E98" s="1440"/>
      <c r="F98" s="1438">
        <v>1509272.1980750002</v>
      </c>
      <c r="G98" s="1390">
        <f t="shared" si="4"/>
        <v>6.6618145199306686E-2</v>
      </c>
      <c r="H98" s="1440">
        <f t="shared" ref="H98" si="33">G98+H97</f>
        <v>0.67598766276508071</v>
      </c>
      <c r="I98" s="1438">
        <v>504519.78975630016</v>
      </c>
      <c r="J98" s="1390">
        <f t="shared" si="5"/>
        <v>2.2269125909015582E-2</v>
      </c>
      <c r="K98" s="1440">
        <f t="shared" ref="K98:K99" si="34">J98+K97</f>
        <v>0.57611279724198372</v>
      </c>
      <c r="L98" s="1441" t="str">
        <f t="shared" ref="L98:L100" si="35">IF(J98&gt;=G98,"ADELANTADO","ATRASADO")</f>
        <v>ATRASADO</v>
      </c>
      <c r="M98" s="1441" t="str">
        <f t="shared" ref="M98:M100" si="36">IF(K98&gt;=H98,"ADELANTADO","ATRASADO")</f>
        <v>ATRASADO</v>
      </c>
      <c r="N98" s="1343"/>
      <c r="O98" s="1343"/>
      <c r="P98" s="1343"/>
      <c r="Q98" s="1343"/>
      <c r="R98" s="1343"/>
      <c r="S98" s="1343"/>
      <c r="T98" s="1343"/>
      <c r="U98" s="1343"/>
      <c r="V98" s="1343"/>
      <c r="W98" s="1343"/>
      <c r="X98" s="1343"/>
      <c r="Y98" s="1343"/>
      <c r="Z98" s="1343"/>
      <c r="AA98" s="1343"/>
      <c r="AB98" s="1343"/>
      <c r="AC98" s="1343"/>
      <c r="AD98" s="1343"/>
      <c r="AE98" s="1343"/>
      <c r="AF98" s="1343"/>
      <c r="AG98" s="1343"/>
      <c r="AH98" s="1343"/>
      <c r="AI98" s="1343"/>
      <c r="AJ98" s="1343"/>
      <c r="AK98" s="1343"/>
      <c r="AL98" s="1343"/>
      <c r="AM98" s="1343"/>
      <c r="AN98" s="1343"/>
      <c r="AP98" s="1295"/>
      <c r="AQ98" s="1295"/>
    </row>
    <row r="99" spans="1:43">
      <c r="A99" s="1372">
        <v>31</v>
      </c>
      <c r="B99" s="1437">
        <v>44586</v>
      </c>
      <c r="C99" s="1438"/>
      <c r="D99" s="1439"/>
      <c r="E99" s="1440"/>
      <c r="F99" s="1438"/>
      <c r="G99" s="1390">
        <f>+F99/$F$103</f>
        <v>0</v>
      </c>
      <c r="H99" s="1440">
        <f>G99+H98</f>
        <v>0.67598766276508071</v>
      </c>
      <c r="I99" s="1438">
        <v>422882.93004926667</v>
      </c>
      <c r="J99" s="1390">
        <f t="shared" si="5"/>
        <v>1.8665736023138726E-2</v>
      </c>
      <c r="K99" s="1440">
        <f t="shared" si="34"/>
        <v>0.59477853326512242</v>
      </c>
      <c r="L99" s="1441" t="str">
        <f t="shared" si="35"/>
        <v>ADELANTADO</v>
      </c>
      <c r="M99" s="1441" t="str">
        <f t="shared" si="36"/>
        <v>ATRASADO</v>
      </c>
      <c r="N99" s="1343"/>
      <c r="O99" s="1343"/>
      <c r="P99" s="1343"/>
      <c r="Q99" s="1343"/>
      <c r="R99" s="1343"/>
      <c r="S99" s="1343"/>
      <c r="T99" s="1343"/>
      <c r="U99" s="1343"/>
      <c r="V99" s="1343"/>
      <c r="W99" s="1343"/>
      <c r="X99" s="1343"/>
      <c r="Y99" s="1343"/>
      <c r="Z99" s="1343"/>
      <c r="AA99" s="1343"/>
      <c r="AB99" s="1343"/>
      <c r="AC99" s="1343"/>
      <c r="AD99" s="1343"/>
      <c r="AE99" s="1343"/>
      <c r="AF99" s="1343"/>
      <c r="AG99" s="1343"/>
      <c r="AH99" s="1343"/>
      <c r="AI99" s="1343"/>
      <c r="AJ99" s="1343"/>
      <c r="AK99" s="1343"/>
      <c r="AL99" s="1343"/>
      <c r="AM99" s="1343"/>
      <c r="AN99" s="1343"/>
      <c r="AP99" s="1295"/>
      <c r="AQ99" s="1295"/>
    </row>
    <row r="100" spans="1:43">
      <c r="A100" s="1372">
        <v>32</v>
      </c>
      <c r="B100" s="1437">
        <v>44620</v>
      </c>
      <c r="C100" s="1438"/>
      <c r="D100" s="1439"/>
      <c r="E100" s="1440"/>
      <c r="F100" s="1438">
        <v>7340684.8983699176</v>
      </c>
      <c r="G100" s="1390">
        <f>+F100/$F$103</f>
        <v>0.3240123372349194</v>
      </c>
      <c r="H100" s="1440">
        <f>G100+H99</f>
        <v>1</v>
      </c>
      <c r="I100" s="1438">
        <f>+'RESUMEN GENERAL'!F42</f>
        <v>289037.12929840002</v>
      </c>
      <c r="J100" s="1390">
        <f>+I100/F$103</f>
        <v>1.2757882555678501E-2</v>
      </c>
      <c r="K100" s="1440">
        <f>J100+K99</f>
        <v>0.60753641582080098</v>
      </c>
      <c r="L100" s="1441" t="str">
        <f t="shared" si="35"/>
        <v>ATRASADO</v>
      </c>
      <c r="M100" s="1441" t="str">
        <f t="shared" si="36"/>
        <v>ATRASADO</v>
      </c>
      <c r="N100" s="1343"/>
      <c r="O100" s="1343"/>
      <c r="P100" s="1343"/>
      <c r="Q100" s="1343"/>
      <c r="R100" s="1343"/>
      <c r="S100" s="1343"/>
      <c r="T100" s="1343"/>
      <c r="U100" s="1343"/>
      <c r="V100" s="1343"/>
      <c r="W100" s="1343"/>
      <c r="X100" s="1343"/>
      <c r="Y100" s="1343"/>
      <c r="Z100" s="1343"/>
      <c r="AA100" s="1343"/>
      <c r="AB100" s="1343"/>
      <c r="AC100" s="1343"/>
      <c r="AD100" s="1343"/>
      <c r="AE100" s="1343"/>
      <c r="AF100" s="1343"/>
      <c r="AG100" s="1343"/>
      <c r="AH100" s="1343"/>
      <c r="AI100" s="1343"/>
      <c r="AJ100" s="1343"/>
      <c r="AK100" s="1343"/>
      <c r="AL100" s="1343"/>
      <c r="AM100" s="1343"/>
      <c r="AN100" s="1343"/>
      <c r="AP100" s="1295"/>
      <c r="AQ100" s="1295"/>
    </row>
    <row r="101" spans="1:43">
      <c r="A101" s="1372"/>
      <c r="B101" s="1437"/>
      <c r="C101" s="1438"/>
      <c r="D101" s="1439"/>
      <c r="E101" s="1440"/>
      <c r="F101" s="1438"/>
      <c r="G101" s="1390"/>
      <c r="H101" s="1440"/>
      <c r="I101" s="1438"/>
      <c r="J101" s="1390"/>
      <c r="K101" s="1440"/>
      <c r="L101" s="1441"/>
      <c r="M101" s="1441"/>
      <c r="N101" s="1343"/>
      <c r="O101" s="1343"/>
      <c r="P101" s="1343"/>
      <c r="Q101" s="1343"/>
      <c r="R101" s="1343"/>
      <c r="S101" s="1343"/>
      <c r="T101" s="1343"/>
      <c r="U101" s="1343"/>
      <c r="V101" s="1343"/>
      <c r="W101" s="1343"/>
      <c r="X101" s="1343"/>
      <c r="Y101" s="1343"/>
      <c r="Z101" s="1343"/>
      <c r="AA101" s="1343"/>
      <c r="AB101" s="1343"/>
      <c r="AC101" s="1343"/>
      <c r="AD101" s="1343"/>
      <c r="AE101" s="1343"/>
      <c r="AF101" s="1343"/>
      <c r="AG101" s="1343"/>
      <c r="AH101" s="1343"/>
      <c r="AI101" s="1343"/>
      <c r="AJ101" s="1343"/>
      <c r="AK101" s="1343"/>
      <c r="AL101" s="1343"/>
      <c r="AM101" s="1343"/>
      <c r="AN101" s="1343"/>
      <c r="AP101" s="1295"/>
      <c r="AQ101" s="1295"/>
    </row>
    <row r="102" spans="1:43">
      <c r="A102" s="2503"/>
      <c r="B102" s="1359"/>
      <c r="C102" s="1360"/>
      <c r="D102" s="1361"/>
      <c r="E102" s="1359"/>
      <c r="F102" s="1360"/>
      <c r="G102" s="1361"/>
      <c r="H102" s="1359"/>
      <c r="I102" s="1360"/>
      <c r="J102" s="1361"/>
      <c r="K102" s="1362"/>
      <c r="L102" s="1362"/>
      <c r="M102" s="1343"/>
      <c r="N102" s="1530">
        <v>11780058.5096162</v>
      </c>
      <c r="O102" s="1530"/>
      <c r="P102" s="1530"/>
      <c r="Q102" s="1530"/>
      <c r="R102" s="1530"/>
      <c r="S102" s="1530"/>
      <c r="T102" s="1530"/>
      <c r="U102" s="1530"/>
      <c r="V102" s="1530"/>
      <c r="W102" s="1530"/>
      <c r="X102" s="1530"/>
      <c r="Y102" s="1530"/>
      <c r="Z102" s="1530"/>
      <c r="AA102" s="1530"/>
      <c r="AB102" s="1530"/>
      <c r="AC102" s="1530"/>
      <c r="AD102" s="1530"/>
      <c r="AE102" s="1530"/>
      <c r="AF102" s="1530"/>
      <c r="AG102" s="1530"/>
      <c r="AH102" s="1530"/>
      <c r="AI102" s="1530"/>
      <c r="AJ102" s="1530"/>
      <c r="AK102" s="1530"/>
      <c r="AL102" s="1530"/>
      <c r="AM102" s="1530"/>
      <c r="AN102" s="1530"/>
      <c r="AP102" s="1295"/>
      <c r="AQ102" s="1295" t="e">
        <f>#REF!+E102</f>
        <v>#REF!</v>
      </c>
    </row>
    <row r="103" spans="1:43" ht="18" customHeight="1">
      <c r="A103" s="1404"/>
      <c r="B103" s="3082" t="s">
        <v>4316</v>
      </c>
      <c r="C103" s="3083"/>
      <c r="D103" s="3083"/>
      <c r="E103" s="3084"/>
      <c r="F103" s="2208">
        <f>SUM(F69:F100)</f>
        <v>22655572.195226889</v>
      </c>
      <c r="G103" s="2209">
        <f>SUM(G68:G102)</f>
        <v>1</v>
      </c>
      <c r="H103" s="2208"/>
      <c r="I103" s="2208">
        <f>SUM(I68:I102)+0.01</f>
        <v>13764085.139857538</v>
      </c>
      <c r="J103" s="2209">
        <f>+K100</f>
        <v>0.60753641582080098</v>
      </c>
      <c r="L103" s="1295"/>
    </row>
    <row r="104" spans="1:43">
      <c r="B104" s="3082" t="s">
        <v>4328</v>
      </c>
      <c r="C104" s="3083"/>
      <c r="D104" s="3083"/>
      <c r="E104" s="3084"/>
      <c r="F104" s="1389">
        <f>+'RESUMEN GENERAL'!C40</f>
        <v>-2258509.8199999998</v>
      </c>
      <c r="G104" s="2209">
        <f>(+F104/F103)*-1</f>
        <v>9.9688933059736459E-2</v>
      </c>
      <c r="H104" s="1387"/>
      <c r="I104" s="1387"/>
      <c r="J104" s="1387"/>
      <c r="L104" s="303" t="s">
        <v>9</v>
      </c>
    </row>
    <row r="105" spans="1:43">
      <c r="B105" s="3082" t="s">
        <v>4329</v>
      </c>
      <c r="C105" s="3083"/>
      <c r="D105" s="3083"/>
      <c r="E105" s="3084"/>
      <c r="F105" s="2239">
        <f>+F103+F104</f>
        <v>20397062.375226889</v>
      </c>
      <c r="G105" s="2209">
        <f>+F105/F103</f>
        <v>0.90031106694026353</v>
      </c>
      <c r="H105" s="1389"/>
      <c r="I105" s="2239">
        <f>+I103</f>
        <v>13764085.139857538</v>
      </c>
      <c r="J105" s="2209">
        <f>+I105/F105</f>
        <v>0.6748072289358007</v>
      </c>
    </row>
    <row r="106" spans="1:43">
      <c r="H106" s="1295"/>
    </row>
    <row r="107" spans="1:43">
      <c r="F107" s="1295">
        <f>SUM(F68:F93)</f>
        <v>11723048.831676802</v>
      </c>
      <c r="G107" s="1295">
        <f>+'RESUMEN GENERAL'!D42</f>
        <v>13951620.756219631</v>
      </c>
      <c r="H107" s="1295">
        <f>+F107-G107</f>
        <v>-2228571.9245428294</v>
      </c>
      <c r="I107" s="1295">
        <f>+'RESUMEN GENERAL'!H42</f>
        <v>14240657.885518033</v>
      </c>
      <c r="J107" s="1295">
        <f>+I103-I107</f>
        <v>-476572.74566049501</v>
      </c>
    </row>
    <row r="108" spans="1:43">
      <c r="E108" s="1295"/>
      <c r="F108" s="2238">
        <f>+'[39]valorizado HASTA SETIEMBRE 2021'!$AB$883</f>
        <v>10932523.363550087</v>
      </c>
    </row>
    <row r="109" spans="1:43">
      <c r="E109" s="1295"/>
      <c r="F109" s="1295">
        <f>SUM(F107:F108)</f>
        <v>22655572.195226889</v>
      </c>
      <c r="G109" s="1295">
        <f>SUM(F68:F100)</f>
        <v>22655572.195226889</v>
      </c>
    </row>
    <row r="110" spans="1:43">
      <c r="E110" s="1295"/>
      <c r="F110" s="1295">
        <f>SUM(F68:F98)</f>
        <v>15314887.296856971</v>
      </c>
      <c r="G110" s="1295">
        <f>+'RESUMEN GENERAL'!C42</f>
        <v>20414972.82</v>
      </c>
      <c r="H110" s="1295">
        <f>+G110-F110</f>
        <v>5100085.5231430288</v>
      </c>
      <c r="I110" s="1295">
        <f>+'RESUMEN GENERAL'!H42</f>
        <v>14240657.885518033</v>
      </c>
    </row>
    <row r="111" spans="1:43">
      <c r="F111" s="1295">
        <v>21937862.799199998</v>
      </c>
      <c r="I111" s="1295">
        <f>+I103-I107</f>
        <v>-476572.74566049501</v>
      </c>
      <c r="L111" s="303">
        <v>15398736.547100004</v>
      </c>
    </row>
    <row r="112" spans="1:43">
      <c r="F112" s="1295">
        <f>+F103-F111</f>
        <v>717709.39602689072</v>
      </c>
      <c r="L112" s="303">
        <v>15943790.338447237</v>
      </c>
    </row>
    <row r="113" spans="2:12">
      <c r="B113" s="303">
        <v>14829505.383399989</v>
      </c>
      <c r="L113" s="303">
        <v>15586650.219999999</v>
      </c>
    </row>
    <row r="114" spans="2:12">
      <c r="F114" s="1295">
        <f>+F100-F112</f>
        <v>6622975.5023430269</v>
      </c>
    </row>
    <row r="116" spans="2:12">
      <c r="B116" s="304"/>
      <c r="C116" s="1294"/>
      <c r="D116" s="304"/>
      <c r="E116" s="304"/>
      <c r="F116" s="1294"/>
      <c r="G116" s="304"/>
      <c r="H116" s="304"/>
      <c r="I116" s="304"/>
    </row>
    <row r="117" spans="2:12">
      <c r="B117" s="304"/>
      <c r="C117" s="1294"/>
      <c r="D117" s="304"/>
      <c r="E117" s="304"/>
      <c r="F117" s="304"/>
      <c r="G117" s="304"/>
      <c r="H117" s="304"/>
    </row>
    <row r="118" spans="2:12">
      <c r="B118" s="304"/>
      <c r="C118" s="1294"/>
      <c r="D118" s="304"/>
      <c r="E118" s="1295"/>
      <c r="F118" s="1296"/>
      <c r="G118" s="305"/>
    </row>
    <row r="119" spans="2:12">
      <c r="B119" s="1295"/>
      <c r="C119" s="1294"/>
      <c r="D119" s="304"/>
    </row>
    <row r="120" spans="2:12">
      <c r="B120" s="304"/>
      <c r="C120" s="1294"/>
      <c r="D120" s="304"/>
    </row>
    <row r="121" spans="2:12">
      <c r="B121" s="304"/>
      <c r="C121" s="1294"/>
      <c r="D121" s="304"/>
    </row>
    <row r="122" spans="2:12">
      <c r="B122" s="304"/>
      <c r="C122" s="1294"/>
      <c r="D122" s="304"/>
    </row>
    <row r="123" spans="2:12">
      <c r="B123" s="304"/>
      <c r="C123" s="1294"/>
      <c r="D123" s="304"/>
    </row>
    <row r="124" spans="2:12">
      <c r="B124" s="304"/>
      <c r="C124" s="1294"/>
      <c r="D124" s="304"/>
    </row>
    <row r="125" spans="2:12">
      <c r="B125" s="304"/>
      <c r="C125" s="1294"/>
      <c r="D125" s="304"/>
    </row>
    <row r="126" spans="2:12" ht="15">
      <c r="B126" s="304"/>
      <c r="C126" s="1294"/>
      <c r="D126" s="304"/>
      <c r="E126" s="1297"/>
      <c r="F126" s="1297"/>
    </row>
    <row r="127" spans="2:12">
      <c r="B127" s="304"/>
      <c r="C127" s="1294"/>
      <c r="D127" s="304"/>
    </row>
    <row r="128" spans="2:12">
      <c r="B128" s="304"/>
      <c r="C128" s="1294"/>
      <c r="D128" s="304"/>
    </row>
    <row r="129" spans="2:4">
      <c r="B129" s="304"/>
      <c r="C129" s="1294"/>
      <c r="D129" s="304"/>
    </row>
    <row r="130" spans="2:4">
      <c r="B130" s="304"/>
      <c r="C130" s="1294"/>
      <c r="D130" s="304"/>
    </row>
    <row r="131" spans="2:4">
      <c r="B131" s="303">
        <f>+B124/1.18</f>
        <v>0</v>
      </c>
    </row>
    <row r="132" spans="2:4">
      <c r="B132" s="303">
        <f>+B125/1.18</f>
        <v>0</v>
      </c>
    </row>
  </sheetData>
  <mergeCells count="27">
    <mergeCell ref="B1:N1"/>
    <mergeCell ref="AQ1:BC1"/>
    <mergeCell ref="B2:N2"/>
    <mergeCell ref="AQ2:BC2"/>
    <mergeCell ref="B3:N3"/>
    <mergeCell ref="AQ3:BC3"/>
    <mergeCell ref="AF56:AK56"/>
    <mergeCell ref="P56:U56"/>
    <mergeCell ref="D4:M4"/>
    <mergeCell ref="D5:F5"/>
    <mergeCell ref="D6:F6"/>
    <mergeCell ref="D12:M12"/>
    <mergeCell ref="N65:N66"/>
    <mergeCell ref="V56:AE56"/>
    <mergeCell ref="A63:N63"/>
    <mergeCell ref="B104:E104"/>
    <mergeCell ref="B105:E105"/>
    <mergeCell ref="I64:K64"/>
    <mergeCell ref="A64:B64"/>
    <mergeCell ref="A65:A66"/>
    <mergeCell ref="F64:H64"/>
    <mergeCell ref="B103:E103"/>
    <mergeCell ref="C64:E64"/>
    <mergeCell ref="L64:M64"/>
    <mergeCell ref="L65:L66"/>
    <mergeCell ref="M65:M66"/>
    <mergeCell ref="B65:B66"/>
  </mergeCells>
  <pageMargins left="0.96118110236220478" right="0.35433070866141736" top="0.74803149606299213" bottom="0.74803149606299213" header="0.31496062992125984" footer="0.31496062992125984"/>
  <pageSetup paperSize="9" scale="52" orientation="portrait" r:id="rId1"/>
  <rowBreaks count="1" manualBreakCount="1">
    <brk id="118"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4" zoomScaleNormal="100" zoomScaleSheetLayoutView="100" workbookViewId="0">
      <selection activeCell="G22" sqref="G22"/>
    </sheetView>
  </sheetViews>
  <sheetFormatPr baseColWidth="10" defaultRowHeight="12.75"/>
  <cols>
    <col min="1" max="1" width="3.42578125" style="18" customWidth="1"/>
    <col min="2" max="2" width="5.42578125" style="18" bestFit="1" customWidth="1"/>
    <col min="3" max="3" width="48.5703125" style="18" customWidth="1"/>
    <col min="4" max="4" width="7.5703125" style="18" customWidth="1"/>
    <col min="5" max="5" width="14.42578125" style="18" customWidth="1"/>
    <col min="6" max="6" width="13.42578125" style="26" customWidth="1"/>
    <col min="7" max="7" width="13" style="26" customWidth="1"/>
    <col min="8" max="8" width="12.85546875" style="26" customWidth="1"/>
    <col min="9" max="9" width="11.42578125" style="49" customWidth="1"/>
    <col min="10" max="10" width="14" style="49" customWidth="1"/>
    <col min="11" max="11" width="10.42578125" style="18" customWidth="1"/>
    <col min="12" max="12" width="7.42578125" style="18" bestFit="1" customWidth="1"/>
    <col min="13" max="13" width="11.5703125" style="18" customWidth="1"/>
    <col min="14" max="14" width="19.42578125" style="18" bestFit="1" customWidth="1"/>
    <col min="15" max="256" width="11.42578125" style="18"/>
    <col min="257" max="257" width="3.42578125" style="18" customWidth="1"/>
    <col min="258" max="258" width="5.42578125" style="18" bestFit="1" customWidth="1"/>
    <col min="259" max="259" width="43.42578125" style="18" customWidth="1"/>
    <col min="260" max="260" width="7.5703125" style="18" customWidth="1"/>
    <col min="261" max="261" width="14.42578125" style="18" customWidth="1"/>
    <col min="262" max="262" width="12.42578125" style="18" customWidth="1"/>
    <col min="263" max="263" width="13" style="18" customWidth="1"/>
    <col min="264" max="264" width="11.5703125" style="18" customWidth="1"/>
    <col min="265" max="265" width="11.42578125" style="18" customWidth="1"/>
    <col min="266" max="266" width="14" style="18" customWidth="1"/>
    <col min="267" max="267" width="8.42578125" style="18" customWidth="1"/>
    <col min="268" max="268" width="7.42578125" style="18" bestFit="1" customWidth="1"/>
    <col min="269" max="269" width="5.5703125" style="18" customWidth="1"/>
    <col min="270" max="270" width="19.42578125" style="18" bestFit="1" customWidth="1"/>
    <col min="271" max="512" width="11.42578125" style="18"/>
    <col min="513" max="513" width="3.42578125" style="18" customWidth="1"/>
    <col min="514" max="514" width="5.42578125" style="18" bestFit="1" customWidth="1"/>
    <col min="515" max="515" width="43.42578125" style="18" customWidth="1"/>
    <col min="516" max="516" width="7.5703125" style="18" customWidth="1"/>
    <col min="517" max="517" width="14.42578125" style="18" customWidth="1"/>
    <col min="518" max="518" width="12.42578125" style="18" customWidth="1"/>
    <col min="519" max="519" width="13" style="18" customWidth="1"/>
    <col min="520" max="520" width="11.5703125" style="18" customWidth="1"/>
    <col min="521" max="521" width="11.42578125" style="18" customWidth="1"/>
    <col min="522" max="522" width="14" style="18" customWidth="1"/>
    <col min="523" max="523" width="8.42578125" style="18" customWidth="1"/>
    <col min="524" max="524" width="7.42578125" style="18" bestFit="1" customWidth="1"/>
    <col min="525" max="525" width="5.5703125" style="18" customWidth="1"/>
    <col min="526" max="526" width="19.42578125" style="18" bestFit="1" customWidth="1"/>
    <col min="527" max="768" width="11.42578125" style="18"/>
    <col min="769" max="769" width="3.42578125" style="18" customWidth="1"/>
    <col min="770" max="770" width="5.42578125" style="18" bestFit="1" customWidth="1"/>
    <col min="771" max="771" width="43.42578125" style="18" customWidth="1"/>
    <col min="772" max="772" width="7.5703125" style="18" customWidth="1"/>
    <col min="773" max="773" width="14.42578125" style="18" customWidth="1"/>
    <col min="774" max="774" width="12.42578125" style="18" customWidth="1"/>
    <col min="775" max="775" width="13" style="18" customWidth="1"/>
    <col min="776" max="776" width="11.5703125" style="18" customWidth="1"/>
    <col min="777" max="777" width="11.42578125" style="18" customWidth="1"/>
    <col min="778" max="778" width="14" style="18" customWidth="1"/>
    <col min="779" max="779" width="8.42578125" style="18" customWidth="1"/>
    <col min="780" max="780" width="7.42578125" style="18" bestFit="1" customWidth="1"/>
    <col min="781" max="781" width="5.5703125" style="18" customWidth="1"/>
    <col min="782" max="782" width="19.42578125" style="18" bestFit="1" customWidth="1"/>
    <col min="783" max="1024" width="11.42578125" style="18"/>
    <col min="1025" max="1025" width="3.42578125" style="18" customWidth="1"/>
    <col min="1026" max="1026" width="5.42578125" style="18" bestFit="1" customWidth="1"/>
    <col min="1027" max="1027" width="43.42578125" style="18" customWidth="1"/>
    <col min="1028" max="1028" width="7.5703125" style="18" customWidth="1"/>
    <col min="1029" max="1029" width="14.42578125" style="18" customWidth="1"/>
    <col min="1030" max="1030" width="12.42578125" style="18" customWidth="1"/>
    <col min="1031" max="1031" width="13" style="18" customWidth="1"/>
    <col min="1032" max="1032" width="11.5703125" style="18" customWidth="1"/>
    <col min="1033" max="1033" width="11.42578125" style="18" customWidth="1"/>
    <col min="1034" max="1034" width="14" style="18" customWidth="1"/>
    <col min="1035" max="1035" width="8.42578125" style="18" customWidth="1"/>
    <col min="1036" max="1036" width="7.42578125" style="18" bestFit="1" customWidth="1"/>
    <col min="1037" max="1037" width="5.5703125" style="18" customWidth="1"/>
    <col min="1038" max="1038" width="19.42578125" style="18" bestFit="1" customWidth="1"/>
    <col min="1039" max="1280" width="11.42578125" style="18"/>
    <col min="1281" max="1281" width="3.42578125" style="18" customWidth="1"/>
    <col min="1282" max="1282" width="5.42578125" style="18" bestFit="1" customWidth="1"/>
    <col min="1283" max="1283" width="43.42578125" style="18" customWidth="1"/>
    <col min="1284" max="1284" width="7.5703125" style="18" customWidth="1"/>
    <col min="1285" max="1285" width="14.42578125" style="18" customWidth="1"/>
    <col min="1286" max="1286" width="12.42578125" style="18" customWidth="1"/>
    <col min="1287" max="1287" width="13" style="18" customWidth="1"/>
    <col min="1288" max="1288" width="11.5703125" style="18" customWidth="1"/>
    <col min="1289" max="1289" width="11.42578125" style="18" customWidth="1"/>
    <col min="1290" max="1290" width="14" style="18" customWidth="1"/>
    <col min="1291" max="1291" width="8.42578125" style="18" customWidth="1"/>
    <col min="1292" max="1292" width="7.42578125" style="18" bestFit="1" customWidth="1"/>
    <col min="1293" max="1293" width="5.5703125" style="18" customWidth="1"/>
    <col min="1294" max="1294" width="19.42578125" style="18" bestFit="1" customWidth="1"/>
    <col min="1295" max="1536" width="11.42578125" style="18"/>
    <col min="1537" max="1537" width="3.42578125" style="18" customWidth="1"/>
    <col min="1538" max="1538" width="5.42578125" style="18" bestFit="1" customWidth="1"/>
    <col min="1539" max="1539" width="43.42578125" style="18" customWidth="1"/>
    <col min="1540" max="1540" width="7.5703125" style="18" customWidth="1"/>
    <col min="1541" max="1541" width="14.42578125" style="18" customWidth="1"/>
    <col min="1542" max="1542" width="12.42578125" style="18" customWidth="1"/>
    <col min="1543" max="1543" width="13" style="18" customWidth="1"/>
    <col min="1544" max="1544" width="11.5703125" style="18" customWidth="1"/>
    <col min="1545" max="1545" width="11.42578125" style="18" customWidth="1"/>
    <col min="1546" max="1546" width="14" style="18" customWidth="1"/>
    <col min="1547" max="1547" width="8.42578125" style="18" customWidth="1"/>
    <col min="1548" max="1548" width="7.42578125" style="18" bestFit="1" customWidth="1"/>
    <col min="1549" max="1549" width="5.5703125" style="18" customWidth="1"/>
    <col min="1550" max="1550" width="19.42578125" style="18" bestFit="1" customWidth="1"/>
    <col min="1551" max="1792" width="11.42578125" style="18"/>
    <col min="1793" max="1793" width="3.42578125" style="18" customWidth="1"/>
    <col min="1794" max="1794" width="5.42578125" style="18" bestFit="1" customWidth="1"/>
    <col min="1795" max="1795" width="43.42578125" style="18" customWidth="1"/>
    <col min="1796" max="1796" width="7.5703125" style="18" customWidth="1"/>
    <col min="1797" max="1797" width="14.42578125" style="18" customWidth="1"/>
    <col min="1798" max="1798" width="12.42578125" style="18" customWidth="1"/>
    <col min="1799" max="1799" width="13" style="18" customWidth="1"/>
    <col min="1800" max="1800" width="11.5703125" style="18" customWidth="1"/>
    <col min="1801" max="1801" width="11.42578125" style="18" customWidth="1"/>
    <col min="1802" max="1802" width="14" style="18" customWidth="1"/>
    <col min="1803" max="1803" width="8.42578125" style="18" customWidth="1"/>
    <col min="1804" max="1804" width="7.42578125" style="18" bestFit="1" customWidth="1"/>
    <col min="1805" max="1805" width="5.5703125" style="18" customWidth="1"/>
    <col min="1806" max="1806" width="19.42578125" style="18" bestFit="1" customWidth="1"/>
    <col min="1807" max="2048" width="11.42578125" style="18"/>
    <col min="2049" max="2049" width="3.42578125" style="18" customWidth="1"/>
    <col min="2050" max="2050" width="5.42578125" style="18" bestFit="1" customWidth="1"/>
    <col min="2051" max="2051" width="43.42578125" style="18" customWidth="1"/>
    <col min="2052" max="2052" width="7.5703125" style="18" customWidth="1"/>
    <col min="2053" max="2053" width="14.42578125" style="18" customWidth="1"/>
    <col min="2054" max="2054" width="12.42578125" style="18" customWidth="1"/>
    <col min="2055" max="2055" width="13" style="18" customWidth="1"/>
    <col min="2056" max="2056" width="11.5703125" style="18" customWidth="1"/>
    <col min="2057" max="2057" width="11.42578125" style="18" customWidth="1"/>
    <col min="2058" max="2058" width="14" style="18" customWidth="1"/>
    <col min="2059" max="2059" width="8.42578125" style="18" customWidth="1"/>
    <col min="2060" max="2060" width="7.42578125" style="18" bestFit="1" customWidth="1"/>
    <col min="2061" max="2061" width="5.5703125" style="18" customWidth="1"/>
    <col min="2062" max="2062" width="19.42578125" style="18" bestFit="1" customWidth="1"/>
    <col min="2063" max="2304" width="11.42578125" style="18"/>
    <col min="2305" max="2305" width="3.42578125" style="18" customWidth="1"/>
    <col min="2306" max="2306" width="5.42578125" style="18" bestFit="1" customWidth="1"/>
    <col min="2307" max="2307" width="43.42578125" style="18" customWidth="1"/>
    <col min="2308" max="2308" width="7.5703125" style="18" customWidth="1"/>
    <col min="2309" max="2309" width="14.42578125" style="18" customWidth="1"/>
    <col min="2310" max="2310" width="12.42578125" style="18" customWidth="1"/>
    <col min="2311" max="2311" width="13" style="18" customWidth="1"/>
    <col min="2312" max="2312" width="11.5703125" style="18" customWidth="1"/>
    <col min="2313" max="2313" width="11.42578125" style="18" customWidth="1"/>
    <col min="2314" max="2314" width="14" style="18" customWidth="1"/>
    <col min="2315" max="2315" width="8.42578125" style="18" customWidth="1"/>
    <col min="2316" max="2316" width="7.42578125" style="18" bestFit="1" customWidth="1"/>
    <col min="2317" max="2317" width="5.5703125" style="18" customWidth="1"/>
    <col min="2318" max="2318" width="19.42578125" style="18" bestFit="1" customWidth="1"/>
    <col min="2319" max="2560" width="11.42578125" style="18"/>
    <col min="2561" max="2561" width="3.42578125" style="18" customWidth="1"/>
    <col min="2562" max="2562" width="5.42578125" style="18" bestFit="1" customWidth="1"/>
    <col min="2563" max="2563" width="43.42578125" style="18" customWidth="1"/>
    <col min="2564" max="2564" width="7.5703125" style="18" customWidth="1"/>
    <col min="2565" max="2565" width="14.42578125" style="18" customWidth="1"/>
    <col min="2566" max="2566" width="12.42578125" style="18" customWidth="1"/>
    <col min="2567" max="2567" width="13" style="18" customWidth="1"/>
    <col min="2568" max="2568" width="11.5703125" style="18" customWidth="1"/>
    <col min="2569" max="2569" width="11.42578125" style="18" customWidth="1"/>
    <col min="2570" max="2570" width="14" style="18" customWidth="1"/>
    <col min="2571" max="2571" width="8.42578125" style="18" customWidth="1"/>
    <col min="2572" max="2572" width="7.42578125" style="18" bestFit="1" customWidth="1"/>
    <col min="2573" max="2573" width="5.5703125" style="18" customWidth="1"/>
    <col min="2574" max="2574" width="19.42578125" style="18" bestFit="1" customWidth="1"/>
    <col min="2575" max="2816" width="11.42578125" style="18"/>
    <col min="2817" max="2817" width="3.42578125" style="18" customWidth="1"/>
    <col min="2818" max="2818" width="5.42578125" style="18" bestFit="1" customWidth="1"/>
    <col min="2819" max="2819" width="43.42578125" style="18" customWidth="1"/>
    <col min="2820" max="2820" width="7.5703125" style="18" customWidth="1"/>
    <col min="2821" max="2821" width="14.42578125" style="18" customWidth="1"/>
    <col min="2822" max="2822" width="12.42578125" style="18" customWidth="1"/>
    <col min="2823" max="2823" width="13" style="18" customWidth="1"/>
    <col min="2824" max="2824" width="11.5703125" style="18" customWidth="1"/>
    <col min="2825" max="2825" width="11.42578125" style="18" customWidth="1"/>
    <col min="2826" max="2826" width="14" style="18" customWidth="1"/>
    <col min="2827" max="2827" width="8.42578125" style="18" customWidth="1"/>
    <col min="2828" max="2828" width="7.42578125" style="18" bestFit="1" customWidth="1"/>
    <col min="2829" max="2829" width="5.5703125" style="18" customWidth="1"/>
    <col min="2830" max="2830" width="19.42578125" style="18" bestFit="1" customWidth="1"/>
    <col min="2831" max="3072" width="11.42578125" style="18"/>
    <col min="3073" max="3073" width="3.42578125" style="18" customWidth="1"/>
    <col min="3074" max="3074" width="5.42578125" style="18" bestFit="1" customWidth="1"/>
    <col min="3075" max="3075" width="43.42578125" style="18" customWidth="1"/>
    <col min="3076" max="3076" width="7.5703125" style="18" customWidth="1"/>
    <col min="3077" max="3077" width="14.42578125" style="18" customWidth="1"/>
    <col min="3078" max="3078" width="12.42578125" style="18" customWidth="1"/>
    <col min="3079" max="3079" width="13" style="18" customWidth="1"/>
    <col min="3080" max="3080" width="11.5703125" style="18" customWidth="1"/>
    <col min="3081" max="3081" width="11.42578125" style="18" customWidth="1"/>
    <col min="3082" max="3082" width="14" style="18" customWidth="1"/>
    <col min="3083" max="3083" width="8.42578125" style="18" customWidth="1"/>
    <col min="3084" max="3084" width="7.42578125" style="18" bestFit="1" customWidth="1"/>
    <col min="3085" max="3085" width="5.5703125" style="18" customWidth="1"/>
    <col min="3086" max="3086" width="19.42578125" style="18" bestFit="1" customWidth="1"/>
    <col min="3087" max="3328" width="11.42578125" style="18"/>
    <col min="3329" max="3329" width="3.42578125" style="18" customWidth="1"/>
    <col min="3330" max="3330" width="5.42578125" style="18" bestFit="1" customWidth="1"/>
    <col min="3331" max="3331" width="43.42578125" style="18" customWidth="1"/>
    <col min="3332" max="3332" width="7.5703125" style="18" customWidth="1"/>
    <col min="3333" max="3333" width="14.42578125" style="18" customWidth="1"/>
    <col min="3334" max="3334" width="12.42578125" style="18" customWidth="1"/>
    <col min="3335" max="3335" width="13" style="18" customWidth="1"/>
    <col min="3336" max="3336" width="11.5703125" style="18" customWidth="1"/>
    <col min="3337" max="3337" width="11.42578125" style="18" customWidth="1"/>
    <col min="3338" max="3338" width="14" style="18" customWidth="1"/>
    <col min="3339" max="3339" width="8.42578125" style="18" customWidth="1"/>
    <col min="3340" max="3340" width="7.42578125" style="18" bestFit="1" customWidth="1"/>
    <col min="3341" max="3341" width="5.5703125" style="18" customWidth="1"/>
    <col min="3342" max="3342" width="19.42578125" style="18" bestFit="1" customWidth="1"/>
    <col min="3343" max="3584" width="11.42578125" style="18"/>
    <col min="3585" max="3585" width="3.42578125" style="18" customWidth="1"/>
    <col min="3586" max="3586" width="5.42578125" style="18" bestFit="1" customWidth="1"/>
    <col min="3587" max="3587" width="43.42578125" style="18" customWidth="1"/>
    <col min="3588" max="3588" width="7.5703125" style="18" customWidth="1"/>
    <col min="3589" max="3589" width="14.42578125" style="18" customWidth="1"/>
    <col min="3590" max="3590" width="12.42578125" style="18" customWidth="1"/>
    <col min="3591" max="3591" width="13" style="18" customWidth="1"/>
    <col min="3592" max="3592" width="11.5703125" style="18" customWidth="1"/>
    <col min="3593" max="3593" width="11.42578125" style="18" customWidth="1"/>
    <col min="3594" max="3594" width="14" style="18" customWidth="1"/>
    <col min="3595" max="3595" width="8.42578125" style="18" customWidth="1"/>
    <col min="3596" max="3596" width="7.42578125" style="18" bestFit="1" customWidth="1"/>
    <col min="3597" max="3597" width="5.5703125" style="18" customWidth="1"/>
    <col min="3598" max="3598" width="19.42578125" style="18" bestFit="1" customWidth="1"/>
    <col min="3599" max="3840" width="11.42578125" style="18"/>
    <col min="3841" max="3841" width="3.42578125" style="18" customWidth="1"/>
    <col min="3842" max="3842" width="5.42578125" style="18" bestFit="1" customWidth="1"/>
    <col min="3843" max="3843" width="43.42578125" style="18" customWidth="1"/>
    <col min="3844" max="3844" width="7.5703125" style="18" customWidth="1"/>
    <col min="3845" max="3845" width="14.42578125" style="18" customWidth="1"/>
    <col min="3846" max="3846" width="12.42578125" style="18" customWidth="1"/>
    <col min="3847" max="3847" width="13" style="18" customWidth="1"/>
    <col min="3848" max="3848" width="11.5703125" style="18" customWidth="1"/>
    <col min="3849" max="3849" width="11.42578125" style="18" customWidth="1"/>
    <col min="3850" max="3850" width="14" style="18" customWidth="1"/>
    <col min="3851" max="3851" width="8.42578125" style="18" customWidth="1"/>
    <col min="3852" max="3852" width="7.42578125" style="18" bestFit="1" customWidth="1"/>
    <col min="3853" max="3853" width="5.5703125" style="18" customWidth="1"/>
    <col min="3854" max="3854" width="19.42578125" style="18" bestFit="1" customWidth="1"/>
    <col min="3855" max="4096" width="11.42578125" style="18"/>
    <col min="4097" max="4097" width="3.42578125" style="18" customWidth="1"/>
    <col min="4098" max="4098" width="5.42578125" style="18" bestFit="1" customWidth="1"/>
    <col min="4099" max="4099" width="43.42578125" style="18" customWidth="1"/>
    <col min="4100" max="4100" width="7.5703125" style="18" customWidth="1"/>
    <col min="4101" max="4101" width="14.42578125" style="18" customWidth="1"/>
    <col min="4102" max="4102" width="12.42578125" style="18" customWidth="1"/>
    <col min="4103" max="4103" width="13" style="18" customWidth="1"/>
    <col min="4104" max="4104" width="11.5703125" style="18" customWidth="1"/>
    <col min="4105" max="4105" width="11.42578125" style="18" customWidth="1"/>
    <col min="4106" max="4106" width="14" style="18" customWidth="1"/>
    <col min="4107" max="4107" width="8.42578125" style="18" customWidth="1"/>
    <col min="4108" max="4108" width="7.42578125" style="18" bestFit="1" customWidth="1"/>
    <col min="4109" max="4109" width="5.5703125" style="18" customWidth="1"/>
    <col min="4110" max="4110" width="19.42578125" style="18" bestFit="1" customWidth="1"/>
    <col min="4111" max="4352" width="11.42578125" style="18"/>
    <col min="4353" max="4353" width="3.42578125" style="18" customWidth="1"/>
    <col min="4354" max="4354" width="5.42578125" style="18" bestFit="1" customWidth="1"/>
    <col min="4355" max="4355" width="43.42578125" style="18" customWidth="1"/>
    <col min="4356" max="4356" width="7.5703125" style="18" customWidth="1"/>
    <col min="4357" max="4357" width="14.42578125" style="18" customWidth="1"/>
    <col min="4358" max="4358" width="12.42578125" style="18" customWidth="1"/>
    <col min="4359" max="4359" width="13" style="18" customWidth="1"/>
    <col min="4360" max="4360" width="11.5703125" style="18" customWidth="1"/>
    <col min="4361" max="4361" width="11.42578125" style="18" customWidth="1"/>
    <col min="4362" max="4362" width="14" style="18" customWidth="1"/>
    <col min="4363" max="4363" width="8.42578125" style="18" customWidth="1"/>
    <col min="4364" max="4364" width="7.42578125" style="18" bestFit="1" customWidth="1"/>
    <col min="4365" max="4365" width="5.5703125" style="18" customWidth="1"/>
    <col min="4366" max="4366" width="19.42578125" style="18" bestFit="1" customWidth="1"/>
    <col min="4367" max="4608" width="11.42578125" style="18"/>
    <col min="4609" max="4609" width="3.42578125" style="18" customWidth="1"/>
    <col min="4610" max="4610" width="5.42578125" style="18" bestFit="1" customWidth="1"/>
    <col min="4611" max="4611" width="43.42578125" style="18" customWidth="1"/>
    <col min="4612" max="4612" width="7.5703125" style="18" customWidth="1"/>
    <col min="4613" max="4613" width="14.42578125" style="18" customWidth="1"/>
    <col min="4614" max="4614" width="12.42578125" style="18" customWidth="1"/>
    <col min="4615" max="4615" width="13" style="18" customWidth="1"/>
    <col min="4616" max="4616" width="11.5703125" style="18" customWidth="1"/>
    <col min="4617" max="4617" width="11.42578125" style="18" customWidth="1"/>
    <col min="4618" max="4618" width="14" style="18" customWidth="1"/>
    <col min="4619" max="4619" width="8.42578125" style="18" customWidth="1"/>
    <col min="4620" max="4620" width="7.42578125" style="18" bestFit="1" customWidth="1"/>
    <col min="4621" max="4621" width="5.5703125" style="18" customWidth="1"/>
    <col min="4622" max="4622" width="19.42578125" style="18" bestFit="1" customWidth="1"/>
    <col min="4623" max="4864" width="11.42578125" style="18"/>
    <col min="4865" max="4865" width="3.42578125" style="18" customWidth="1"/>
    <col min="4866" max="4866" width="5.42578125" style="18" bestFit="1" customWidth="1"/>
    <col min="4867" max="4867" width="43.42578125" style="18" customWidth="1"/>
    <col min="4868" max="4868" width="7.5703125" style="18" customWidth="1"/>
    <col min="4869" max="4869" width="14.42578125" style="18" customWidth="1"/>
    <col min="4870" max="4870" width="12.42578125" style="18" customWidth="1"/>
    <col min="4871" max="4871" width="13" style="18" customWidth="1"/>
    <col min="4872" max="4872" width="11.5703125" style="18" customWidth="1"/>
    <col min="4873" max="4873" width="11.42578125" style="18" customWidth="1"/>
    <col min="4874" max="4874" width="14" style="18" customWidth="1"/>
    <col min="4875" max="4875" width="8.42578125" style="18" customWidth="1"/>
    <col min="4876" max="4876" width="7.42578125" style="18" bestFit="1" customWidth="1"/>
    <col min="4877" max="4877" width="5.5703125" style="18" customWidth="1"/>
    <col min="4878" max="4878" width="19.42578125" style="18" bestFit="1" customWidth="1"/>
    <col min="4879" max="5120" width="11.42578125" style="18"/>
    <col min="5121" max="5121" width="3.42578125" style="18" customWidth="1"/>
    <col min="5122" max="5122" width="5.42578125" style="18" bestFit="1" customWidth="1"/>
    <col min="5123" max="5123" width="43.42578125" style="18" customWidth="1"/>
    <col min="5124" max="5124" width="7.5703125" style="18" customWidth="1"/>
    <col min="5125" max="5125" width="14.42578125" style="18" customWidth="1"/>
    <col min="5126" max="5126" width="12.42578125" style="18" customWidth="1"/>
    <col min="5127" max="5127" width="13" style="18" customWidth="1"/>
    <col min="5128" max="5128" width="11.5703125" style="18" customWidth="1"/>
    <col min="5129" max="5129" width="11.42578125" style="18" customWidth="1"/>
    <col min="5130" max="5130" width="14" style="18" customWidth="1"/>
    <col min="5131" max="5131" width="8.42578125" style="18" customWidth="1"/>
    <col min="5132" max="5132" width="7.42578125" style="18" bestFit="1" customWidth="1"/>
    <col min="5133" max="5133" width="5.5703125" style="18" customWidth="1"/>
    <col min="5134" max="5134" width="19.42578125" style="18" bestFit="1" customWidth="1"/>
    <col min="5135" max="5376" width="11.42578125" style="18"/>
    <col min="5377" max="5377" width="3.42578125" style="18" customWidth="1"/>
    <col min="5378" max="5378" width="5.42578125" style="18" bestFit="1" customWidth="1"/>
    <col min="5379" max="5379" width="43.42578125" style="18" customWidth="1"/>
    <col min="5380" max="5380" width="7.5703125" style="18" customWidth="1"/>
    <col min="5381" max="5381" width="14.42578125" style="18" customWidth="1"/>
    <col min="5382" max="5382" width="12.42578125" style="18" customWidth="1"/>
    <col min="5383" max="5383" width="13" style="18" customWidth="1"/>
    <col min="5384" max="5384" width="11.5703125" style="18" customWidth="1"/>
    <col min="5385" max="5385" width="11.42578125" style="18" customWidth="1"/>
    <col min="5386" max="5386" width="14" style="18" customWidth="1"/>
    <col min="5387" max="5387" width="8.42578125" style="18" customWidth="1"/>
    <col min="5388" max="5388" width="7.42578125" style="18" bestFit="1" customWidth="1"/>
    <col min="5389" max="5389" width="5.5703125" style="18" customWidth="1"/>
    <col min="5390" max="5390" width="19.42578125" style="18" bestFit="1" customWidth="1"/>
    <col min="5391" max="5632" width="11.42578125" style="18"/>
    <col min="5633" max="5633" width="3.42578125" style="18" customWidth="1"/>
    <col min="5634" max="5634" width="5.42578125" style="18" bestFit="1" customWidth="1"/>
    <col min="5635" max="5635" width="43.42578125" style="18" customWidth="1"/>
    <col min="5636" max="5636" width="7.5703125" style="18" customWidth="1"/>
    <col min="5637" max="5637" width="14.42578125" style="18" customWidth="1"/>
    <col min="5638" max="5638" width="12.42578125" style="18" customWidth="1"/>
    <col min="5639" max="5639" width="13" style="18" customWidth="1"/>
    <col min="5640" max="5640" width="11.5703125" style="18" customWidth="1"/>
    <col min="5641" max="5641" width="11.42578125" style="18" customWidth="1"/>
    <col min="5642" max="5642" width="14" style="18" customWidth="1"/>
    <col min="5643" max="5643" width="8.42578125" style="18" customWidth="1"/>
    <col min="5644" max="5644" width="7.42578125" style="18" bestFit="1" customWidth="1"/>
    <col min="5645" max="5645" width="5.5703125" style="18" customWidth="1"/>
    <col min="5646" max="5646" width="19.42578125" style="18" bestFit="1" customWidth="1"/>
    <col min="5647" max="5888" width="11.42578125" style="18"/>
    <col min="5889" max="5889" width="3.42578125" style="18" customWidth="1"/>
    <col min="5890" max="5890" width="5.42578125" style="18" bestFit="1" customWidth="1"/>
    <col min="5891" max="5891" width="43.42578125" style="18" customWidth="1"/>
    <col min="5892" max="5892" width="7.5703125" style="18" customWidth="1"/>
    <col min="5893" max="5893" width="14.42578125" style="18" customWidth="1"/>
    <col min="5894" max="5894" width="12.42578125" style="18" customWidth="1"/>
    <col min="5895" max="5895" width="13" style="18" customWidth="1"/>
    <col min="5896" max="5896" width="11.5703125" style="18" customWidth="1"/>
    <col min="5897" max="5897" width="11.42578125" style="18" customWidth="1"/>
    <col min="5898" max="5898" width="14" style="18" customWidth="1"/>
    <col min="5899" max="5899" width="8.42578125" style="18" customWidth="1"/>
    <col min="5900" max="5900" width="7.42578125" style="18" bestFit="1" customWidth="1"/>
    <col min="5901" max="5901" width="5.5703125" style="18" customWidth="1"/>
    <col min="5902" max="5902" width="19.42578125" style="18" bestFit="1" customWidth="1"/>
    <col min="5903" max="6144" width="11.42578125" style="18"/>
    <col min="6145" max="6145" width="3.42578125" style="18" customWidth="1"/>
    <col min="6146" max="6146" width="5.42578125" style="18" bestFit="1" customWidth="1"/>
    <col min="6147" max="6147" width="43.42578125" style="18" customWidth="1"/>
    <col min="6148" max="6148" width="7.5703125" style="18" customWidth="1"/>
    <col min="6149" max="6149" width="14.42578125" style="18" customWidth="1"/>
    <col min="6150" max="6150" width="12.42578125" style="18" customWidth="1"/>
    <col min="6151" max="6151" width="13" style="18" customWidth="1"/>
    <col min="6152" max="6152" width="11.5703125" style="18" customWidth="1"/>
    <col min="6153" max="6153" width="11.42578125" style="18" customWidth="1"/>
    <col min="6154" max="6154" width="14" style="18" customWidth="1"/>
    <col min="6155" max="6155" width="8.42578125" style="18" customWidth="1"/>
    <col min="6156" max="6156" width="7.42578125" style="18" bestFit="1" customWidth="1"/>
    <col min="6157" max="6157" width="5.5703125" style="18" customWidth="1"/>
    <col min="6158" max="6158" width="19.42578125" style="18" bestFit="1" customWidth="1"/>
    <col min="6159" max="6400" width="11.42578125" style="18"/>
    <col min="6401" max="6401" width="3.42578125" style="18" customWidth="1"/>
    <col min="6402" max="6402" width="5.42578125" style="18" bestFit="1" customWidth="1"/>
    <col min="6403" max="6403" width="43.42578125" style="18" customWidth="1"/>
    <col min="6404" max="6404" width="7.5703125" style="18" customWidth="1"/>
    <col min="6405" max="6405" width="14.42578125" style="18" customWidth="1"/>
    <col min="6406" max="6406" width="12.42578125" style="18" customWidth="1"/>
    <col min="6407" max="6407" width="13" style="18" customWidth="1"/>
    <col min="6408" max="6408" width="11.5703125" style="18" customWidth="1"/>
    <col min="6409" max="6409" width="11.42578125" style="18" customWidth="1"/>
    <col min="6410" max="6410" width="14" style="18" customWidth="1"/>
    <col min="6411" max="6411" width="8.42578125" style="18" customWidth="1"/>
    <col min="6412" max="6412" width="7.42578125" style="18" bestFit="1" customWidth="1"/>
    <col min="6413" max="6413" width="5.5703125" style="18" customWidth="1"/>
    <col min="6414" max="6414" width="19.42578125" style="18" bestFit="1" customWidth="1"/>
    <col min="6415" max="6656" width="11.42578125" style="18"/>
    <col min="6657" max="6657" width="3.42578125" style="18" customWidth="1"/>
    <col min="6658" max="6658" width="5.42578125" style="18" bestFit="1" customWidth="1"/>
    <col min="6659" max="6659" width="43.42578125" style="18" customWidth="1"/>
    <col min="6660" max="6660" width="7.5703125" style="18" customWidth="1"/>
    <col min="6661" max="6661" width="14.42578125" style="18" customWidth="1"/>
    <col min="6662" max="6662" width="12.42578125" style="18" customWidth="1"/>
    <col min="6663" max="6663" width="13" style="18" customWidth="1"/>
    <col min="6664" max="6664" width="11.5703125" style="18" customWidth="1"/>
    <col min="6665" max="6665" width="11.42578125" style="18" customWidth="1"/>
    <col min="6666" max="6666" width="14" style="18" customWidth="1"/>
    <col min="6667" max="6667" width="8.42578125" style="18" customWidth="1"/>
    <col min="6668" max="6668" width="7.42578125" style="18" bestFit="1" customWidth="1"/>
    <col min="6669" max="6669" width="5.5703125" style="18" customWidth="1"/>
    <col min="6670" max="6670" width="19.42578125" style="18" bestFit="1" customWidth="1"/>
    <col min="6671" max="6912" width="11.42578125" style="18"/>
    <col min="6913" max="6913" width="3.42578125" style="18" customWidth="1"/>
    <col min="6914" max="6914" width="5.42578125" style="18" bestFit="1" customWidth="1"/>
    <col min="6915" max="6915" width="43.42578125" style="18" customWidth="1"/>
    <col min="6916" max="6916" width="7.5703125" style="18" customWidth="1"/>
    <col min="6917" max="6917" width="14.42578125" style="18" customWidth="1"/>
    <col min="6918" max="6918" width="12.42578125" style="18" customWidth="1"/>
    <col min="6919" max="6919" width="13" style="18" customWidth="1"/>
    <col min="6920" max="6920" width="11.5703125" style="18" customWidth="1"/>
    <col min="6921" max="6921" width="11.42578125" style="18" customWidth="1"/>
    <col min="6922" max="6922" width="14" style="18" customWidth="1"/>
    <col min="6923" max="6923" width="8.42578125" style="18" customWidth="1"/>
    <col min="6924" max="6924" width="7.42578125" style="18" bestFit="1" customWidth="1"/>
    <col min="6925" max="6925" width="5.5703125" style="18" customWidth="1"/>
    <col min="6926" max="6926" width="19.42578125" style="18" bestFit="1" customWidth="1"/>
    <col min="6927" max="7168" width="11.42578125" style="18"/>
    <col min="7169" max="7169" width="3.42578125" style="18" customWidth="1"/>
    <col min="7170" max="7170" width="5.42578125" style="18" bestFit="1" customWidth="1"/>
    <col min="7171" max="7171" width="43.42578125" style="18" customWidth="1"/>
    <col min="7172" max="7172" width="7.5703125" style="18" customWidth="1"/>
    <col min="7173" max="7173" width="14.42578125" style="18" customWidth="1"/>
    <col min="7174" max="7174" width="12.42578125" style="18" customWidth="1"/>
    <col min="7175" max="7175" width="13" style="18" customWidth="1"/>
    <col min="7176" max="7176" width="11.5703125" style="18" customWidth="1"/>
    <col min="7177" max="7177" width="11.42578125" style="18" customWidth="1"/>
    <col min="7178" max="7178" width="14" style="18" customWidth="1"/>
    <col min="7179" max="7179" width="8.42578125" style="18" customWidth="1"/>
    <col min="7180" max="7180" width="7.42578125" style="18" bestFit="1" customWidth="1"/>
    <col min="7181" max="7181" width="5.5703125" style="18" customWidth="1"/>
    <col min="7182" max="7182" width="19.42578125" style="18" bestFit="1" customWidth="1"/>
    <col min="7183" max="7424" width="11.42578125" style="18"/>
    <col min="7425" max="7425" width="3.42578125" style="18" customWidth="1"/>
    <col min="7426" max="7426" width="5.42578125" style="18" bestFit="1" customWidth="1"/>
    <col min="7427" max="7427" width="43.42578125" style="18" customWidth="1"/>
    <col min="7428" max="7428" width="7.5703125" style="18" customWidth="1"/>
    <col min="7429" max="7429" width="14.42578125" style="18" customWidth="1"/>
    <col min="7430" max="7430" width="12.42578125" style="18" customWidth="1"/>
    <col min="7431" max="7431" width="13" style="18" customWidth="1"/>
    <col min="7432" max="7432" width="11.5703125" style="18" customWidth="1"/>
    <col min="7433" max="7433" width="11.42578125" style="18" customWidth="1"/>
    <col min="7434" max="7434" width="14" style="18" customWidth="1"/>
    <col min="7435" max="7435" width="8.42578125" style="18" customWidth="1"/>
    <col min="7436" max="7436" width="7.42578125" style="18" bestFit="1" customWidth="1"/>
    <col min="7437" max="7437" width="5.5703125" style="18" customWidth="1"/>
    <col min="7438" max="7438" width="19.42578125" style="18" bestFit="1" customWidth="1"/>
    <col min="7439" max="7680" width="11.42578125" style="18"/>
    <col min="7681" max="7681" width="3.42578125" style="18" customWidth="1"/>
    <col min="7682" max="7682" width="5.42578125" style="18" bestFit="1" customWidth="1"/>
    <col min="7683" max="7683" width="43.42578125" style="18" customWidth="1"/>
    <col min="7684" max="7684" width="7.5703125" style="18" customWidth="1"/>
    <col min="7685" max="7685" width="14.42578125" style="18" customWidth="1"/>
    <col min="7686" max="7686" width="12.42578125" style="18" customWidth="1"/>
    <col min="7687" max="7687" width="13" style="18" customWidth="1"/>
    <col min="7688" max="7688" width="11.5703125" style="18" customWidth="1"/>
    <col min="7689" max="7689" width="11.42578125" style="18" customWidth="1"/>
    <col min="7690" max="7690" width="14" style="18" customWidth="1"/>
    <col min="7691" max="7691" width="8.42578125" style="18" customWidth="1"/>
    <col min="7692" max="7692" width="7.42578125" style="18" bestFit="1" customWidth="1"/>
    <col min="7693" max="7693" width="5.5703125" style="18" customWidth="1"/>
    <col min="7694" max="7694" width="19.42578125" style="18" bestFit="1" customWidth="1"/>
    <col min="7695" max="7936" width="11.42578125" style="18"/>
    <col min="7937" max="7937" width="3.42578125" style="18" customWidth="1"/>
    <col min="7938" max="7938" width="5.42578125" style="18" bestFit="1" customWidth="1"/>
    <col min="7939" max="7939" width="43.42578125" style="18" customWidth="1"/>
    <col min="7940" max="7940" width="7.5703125" style="18" customWidth="1"/>
    <col min="7941" max="7941" width="14.42578125" style="18" customWidth="1"/>
    <col min="7942" max="7942" width="12.42578125" style="18" customWidth="1"/>
    <col min="7943" max="7943" width="13" style="18" customWidth="1"/>
    <col min="7944" max="7944" width="11.5703125" style="18" customWidth="1"/>
    <col min="7945" max="7945" width="11.42578125" style="18" customWidth="1"/>
    <col min="7946" max="7946" width="14" style="18" customWidth="1"/>
    <col min="7947" max="7947" width="8.42578125" style="18" customWidth="1"/>
    <col min="7948" max="7948" width="7.42578125" style="18" bestFit="1" customWidth="1"/>
    <col min="7949" max="7949" width="5.5703125" style="18" customWidth="1"/>
    <col min="7950" max="7950" width="19.42578125" style="18" bestFit="1" customWidth="1"/>
    <col min="7951" max="8192" width="11.42578125" style="18"/>
    <col min="8193" max="8193" width="3.42578125" style="18" customWidth="1"/>
    <col min="8194" max="8194" width="5.42578125" style="18" bestFit="1" customWidth="1"/>
    <col min="8195" max="8195" width="43.42578125" style="18" customWidth="1"/>
    <col min="8196" max="8196" width="7.5703125" style="18" customWidth="1"/>
    <col min="8197" max="8197" width="14.42578125" style="18" customWidth="1"/>
    <col min="8198" max="8198" width="12.42578125" style="18" customWidth="1"/>
    <col min="8199" max="8199" width="13" style="18" customWidth="1"/>
    <col min="8200" max="8200" width="11.5703125" style="18" customWidth="1"/>
    <col min="8201" max="8201" width="11.42578125" style="18" customWidth="1"/>
    <col min="8202" max="8202" width="14" style="18" customWidth="1"/>
    <col min="8203" max="8203" width="8.42578125" style="18" customWidth="1"/>
    <col min="8204" max="8204" width="7.42578125" style="18" bestFit="1" customWidth="1"/>
    <col min="8205" max="8205" width="5.5703125" style="18" customWidth="1"/>
    <col min="8206" max="8206" width="19.42578125" style="18" bestFit="1" customWidth="1"/>
    <col min="8207" max="8448" width="11.42578125" style="18"/>
    <col min="8449" max="8449" width="3.42578125" style="18" customWidth="1"/>
    <col min="8450" max="8450" width="5.42578125" style="18" bestFit="1" customWidth="1"/>
    <col min="8451" max="8451" width="43.42578125" style="18" customWidth="1"/>
    <col min="8452" max="8452" width="7.5703125" style="18" customWidth="1"/>
    <col min="8453" max="8453" width="14.42578125" style="18" customWidth="1"/>
    <col min="8454" max="8454" width="12.42578125" style="18" customWidth="1"/>
    <col min="8455" max="8455" width="13" style="18" customWidth="1"/>
    <col min="8456" max="8456" width="11.5703125" style="18" customWidth="1"/>
    <col min="8457" max="8457" width="11.42578125" style="18" customWidth="1"/>
    <col min="8458" max="8458" width="14" style="18" customWidth="1"/>
    <col min="8459" max="8459" width="8.42578125" style="18" customWidth="1"/>
    <col min="8460" max="8460" width="7.42578125" style="18" bestFit="1" customWidth="1"/>
    <col min="8461" max="8461" width="5.5703125" style="18" customWidth="1"/>
    <col min="8462" max="8462" width="19.42578125" style="18" bestFit="1" customWidth="1"/>
    <col min="8463" max="8704" width="11.42578125" style="18"/>
    <col min="8705" max="8705" width="3.42578125" style="18" customWidth="1"/>
    <col min="8706" max="8706" width="5.42578125" style="18" bestFit="1" customWidth="1"/>
    <col min="8707" max="8707" width="43.42578125" style="18" customWidth="1"/>
    <col min="8708" max="8708" width="7.5703125" style="18" customWidth="1"/>
    <col min="8709" max="8709" width="14.42578125" style="18" customWidth="1"/>
    <col min="8710" max="8710" width="12.42578125" style="18" customWidth="1"/>
    <col min="8711" max="8711" width="13" style="18" customWidth="1"/>
    <col min="8712" max="8712" width="11.5703125" style="18" customWidth="1"/>
    <col min="8713" max="8713" width="11.42578125" style="18" customWidth="1"/>
    <col min="8714" max="8714" width="14" style="18" customWidth="1"/>
    <col min="8715" max="8715" width="8.42578125" style="18" customWidth="1"/>
    <col min="8716" max="8716" width="7.42578125" style="18" bestFit="1" customWidth="1"/>
    <col min="8717" max="8717" width="5.5703125" style="18" customWidth="1"/>
    <col min="8718" max="8718" width="19.42578125" style="18" bestFit="1" customWidth="1"/>
    <col min="8719" max="8960" width="11.42578125" style="18"/>
    <col min="8961" max="8961" width="3.42578125" style="18" customWidth="1"/>
    <col min="8962" max="8962" width="5.42578125" style="18" bestFit="1" customWidth="1"/>
    <col min="8963" max="8963" width="43.42578125" style="18" customWidth="1"/>
    <col min="8964" max="8964" width="7.5703125" style="18" customWidth="1"/>
    <col min="8965" max="8965" width="14.42578125" style="18" customWidth="1"/>
    <col min="8966" max="8966" width="12.42578125" style="18" customWidth="1"/>
    <col min="8967" max="8967" width="13" style="18" customWidth="1"/>
    <col min="8968" max="8968" width="11.5703125" style="18" customWidth="1"/>
    <col min="8969" max="8969" width="11.42578125" style="18" customWidth="1"/>
    <col min="8970" max="8970" width="14" style="18" customWidth="1"/>
    <col min="8971" max="8971" width="8.42578125" style="18" customWidth="1"/>
    <col min="8972" max="8972" width="7.42578125" style="18" bestFit="1" customWidth="1"/>
    <col min="8973" max="8973" width="5.5703125" style="18" customWidth="1"/>
    <col min="8974" max="8974" width="19.42578125" style="18" bestFit="1" customWidth="1"/>
    <col min="8975" max="9216" width="11.42578125" style="18"/>
    <col min="9217" max="9217" width="3.42578125" style="18" customWidth="1"/>
    <col min="9218" max="9218" width="5.42578125" style="18" bestFit="1" customWidth="1"/>
    <col min="9219" max="9219" width="43.42578125" style="18" customWidth="1"/>
    <col min="9220" max="9220" width="7.5703125" style="18" customWidth="1"/>
    <col min="9221" max="9221" width="14.42578125" style="18" customWidth="1"/>
    <col min="9222" max="9222" width="12.42578125" style="18" customWidth="1"/>
    <col min="9223" max="9223" width="13" style="18" customWidth="1"/>
    <col min="9224" max="9224" width="11.5703125" style="18" customWidth="1"/>
    <col min="9225" max="9225" width="11.42578125" style="18" customWidth="1"/>
    <col min="9226" max="9226" width="14" style="18" customWidth="1"/>
    <col min="9227" max="9227" width="8.42578125" style="18" customWidth="1"/>
    <col min="9228" max="9228" width="7.42578125" style="18" bestFit="1" customWidth="1"/>
    <col min="9229" max="9229" width="5.5703125" style="18" customWidth="1"/>
    <col min="9230" max="9230" width="19.42578125" style="18" bestFit="1" customWidth="1"/>
    <col min="9231" max="9472" width="11.42578125" style="18"/>
    <col min="9473" max="9473" width="3.42578125" style="18" customWidth="1"/>
    <col min="9474" max="9474" width="5.42578125" style="18" bestFit="1" customWidth="1"/>
    <col min="9475" max="9475" width="43.42578125" style="18" customWidth="1"/>
    <col min="9476" max="9476" width="7.5703125" style="18" customWidth="1"/>
    <col min="9477" max="9477" width="14.42578125" style="18" customWidth="1"/>
    <col min="9478" max="9478" width="12.42578125" style="18" customWidth="1"/>
    <col min="9479" max="9479" width="13" style="18" customWidth="1"/>
    <col min="9480" max="9480" width="11.5703125" style="18" customWidth="1"/>
    <col min="9481" max="9481" width="11.42578125" style="18" customWidth="1"/>
    <col min="9482" max="9482" width="14" style="18" customWidth="1"/>
    <col min="9483" max="9483" width="8.42578125" style="18" customWidth="1"/>
    <col min="9484" max="9484" width="7.42578125" style="18" bestFit="1" customWidth="1"/>
    <col min="9485" max="9485" width="5.5703125" style="18" customWidth="1"/>
    <col min="9486" max="9486" width="19.42578125" style="18" bestFit="1" customWidth="1"/>
    <col min="9487" max="9728" width="11.42578125" style="18"/>
    <col min="9729" max="9729" width="3.42578125" style="18" customWidth="1"/>
    <col min="9730" max="9730" width="5.42578125" style="18" bestFit="1" customWidth="1"/>
    <col min="9731" max="9731" width="43.42578125" style="18" customWidth="1"/>
    <col min="9732" max="9732" width="7.5703125" style="18" customWidth="1"/>
    <col min="9733" max="9733" width="14.42578125" style="18" customWidth="1"/>
    <col min="9734" max="9734" width="12.42578125" style="18" customWidth="1"/>
    <col min="9735" max="9735" width="13" style="18" customWidth="1"/>
    <col min="9736" max="9736" width="11.5703125" style="18" customWidth="1"/>
    <col min="9737" max="9737" width="11.42578125" style="18" customWidth="1"/>
    <col min="9738" max="9738" width="14" style="18" customWidth="1"/>
    <col min="9739" max="9739" width="8.42578125" style="18" customWidth="1"/>
    <col min="9740" max="9740" width="7.42578125" style="18" bestFit="1" customWidth="1"/>
    <col min="9741" max="9741" width="5.5703125" style="18" customWidth="1"/>
    <col min="9742" max="9742" width="19.42578125" style="18" bestFit="1" customWidth="1"/>
    <col min="9743" max="9984" width="11.42578125" style="18"/>
    <col min="9985" max="9985" width="3.42578125" style="18" customWidth="1"/>
    <col min="9986" max="9986" width="5.42578125" style="18" bestFit="1" customWidth="1"/>
    <col min="9987" max="9987" width="43.42578125" style="18" customWidth="1"/>
    <col min="9988" max="9988" width="7.5703125" style="18" customWidth="1"/>
    <col min="9989" max="9989" width="14.42578125" style="18" customWidth="1"/>
    <col min="9990" max="9990" width="12.42578125" style="18" customWidth="1"/>
    <col min="9991" max="9991" width="13" style="18" customWidth="1"/>
    <col min="9992" max="9992" width="11.5703125" style="18" customWidth="1"/>
    <col min="9993" max="9993" width="11.42578125" style="18" customWidth="1"/>
    <col min="9994" max="9994" width="14" style="18" customWidth="1"/>
    <col min="9995" max="9995" width="8.42578125" style="18" customWidth="1"/>
    <col min="9996" max="9996" width="7.42578125" style="18" bestFit="1" customWidth="1"/>
    <col min="9997" max="9997" width="5.5703125" style="18" customWidth="1"/>
    <col min="9998" max="9998" width="19.42578125" style="18" bestFit="1" customWidth="1"/>
    <col min="9999" max="10240" width="11.42578125" style="18"/>
    <col min="10241" max="10241" width="3.42578125" style="18" customWidth="1"/>
    <col min="10242" max="10242" width="5.42578125" style="18" bestFit="1" customWidth="1"/>
    <col min="10243" max="10243" width="43.42578125" style="18" customWidth="1"/>
    <col min="10244" max="10244" width="7.5703125" style="18" customWidth="1"/>
    <col min="10245" max="10245" width="14.42578125" style="18" customWidth="1"/>
    <col min="10246" max="10246" width="12.42578125" style="18" customWidth="1"/>
    <col min="10247" max="10247" width="13" style="18" customWidth="1"/>
    <col min="10248" max="10248" width="11.5703125" style="18" customWidth="1"/>
    <col min="10249" max="10249" width="11.42578125" style="18" customWidth="1"/>
    <col min="10250" max="10250" width="14" style="18" customWidth="1"/>
    <col min="10251" max="10251" width="8.42578125" style="18" customWidth="1"/>
    <col min="10252" max="10252" width="7.42578125" style="18" bestFit="1" customWidth="1"/>
    <col min="10253" max="10253" width="5.5703125" style="18" customWidth="1"/>
    <col min="10254" max="10254" width="19.42578125" style="18" bestFit="1" customWidth="1"/>
    <col min="10255" max="10496" width="11.42578125" style="18"/>
    <col min="10497" max="10497" width="3.42578125" style="18" customWidth="1"/>
    <col min="10498" max="10498" width="5.42578125" style="18" bestFit="1" customWidth="1"/>
    <col min="10499" max="10499" width="43.42578125" style="18" customWidth="1"/>
    <col min="10500" max="10500" width="7.5703125" style="18" customWidth="1"/>
    <col min="10501" max="10501" width="14.42578125" style="18" customWidth="1"/>
    <col min="10502" max="10502" width="12.42578125" style="18" customWidth="1"/>
    <col min="10503" max="10503" width="13" style="18" customWidth="1"/>
    <col min="10504" max="10504" width="11.5703125" style="18" customWidth="1"/>
    <col min="10505" max="10505" width="11.42578125" style="18" customWidth="1"/>
    <col min="10506" max="10506" width="14" style="18" customWidth="1"/>
    <col min="10507" max="10507" width="8.42578125" style="18" customWidth="1"/>
    <col min="10508" max="10508" width="7.42578125" style="18" bestFit="1" customWidth="1"/>
    <col min="10509" max="10509" width="5.5703125" style="18" customWidth="1"/>
    <col min="10510" max="10510" width="19.42578125" style="18" bestFit="1" customWidth="1"/>
    <col min="10511" max="10752" width="11.42578125" style="18"/>
    <col min="10753" max="10753" width="3.42578125" style="18" customWidth="1"/>
    <col min="10754" max="10754" width="5.42578125" style="18" bestFit="1" customWidth="1"/>
    <col min="10755" max="10755" width="43.42578125" style="18" customWidth="1"/>
    <col min="10756" max="10756" width="7.5703125" style="18" customWidth="1"/>
    <col min="10757" max="10757" width="14.42578125" style="18" customWidth="1"/>
    <col min="10758" max="10758" width="12.42578125" style="18" customWidth="1"/>
    <col min="10759" max="10759" width="13" style="18" customWidth="1"/>
    <col min="10760" max="10760" width="11.5703125" style="18" customWidth="1"/>
    <col min="10761" max="10761" width="11.42578125" style="18" customWidth="1"/>
    <col min="10762" max="10762" width="14" style="18" customWidth="1"/>
    <col min="10763" max="10763" width="8.42578125" style="18" customWidth="1"/>
    <col min="10764" max="10764" width="7.42578125" style="18" bestFit="1" customWidth="1"/>
    <col min="10765" max="10765" width="5.5703125" style="18" customWidth="1"/>
    <col min="10766" max="10766" width="19.42578125" style="18" bestFit="1" customWidth="1"/>
    <col min="10767" max="11008" width="11.42578125" style="18"/>
    <col min="11009" max="11009" width="3.42578125" style="18" customWidth="1"/>
    <col min="11010" max="11010" width="5.42578125" style="18" bestFit="1" customWidth="1"/>
    <col min="11011" max="11011" width="43.42578125" style="18" customWidth="1"/>
    <col min="11012" max="11012" width="7.5703125" style="18" customWidth="1"/>
    <col min="11013" max="11013" width="14.42578125" style="18" customWidth="1"/>
    <col min="11014" max="11014" width="12.42578125" style="18" customWidth="1"/>
    <col min="11015" max="11015" width="13" style="18" customWidth="1"/>
    <col min="11016" max="11016" width="11.5703125" style="18" customWidth="1"/>
    <col min="11017" max="11017" width="11.42578125" style="18" customWidth="1"/>
    <col min="11018" max="11018" width="14" style="18" customWidth="1"/>
    <col min="11019" max="11019" width="8.42578125" style="18" customWidth="1"/>
    <col min="11020" max="11020" width="7.42578125" style="18" bestFit="1" customWidth="1"/>
    <col min="11021" max="11021" width="5.5703125" style="18" customWidth="1"/>
    <col min="11022" max="11022" width="19.42578125" style="18" bestFit="1" customWidth="1"/>
    <col min="11023" max="11264" width="11.42578125" style="18"/>
    <col min="11265" max="11265" width="3.42578125" style="18" customWidth="1"/>
    <col min="11266" max="11266" width="5.42578125" style="18" bestFit="1" customWidth="1"/>
    <col min="11267" max="11267" width="43.42578125" style="18" customWidth="1"/>
    <col min="11268" max="11268" width="7.5703125" style="18" customWidth="1"/>
    <col min="11269" max="11269" width="14.42578125" style="18" customWidth="1"/>
    <col min="11270" max="11270" width="12.42578125" style="18" customWidth="1"/>
    <col min="11271" max="11271" width="13" style="18" customWidth="1"/>
    <col min="11272" max="11272" width="11.5703125" style="18" customWidth="1"/>
    <col min="11273" max="11273" width="11.42578125" style="18" customWidth="1"/>
    <col min="11274" max="11274" width="14" style="18" customWidth="1"/>
    <col min="11275" max="11275" width="8.42578125" style="18" customWidth="1"/>
    <col min="11276" max="11276" width="7.42578125" style="18" bestFit="1" customWidth="1"/>
    <col min="11277" max="11277" width="5.5703125" style="18" customWidth="1"/>
    <col min="11278" max="11278" width="19.42578125" style="18" bestFit="1" customWidth="1"/>
    <col min="11279" max="11520" width="11.42578125" style="18"/>
    <col min="11521" max="11521" width="3.42578125" style="18" customWidth="1"/>
    <col min="11522" max="11522" width="5.42578125" style="18" bestFit="1" customWidth="1"/>
    <col min="11523" max="11523" width="43.42578125" style="18" customWidth="1"/>
    <col min="11524" max="11524" width="7.5703125" style="18" customWidth="1"/>
    <col min="11525" max="11525" width="14.42578125" style="18" customWidth="1"/>
    <col min="11526" max="11526" width="12.42578125" style="18" customWidth="1"/>
    <col min="11527" max="11527" width="13" style="18" customWidth="1"/>
    <col min="11528" max="11528" width="11.5703125" style="18" customWidth="1"/>
    <col min="11529" max="11529" width="11.42578125" style="18" customWidth="1"/>
    <col min="11530" max="11530" width="14" style="18" customWidth="1"/>
    <col min="11531" max="11531" width="8.42578125" style="18" customWidth="1"/>
    <col min="11532" max="11532" width="7.42578125" style="18" bestFit="1" customWidth="1"/>
    <col min="11533" max="11533" width="5.5703125" style="18" customWidth="1"/>
    <col min="11534" max="11534" width="19.42578125" style="18" bestFit="1" customWidth="1"/>
    <col min="11535" max="11776" width="11.42578125" style="18"/>
    <col min="11777" max="11777" width="3.42578125" style="18" customWidth="1"/>
    <col min="11778" max="11778" width="5.42578125" style="18" bestFit="1" customWidth="1"/>
    <col min="11779" max="11779" width="43.42578125" style="18" customWidth="1"/>
    <col min="11780" max="11780" width="7.5703125" style="18" customWidth="1"/>
    <col min="11781" max="11781" width="14.42578125" style="18" customWidth="1"/>
    <col min="11782" max="11782" width="12.42578125" style="18" customWidth="1"/>
    <col min="11783" max="11783" width="13" style="18" customWidth="1"/>
    <col min="11784" max="11784" width="11.5703125" style="18" customWidth="1"/>
    <col min="11785" max="11785" width="11.42578125" style="18" customWidth="1"/>
    <col min="11786" max="11786" width="14" style="18" customWidth="1"/>
    <col min="11787" max="11787" width="8.42578125" style="18" customWidth="1"/>
    <col min="11788" max="11788" width="7.42578125" style="18" bestFit="1" customWidth="1"/>
    <col min="11789" max="11789" width="5.5703125" style="18" customWidth="1"/>
    <col min="11790" max="11790" width="19.42578125" style="18" bestFit="1" customWidth="1"/>
    <col min="11791" max="12032" width="11.42578125" style="18"/>
    <col min="12033" max="12033" width="3.42578125" style="18" customWidth="1"/>
    <col min="12034" max="12034" width="5.42578125" style="18" bestFit="1" customWidth="1"/>
    <col min="12035" max="12035" width="43.42578125" style="18" customWidth="1"/>
    <col min="12036" max="12036" width="7.5703125" style="18" customWidth="1"/>
    <col min="12037" max="12037" width="14.42578125" style="18" customWidth="1"/>
    <col min="12038" max="12038" width="12.42578125" style="18" customWidth="1"/>
    <col min="12039" max="12039" width="13" style="18" customWidth="1"/>
    <col min="12040" max="12040" width="11.5703125" style="18" customWidth="1"/>
    <col min="12041" max="12041" width="11.42578125" style="18" customWidth="1"/>
    <col min="12042" max="12042" width="14" style="18" customWidth="1"/>
    <col min="12043" max="12043" width="8.42578125" style="18" customWidth="1"/>
    <col min="12044" max="12044" width="7.42578125" style="18" bestFit="1" customWidth="1"/>
    <col min="12045" max="12045" width="5.5703125" style="18" customWidth="1"/>
    <col min="12046" max="12046" width="19.42578125" style="18" bestFit="1" customWidth="1"/>
    <col min="12047" max="12288" width="11.42578125" style="18"/>
    <col min="12289" max="12289" width="3.42578125" style="18" customWidth="1"/>
    <col min="12290" max="12290" width="5.42578125" style="18" bestFit="1" customWidth="1"/>
    <col min="12291" max="12291" width="43.42578125" style="18" customWidth="1"/>
    <col min="12292" max="12292" width="7.5703125" style="18" customWidth="1"/>
    <col min="12293" max="12293" width="14.42578125" style="18" customWidth="1"/>
    <col min="12294" max="12294" width="12.42578125" style="18" customWidth="1"/>
    <col min="12295" max="12295" width="13" style="18" customWidth="1"/>
    <col min="12296" max="12296" width="11.5703125" style="18" customWidth="1"/>
    <col min="12297" max="12297" width="11.42578125" style="18" customWidth="1"/>
    <col min="12298" max="12298" width="14" style="18" customWidth="1"/>
    <col min="12299" max="12299" width="8.42578125" style="18" customWidth="1"/>
    <col min="12300" max="12300" width="7.42578125" style="18" bestFit="1" customWidth="1"/>
    <col min="12301" max="12301" width="5.5703125" style="18" customWidth="1"/>
    <col min="12302" max="12302" width="19.42578125" style="18" bestFit="1" customWidth="1"/>
    <col min="12303" max="12544" width="11.42578125" style="18"/>
    <col min="12545" max="12545" width="3.42578125" style="18" customWidth="1"/>
    <col min="12546" max="12546" width="5.42578125" style="18" bestFit="1" customWidth="1"/>
    <col min="12547" max="12547" width="43.42578125" style="18" customWidth="1"/>
    <col min="12548" max="12548" width="7.5703125" style="18" customWidth="1"/>
    <col min="12549" max="12549" width="14.42578125" style="18" customWidth="1"/>
    <col min="12550" max="12550" width="12.42578125" style="18" customWidth="1"/>
    <col min="12551" max="12551" width="13" style="18" customWidth="1"/>
    <col min="12552" max="12552" width="11.5703125" style="18" customWidth="1"/>
    <col min="12553" max="12553" width="11.42578125" style="18" customWidth="1"/>
    <col min="12554" max="12554" width="14" style="18" customWidth="1"/>
    <col min="12555" max="12555" width="8.42578125" style="18" customWidth="1"/>
    <col min="12556" max="12556" width="7.42578125" style="18" bestFit="1" customWidth="1"/>
    <col min="12557" max="12557" width="5.5703125" style="18" customWidth="1"/>
    <col min="12558" max="12558" width="19.42578125" style="18" bestFit="1" customWidth="1"/>
    <col min="12559" max="12800" width="11.42578125" style="18"/>
    <col min="12801" max="12801" width="3.42578125" style="18" customWidth="1"/>
    <col min="12802" max="12802" width="5.42578125" style="18" bestFit="1" customWidth="1"/>
    <col min="12803" max="12803" width="43.42578125" style="18" customWidth="1"/>
    <col min="12804" max="12804" width="7.5703125" style="18" customWidth="1"/>
    <col min="12805" max="12805" width="14.42578125" style="18" customWidth="1"/>
    <col min="12806" max="12806" width="12.42578125" style="18" customWidth="1"/>
    <col min="12807" max="12807" width="13" style="18" customWidth="1"/>
    <col min="12808" max="12808" width="11.5703125" style="18" customWidth="1"/>
    <col min="12809" max="12809" width="11.42578125" style="18" customWidth="1"/>
    <col min="12810" max="12810" width="14" style="18" customWidth="1"/>
    <col min="12811" max="12811" width="8.42578125" style="18" customWidth="1"/>
    <col min="12812" max="12812" width="7.42578125" style="18" bestFit="1" customWidth="1"/>
    <col min="12813" max="12813" width="5.5703125" style="18" customWidth="1"/>
    <col min="12814" max="12814" width="19.42578125" style="18" bestFit="1" customWidth="1"/>
    <col min="12815" max="13056" width="11.42578125" style="18"/>
    <col min="13057" max="13057" width="3.42578125" style="18" customWidth="1"/>
    <col min="13058" max="13058" width="5.42578125" style="18" bestFit="1" customWidth="1"/>
    <col min="13059" max="13059" width="43.42578125" style="18" customWidth="1"/>
    <col min="13060" max="13060" width="7.5703125" style="18" customWidth="1"/>
    <col min="13061" max="13061" width="14.42578125" style="18" customWidth="1"/>
    <col min="13062" max="13062" width="12.42578125" style="18" customWidth="1"/>
    <col min="13063" max="13063" width="13" style="18" customWidth="1"/>
    <col min="13064" max="13064" width="11.5703125" style="18" customWidth="1"/>
    <col min="13065" max="13065" width="11.42578125" style="18" customWidth="1"/>
    <col min="13066" max="13066" width="14" style="18" customWidth="1"/>
    <col min="13067" max="13067" width="8.42578125" style="18" customWidth="1"/>
    <col min="13068" max="13068" width="7.42578125" style="18" bestFit="1" customWidth="1"/>
    <col min="13069" max="13069" width="5.5703125" style="18" customWidth="1"/>
    <col min="13070" max="13070" width="19.42578125" style="18" bestFit="1" customWidth="1"/>
    <col min="13071" max="13312" width="11.42578125" style="18"/>
    <col min="13313" max="13313" width="3.42578125" style="18" customWidth="1"/>
    <col min="13314" max="13314" width="5.42578125" style="18" bestFit="1" customWidth="1"/>
    <col min="13315" max="13315" width="43.42578125" style="18" customWidth="1"/>
    <col min="13316" max="13316" width="7.5703125" style="18" customWidth="1"/>
    <col min="13317" max="13317" width="14.42578125" style="18" customWidth="1"/>
    <col min="13318" max="13318" width="12.42578125" style="18" customWidth="1"/>
    <col min="13319" max="13319" width="13" style="18" customWidth="1"/>
    <col min="13320" max="13320" width="11.5703125" style="18" customWidth="1"/>
    <col min="13321" max="13321" width="11.42578125" style="18" customWidth="1"/>
    <col min="13322" max="13322" width="14" style="18" customWidth="1"/>
    <col min="13323" max="13323" width="8.42578125" style="18" customWidth="1"/>
    <col min="13324" max="13324" width="7.42578125" style="18" bestFit="1" customWidth="1"/>
    <col min="13325" max="13325" width="5.5703125" style="18" customWidth="1"/>
    <col min="13326" max="13326" width="19.42578125" style="18" bestFit="1" customWidth="1"/>
    <col min="13327" max="13568" width="11.42578125" style="18"/>
    <col min="13569" max="13569" width="3.42578125" style="18" customWidth="1"/>
    <col min="13570" max="13570" width="5.42578125" style="18" bestFit="1" customWidth="1"/>
    <col min="13571" max="13571" width="43.42578125" style="18" customWidth="1"/>
    <col min="13572" max="13572" width="7.5703125" style="18" customWidth="1"/>
    <col min="13573" max="13573" width="14.42578125" style="18" customWidth="1"/>
    <col min="13574" max="13574" width="12.42578125" style="18" customWidth="1"/>
    <col min="13575" max="13575" width="13" style="18" customWidth="1"/>
    <col min="13576" max="13576" width="11.5703125" style="18" customWidth="1"/>
    <col min="13577" max="13577" width="11.42578125" style="18" customWidth="1"/>
    <col min="13578" max="13578" width="14" style="18" customWidth="1"/>
    <col min="13579" max="13579" width="8.42578125" style="18" customWidth="1"/>
    <col min="13580" max="13580" width="7.42578125" style="18" bestFit="1" customWidth="1"/>
    <col min="13581" max="13581" width="5.5703125" style="18" customWidth="1"/>
    <col min="13582" max="13582" width="19.42578125" style="18" bestFit="1" customWidth="1"/>
    <col min="13583" max="13824" width="11.42578125" style="18"/>
    <col min="13825" max="13825" width="3.42578125" style="18" customWidth="1"/>
    <col min="13826" max="13826" width="5.42578125" style="18" bestFit="1" customWidth="1"/>
    <col min="13827" max="13827" width="43.42578125" style="18" customWidth="1"/>
    <col min="13828" max="13828" width="7.5703125" style="18" customWidth="1"/>
    <col min="13829" max="13829" width="14.42578125" style="18" customWidth="1"/>
    <col min="13830" max="13830" width="12.42578125" style="18" customWidth="1"/>
    <col min="13831" max="13831" width="13" style="18" customWidth="1"/>
    <col min="13832" max="13832" width="11.5703125" style="18" customWidth="1"/>
    <col min="13833" max="13833" width="11.42578125" style="18" customWidth="1"/>
    <col min="13834" max="13834" width="14" style="18" customWidth="1"/>
    <col min="13835" max="13835" width="8.42578125" style="18" customWidth="1"/>
    <col min="13836" max="13836" width="7.42578125" style="18" bestFit="1" customWidth="1"/>
    <col min="13837" max="13837" width="5.5703125" style="18" customWidth="1"/>
    <col min="13838" max="13838" width="19.42578125" style="18" bestFit="1" customWidth="1"/>
    <col min="13839" max="14080" width="11.42578125" style="18"/>
    <col min="14081" max="14081" width="3.42578125" style="18" customWidth="1"/>
    <col min="14082" max="14082" width="5.42578125" style="18" bestFit="1" customWidth="1"/>
    <col min="14083" max="14083" width="43.42578125" style="18" customWidth="1"/>
    <col min="14084" max="14084" width="7.5703125" style="18" customWidth="1"/>
    <col min="14085" max="14085" width="14.42578125" style="18" customWidth="1"/>
    <col min="14086" max="14086" width="12.42578125" style="18" customWidth="1"/>
    <col min="14087" max="14087" width="13" style="18" customWidth="1"/>
    <col min="14088" max="14088" width="11.5703125" style="18" customWidth="1"/>
    <col min="14089" max="14089" width="11.42578125" style="18" customWidth="1"/>
    <col min="14090" max="14090" width="14" style="18" customWidth="1"/>
    <col min="14091" max="14091" width="8.42578125" style="18" customWidth="1"/>
    <col min="14092" max="14092" width="7.42578125" style="18" bestFit="1" customWidth="1"/>
    <col min="14093" max="14093" width="5.5703125" style="18" customWidth="1"/>
    <col min="14094" max="14094" width="19.42578125" style="18" bestFit="1" customWidth="1"/>
    <col min="14095" max="14336" width="11.42578125" style="18"/>
    <col min="14337" max="14337" width="3.42578125" style="18" customWidth="1"/>
    <col min="14338" max="14338" width="5.42578125" style="18" bestFit="1" customWidth="1"/>
    <col min="14339" max="14339" width="43.42578125" style="18" customWidth="1"/>
    <col min="14340" max="14340" width="7.5703125" style="18" customWidth="1"/>
    <col min="14341" max="14341" width="14.42578125" style="18" customWidth="1"/>
    <col min="14342" max="14342" width="12.42578125" style="18" customWidth="1"/>
    <col min="14343" max="14343" width="13" style="18" customWidth="1"/>
    <col min="14344" max="14344" width="11.5703125" style="18" customWidth="1"/>
    <col min="14345" max="14345" width="11.42578125" style="18" customWidth="1"/>
    <col min="14346" max="14346" width="14" style="18" customWidth="1"/>
    <col min="14347" max="14347" width="8.42578125" style="18" customWidth="1"/>
    <col min="14348" max="14348" width="7.42578125" style="18" bestFit="1" customWidth="1"/>
    <col min="14349" max="14349" width="5.5703125" style="18" customWidth="1"/>
    <col min="14350" max="14350" width="19.42578125" style="18" bestFit="1" customWidth="1"/>
    <col min="14351" max="14592" width="11.42578125" style="18"/>
    <col min="14593" max="14593" width="3.42578125" style="18" customWidth="1"/>
    <col min="14594" max="14594" width="5.42578125" style="18" bestFit="1" customWidth="1"/>
    <col min="14595" max="14595" width="43.42578125" style="18" customWidth="1"/>
    <col min="14596" max="14596" width="7.5703125" style="18" customWidth="1"/>
    <col min="14597" max="14597" width="14.42578125" style="18" customWidth="1"/>
    <col min="14598" max="14598" width="12.42578125" style="18" customWidth="1"/>
    <col min="14599" max="14599" width="13" style="18" customWidth="1"/>
    <col min="14600" max="14600" width="11.5703125" style="18" customWidth="1"/>
    <col min="14601" max="14601" width="11.42578125" style="18" customWidth="1"/>
    <col min="14602" max="14602" width="14" style="18" customWidth="1"/>
    <col min="14603" max="14603" width="8.42578125" style="18" customWidth="1"/>
    <col min="14604" max="14604" width="7.42578125" style="18" bestFit="1" customWidth="1"/>
    <col min="14605" max="14605" width="5.5703125" style="18" customWidth="1"/>
    <col min="14606" max="14606" width="19.42578125" style="18" bestFit="1" customWidth="1"/>
    <col min="14607" max="14848" width="11.42578125" style="18"/>
    <col min="14849" max="14849" width="3.42578125" style="18" customWidth="1"/>
    <col min="14850" max="14850" width="5.42578125" style="18" bestFit="1" customWidth="1"/>
    <col min="14851" max="14851" width="43.42578125" style="18" customWidth="1"/>
    <col min="14852" max="14852" width="7.5703125" style="18" customWidth="1"/>
    <col min="14853" max="14853" width="14.42578125" style="18" customWidth="1"/>
    <col min="14854" max="14854" width="12.42578125" style="18" customWidth="1"/>
    <col min="14855" max="14855" width="13" style="18" customWidth="1"/>
    <col min="14856" max="14856" width="11.5703125" style="18" customWidth="1"/>
    <col min="14857" max="14857" width="11.42578125" style="18" customWidth="1"/>
    <col min="14858" max="14858" width="14" style="18" customWidth="1"/>
    <col min="14859" max="14859" width="8.42578125" style="18" customWidth="1"/>
    <col min="14860" max="14860" width="7.42578125" style="18" bestFit="1" customWidth="1"/>
    <col min="14861" max="14861" width="5.5703125" style="18" customWidth="1"/>
    <col min="14862" max="14862" width="19.42578125" style="18" bestFit="1" customWidth="1"/>
    <col min="14863" max="15104" width="11.42578125" style="18"/>
    <col min="15105" max="15105" width="3.42578125" style="18" customWidth="1"/>
    <col min="15106" max="15106" width="5.42578125" style="18" bestFit="1" customWidth="1"/>
    <col min="15107" max="15107" width="43.42578125" style="18" customWidth="1"/>
    <col min="15108" max="15108" width="7.5703125" style="18" customWidth="1"/>
    <col min="15109" max="15109" width="14.42578125" style="18" customWidth="1"/>
    <col min="15110" max="15110" width="12.42578125" style="18" customWidth="1"/>
    <col min="15111" max="15111" width="13" style="18" customWidth="1"/>
    <col min="15112" max="15112" width="11.5703125" style="18" customWidth="1"/>
    <col min="15113" max="15113" width="11.42578125" style="18" customWidth="1"/>
    <col min="15114" max="15114" width="14" style="18" customWidth="1"/>
    <col min="15115" max="15115" width="8.42578125" style="18" customWidth="1"/>
    <col min="15116" max="15116" width="7.42578125" style="18" bestFit="1" customWidth="1"/>
    <col min="15117" max="15117" width="5.5703125" style="18" customWidth="1"/>
    <col min="15118" max="15118" width="19.42578125" style="18" bestFit="1" customWidth="1"/>
    <col min="15119" max="15360" width="11.42578125" style="18"/>
    <col min="15361" max="15361" width="3.42578125" style="18" customWidth="1"/>
    <col min="15362" max="15362" width="5.42578125" style="18" bestFit="1" customWidth="1"/>
    <col min="15363" max="15363" width="43.42578125" style="18" customWidth="1"/>
    <col min="15364" max="15364" width="7.5703125" style="18" customWidth="1"/>
    <col min="15365" max="15365" width="14.42578125" style="18" customWidth="1"/>
    <col min="15366" max="15366" width="12.42578125" style="18" customWidth="1"/>
    <col min="15367" max="15367" width="13" style="18" customWidth="1"/>
    <col min="15368" max="15368" width="11.5703125" style="18" customWidth="1"/>
    <col min="15369" max="15369" width="11.42578125" style="18" customWidth="1"/>
    <col min="15370" max="15370" width="14" style="18" customWidth="1"/>
    <col min="15371" max="15371" width="8.42578125" style="18" customWidth="1"/>
    <col min="15372" max="15372" width="7.42578125" style="18" bestFit="1" customWidth="1"/>
    <col min="15373" max="15373" width="5.5703125" style="18" customWidth="1"/>
    <col min="15374" max="15374" width="19.42578125" style="18" bestFit="1" customWidth="1"/>
    <col min="15375" max="15616" width="11.42578125" style="18"/>
    <col min="15617" max="15617" width="3.42578125" style="18" customWidth="1"/>
    <col min="15618" max="15618" width="5.42578125" style="18" bestFit="1" customWidth="1"/>
    <col min="15619" max="15619" width="43.42578125" style="18" customWidth="1"/>
    <col min="15620" max="15620" width="7.5703125" style="18" customWidth="1"/>
    <col min="15621" max="15621" width="14.42578125" style="18" customWidth="1"/>
    <col min="15622" max="15622" width="12.42578125" style="18" customWidth="1"/>
    <col min="15623" max="15623" width="13" style="18" customWidth="1"/>
    <col min="15624" max="15624" width="11.5703125" style="18" customWidth="1"/>
    <col min="15625" max="15625" width="11.42578125" style="18" customWidth="1"/>
    <col min="15626" max="15626" width="14" style="18" customWidth="1"/>
    <col min="15627" max="15627" width="8.42578125" style="18" customWidth="1"/>
    <col min="15628" max="15628" width="7.42578125" style="18" bestFit="1" customWidth="1"/>
    <col min="15629" max="15629" width="5.5703125" style="18" customWidth="1"/>
    <col min="15630" max="15630" width="19.42578125" style="18" bestFit="1" customWidth="1"/>
    <col min="15631" max="15872" width="11.42578125" style="18"/>
    <col min="15873" max="15873" width="3.42578125" style="18" customWidth="1"/>
    <col min="15874" max="15874" width="5.42578125" style="18" bestFit="1" customWidth="1"/>
    <col min="15875" max="15875" width="43.42578125" style="18" customWidth="1"/>
    <col min="15876" max="15876" width="7.5703125" style="18" customWidth="1"/>
    <col min="15877" max="15877" width="14.42578125" style="18" customWidth="1"/>
    <col min="15878" max="15878" width="12.42578125" style="18" customWidth="1"/>
    <col min="15879" max="15879" width="13" style="18" customWidth="1"/>
    <col min="15880" max="15880" width="11.5703125" style="18" customWidth="1"/>
    <col min="15881" max="15881" width="11.42578125" style="18" customWidth="1"/>
    <col min="15882" max="15882" width="14" style="18" customWidth="1"/>
    <col min="15883" max="15883" width="8.42578125" style="18" customWidth="1"/>
    <col min="15884" max="15884" width="7.42578125" style="18" bestFit="1" customWidth="1"/>
    <col min="15885" max="15885" width="5.5703125" style="18" customWidth="1"/>
    <col min="15886" max="15886" width="19.42578125" style="18" bestFit="1" customWidth="1"/>
    <col min="15887" max="16128" width="11.42578125" style="18"/>
    <col min="16129" max="16129" width="3.42578125" style="18" customWidth="1"/>
    <col min="16130" max="16130" width="5.42578125" style="18" bestFit="1" customWidth="1"/>
    <col min="16131" max="16131" width="43.42578125" style="18" customWidth="1"/>
    <col min="16132" max="16132" width="7.5703125" style="18" customWidth="1"/>
    <col min="16133" max="16133" width="14.42578125" style="18" customWidth="1"/>
    <col min="16134" max="16134" width="12.42578125" style="18" customWidth="1"/>
    <col min="16135" max="16135" width="13" style="18" customWidth="1"/>
    <col min="16136" max="16136" width="11.5703125" style="18" customWidth="1"/>
    <col min="16137" max="16137" width="11.42578125" style="18" customWidth="1"/>
    <col min="16138" max="16138" width="14" style="18" customWidth="1"/>
    <col min="16139" max="16139" width="8.42578125" style="18" customWidth="1"/>
    <col min="16140" max="16140" width="7.42578125" style="18" bestFit="1" customWidth="1"/>
    <col min="16141" max="16141" width="5.5703125" style="18" customWidth="1"/>
    <col min="16142" max="16142" width="19.42578125" style="18" bestFit="1" customWidth="1"/>
    <col min="16143" max="16384" width="11.42578125" style="18"/>
  </cols>
  <sheetData>
    <row r="1" spans="2:16" s="5" customFormat="1">
      <c r="B1" s="2537" t="s">
        <v>4386</v>
      </c>
      <c r="C1" s="2537"/>
      <c r="D1" s="2537"/>
      <c r="E1" s="2537"/>
      <c r="F1" s="2537"/>
      <c r="G1" s="2537"/>
      <c r="H1" s="2537"/>
      <c r="I1" s="2537"/>
      <c r="J1" s="2537"/>
      <c r="K1" s="2537"/>
      <c r="L1" s="1"/>
      <c r="M1" s="1"/>
      <c r="N1" s="1"/>
    </row>
    <row r="2" spans="2:16" s="5" customFormat="1" ht="12" customHeight="1">
      <c r="B2" s="2537" t="s">
        <v>4381</v>
      </c>
      <c r="C2" s="2537"/>
      <c r="D2" s="2537"/>
      <c r="E2" s="2537"/>
      <c r="F2" s="2537"/>
      <c r="G2" s="2537"/>
      <c r="H2" s="2537"/>
      <c r="I2" s="2537"/>
      <c r="J2" s="2537"/>
      <c r="K2" s="2537"/>
      <c r="L2" s="1367"/>
      <c r="M2" s="1367"/>
      <c r="N2" s="1367"/>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3148" t="s">
        <v>3569</v>
      </c>
      <c r="F4" s="3148"/>
      <c r="G4" s="3148"/>
      <c r="H4" s="3148"/>
      <c r="I4" s="3148"/>
      <c r="J4" s="1371" t="s">
        <v>4339</v>
      </c>
      <c r="K4" s="1445">
        <v>44681</v>
      </c>
      <c r="N4" s="51"/>
    </row>
    <row r="5" spans="2:16" s="5" customFormat="1" ht="12.75" customHeight="1">
      <c r="B5" s="308"/>
      <c r="C5" s="11" t="s">
        <v>5</v>
      </c>
      <c r="D5" s="12" t="s">
        <v>4</v>
      </c>
      <c r="E5" s="13" t="s">
        <v>532</v>
      </c>
      <c r="F5" s="13"/>
      <c r="G5" s="308"/>
      <c r="H5" s="308"/>
      <c r="I5" s="6"/>
      <c r="J5" s="2" t="s">
        <v>14</v>
      </c>
      <c r="K5" s="13" t="s">
        <v>535</v>
      </c>
      <c r="M5" s="308"/>
    </row>
    <row r="6" spans="2:16" s="5" customFormat="1">
      <c r="B6" s="1"/>
      <c r="C6" s="11" t="s">
        <v>15</v>
      </c>
      <c r="D6" s="12" t="s">
        <v>4</v>
      </c>
      <c r="E6" s="13" t="s">
        <v>3629</v>
      </c>
      <c r="G6" s="1"/>
      <c r="H6" s="1"/>
      <c r="I6" s="4"/>
      <c r="J6" s="2" t="s">
        <v>16</v>
      </c>
      <c r="K6" s="13" t="s">
        <v>535</v>
      </c>
      <c r="M6" s="1"/>
    </row>
    <row r="7" spans="2:16" s="5" customFormat="1">
      <c r="B7" s="1"/>
      <c r="C7" s="11" t="s">
        <v>17</v>
      </c>
      <c r="D7" s="12" t="s">
        <v>4</v>
      </c>
      <c r="E7" s="13" t="s">
        <v>11</v>
      </c>
      <c r="G7" s="1"/>
      <c r="H7" s="1"/>
      <c r="I7" s="4"/>
      <c r="J7" s="2" t="s">
        <v>18</v>
      </c>
      <c r="K7" s="13" t="s">
        <v>10</v>
      </c>
      <c r="M7" s="14"/>
    </row>
    <row r="8" spans="2:16" s="5" customFormat="1">
      <c r="B8" s="1"/>
      <c r="C8" s="11" t="s">
        <v>19</v>
      </c>
      <c r="D8" s="12" t="s">
        <v>4</v>
      </c>
      <c r="E8" s="15">
        <v>2022</v>
      </c>
      <c r="G8" s="1"/>
      <c r="H8" s="1"/>
      <c r="I8" s="4"/>
      <c r="J8" s="7"/>
      <c r="K8" s="1"/>
      <c r="M8" s="1"/>
      <c r="N8" s="1"/>
    </row>
    <row r="9" spans="2:16" ht="13.5" thickBot="1"/>
    <row r="10" spans="2:16" ht="13.5">
      <c r="B10" s="3120" t="s">
        <v>66</v>
      </c>
      <c r="C10" s="3123" t="s">
        <v>21</v>
      </c>
      <c r="D10" s="3123"/>
      <c r="E10" s="3123" t="s">
        <v>23</v>
      </c>
      <c r="F10" s="3149" t="s">
        <v>24</v>
      </c>
      <c r="G10" s="3149"/>
      <c r="H10" s="3149"/>
      <c r="I10" s="3149"/>
      <c r="J10" s="3123" t="s">
        <v>25</v>
      </c>
      <c r="K10" s="3136"/>
    </row>
    <row r="11" spans="2:16" ht="13.5">
      <c r="B11" s="3121"/>
      <c r="C11" s="3124"/>
      <c r="D11" s="3124"/>
      <c r="E11" s="3124"/>
      <c r="F11" s="704" t="s">
        <v>26</v>
      </c>
      <c r="G11" s="704" t="s">
        <v>27</v>
      </c>
      <c r="H11" s="3138" t="s">
        <v>28</v>
      </c>
      <c r="I11" s="3138"/>
      <c r="J11" s="3124"/>
      <c r="K11" s="3137"/>
    </row>
    <row r="12" spans="2:16" ht="12.75" customHeight="1">
      <c r="B12" s="3121"/>
      <c r="C12" s="3124"/>
      <c r="D12" s="3124"/>
      <c r="E12" s="3124"/>
      <c r="F12" s="3150" t="s">
        <v>32</v>
      </c>
      <c r="G12" s="3150" t="s">
        <v>32</v>
      </c>
      <c r="H12" s="3150" t="s">
        <v>32</v>
      </c>
      <c r="I12" s="3124" t="s">
        <v>0</v>
      </c>
      <c r="J12" s="3124" t="s">
        <v>32</v>
      </c>
      <c r="K12" s="3137" t="s">
        <v>0</v>
      </c>
    </row>
    <row r="13" spans="2:16" ht="13.5" thickBot="1">
      <c r="B13" s="3122"/>
      <c r="C13" s="3125"/>
      <c r="D13" s="3125"/>
      <c r="E13" s="3125"/>
      <c r="F13" s="3151"/>
      <c r="G13" s="3151"/>
      <c r="H13" s="3151"/>
      <c r="I13" s="3125"/>
      <c r="J13" s="3125"/>
      <c r="K13" s="3141"/>
    </row>
    <row r="14" spans="2:16" ht="25.5" customHeight="1">
      <c r="B14" s="3118">
        <v>1</v>
      </c>
      <c r="C14" s="3114" t="s">
        <v>1131</v>
      </c>
      <c r="D14" s="3115"/>
      <c r="E14" s="3110">
        <f>+'VAL. PRINC'!AK27</f>
        <v>665449.8899999999</v>
      </c>
      <c r="F14" s="3110">
        <f>+SUM('VAL. PRINC'!T16:T79)</f>
        <v>665449.89089666645</v>
      </c>
      <c r="G14" s="3110">
        <f>+'VAL. PRINC'!AK14</f>
        <v>0</v>
      </c>
      <c r="H14" s="3110">
        <f>+F14+G14</f>
        <v>665449.89089666645</v>
      </c>
      <c r="I14" s="3112">
        <f>+H14/E14</f>
        <v>1.0000000013474593</v>
      </c>
      <c r="J14" s="3160">
        <f>+E14-H14</f>
        <v>-8.9666654821485281E-4</v>
      </c>
      <c r="K14" s="3162">
        <f>+J14/E14</f>
        <v>-1.3474591576156891E-9</v>
      </c>
      <c r="N14" s="26"/>
      <c r="P14" s="18">
        <v>77203.628799999991</v>
      </c>
    </row>
    <row r="15" spans="2:16" ht="10.35" customHeight="1">
      <c r="B15" s="3119"/>
      <c r="C15" s="3116"/>
      <c r="D15" s="3117"/>
      <c r="E15" s="3111"/>
      <c r="F15" s="3111"/>
      <c r="G15" s="3111"/>
      <c r="H15" s="3111"/>
      <c r="I15" s="3113"/>
      <c r="J15" s="3161"/>
      <c r="K15" s="3163"/>
      <c r="M15" s="26"/>
      <c r="N15" s="26"/>
    </row>
    <row r="16" spans="2:16">
      <c r="B16" s="701">
        <v>2</v>
      </c>
      <c r="C16" s="703" t="str">
        <f>[41]VAL.PRINC!B38</f>
        <v>ESTRUCTURAS</v>
      </c>
      <c r="D16" s="702"/>
      <c r="E16" s="792">
        <f>+'VAL. PRINC'!AK28</f>
        <v>9177175.9799999986</v>
      </c>
      <c r="F16" s="1358">
        <f>+SUM('VAL. PRINC'!T82:T278)</f>
        <v>6204898.4932047976</v>
      </c>
      <c r="G16" s="792">
        <f>+'VAL. PRINC'!AK15</f>
        <v>24768.334398400002</v>
      </c>
      <c r="H16" s="705">
        <f t="shared" ref="H16:H21" si="0">+F16+G16</f>
        <v>6229666.8276031977</v>
      </c>
      <c r="I16" s="104">
        <f t="shared" ref="I16:I21" si="1">+H16/E16</f>
        <v>0.67882176839363595</v>
      </c>
      <c r="J16" s="798">
        <f t="shared" ref="J16:J21" si="2">+E16-H16</f>
        <v>2947509.1523968009</v>
      </c>
      <c r="K16" s="799">
        <f t="shared" ref="K16:K21" si="3">+J16/E16</f>
        <v>0.32117823160636411</v>
      </c>
      <c r="N16" s="26"/>
      <c r="P16" s="18">
        <v>448736.87849999999</v>
      </c>
    </row>
    <row r="17" spans="2:16">
      <c r="B17" s="701">
        <v>3</v>
      </c>
      <c r="C17" s="703" t="str">
        <f>[41]VAL.PRINC!B292</f>
        <v>ARQUITECTURA</v>
      </c>
      <c r="D17" s="702"/>
      <c r="E17" s="1499">
        <f>+'VAL. PRINC'!AK29</f>
        <v>3540445.1499999985</v>
      </c>
      <c r="F17" s="1358">
        <f>+SUM('VAL. PRINC'!T281:T440)</f>
        <v>1717717.1346925001</v>
      </c>
      <c r="G17" s="792">
        <f>+'VAL. PRINC'!AK16</f>
        <v>63652.694199999991</v>
      </c>
      <c r="H17" s="705">
        <f t="shared" si="0"/>
        <v>1781369.8288925001</v>
      </c>
      <c r="I17" s="104">
        <f t="shared" si="1"/>
        <v>0.50314854585234881</v>
      </c>
      <c r="J17" s="798">
        <f t="shared" si="2"/>
        <v>1759075.3211074984</v>
      </c>
      <c r="K17" s="799">
        <f t="shared" si="3"/>
        <v>0.49685145414765119</v>
      </c>
      <c r="N17" s="26"/>
      <c r="P17" s="18">
        <v>100106.41170000001</v>
      </c>
    </row>
    <row r="18" spans="2:16">
      <c r="B18" s="701">
        <v>4</v>
      </c>
      <c r="C18" s="703" t="str">
        <f>[41]VAL.PRINC!B542</f>
        <v>INSTALACIONES SANITARIAS</v>
      </c>
      <c r="D18" s="702"/>
      <c r="E18" s="1499">
        <f>+'VAL. PRINC'!AK30</f>
        <v>702568.79999999981</v>
      </c>
      <c r="F18" s="1358">
        <f>+SUM('VAL. PRINC'!T444:T603)</f>
        <v>464397.3392000001</v>
      </c>
      <c r="G18" s="1344">
        <f>+'VAL. PRINC'!AK17</f>
        <v>92659.544000000024</v>
      </c>
      <c r="H18" s="705">
        <f t="shared" si="0"/>
        <v>557056.88320000016</v>
      </c>
      <c r="I18" s="104">
        <f t="shared" si="1"/>
        <v>0.79288588277760175</v>
      </c>
      <c r="J18" s="798">
        <f t="shared" si="2"/>
        <v>145511.91679999966</v>
      </c>
      <c r="K18" s="799">
        <f t="shared" si="3"/>
        <v>0.20711411722239828</v>
      </c>
      <c r="N18" s="26"/>
      <c r="P18" s="18">
        <v>1406.0177999999999</v>
      </c>
    </row>
    <row r="19" spans="2:16">
      <c r="B19" s="701">
        <v>5</v>
      </c>
      <c r="C19" s="1280" t="str">
        <f>[41]VAL.PRINC!B601</f>
        <v>INSTALACIONES ELECTRICAS</v>
      </c>
      <c r="D19" s="702"/>
      <c r="E19" s="1499">
        <f>+'VAL. PRINC'!AK31</f>
        <v>1004889.1499999998</v>
      </c>
      <c r="F19" s="1364">
        <f>+SUM('VAL. PRINC'!T606:T730)</f>
        <v>532604.58050666668</v>
      </c>
      <c r="G19" s="792">
        <f>+'VAL. PRINC'!AK18</f>
        <v>14541.5</v>
      </c>
      <c r="H19" s="711">
        <f t="shared" si="0"/>
        <v>547146.08050666668</v>
      </c>
      <c r="I19" s="104">
        <f t="shared" si="1"/>
        <v>0.54448401647750577</v>
      </c>
      <c r="J19" s="798">
        <f t="shared" si="2"/>
        <v>457743.06949333311</v>
      </c>
      <c r="K19" s="799">
        <f t="shared" si="3"/>
        <v>0.45551598352249423</v>
      </c>
      <c r="N19" s="26"/>
    </row>
    <row r="20" spans="2:16" ht="13.5">
      <c r="B20" s="1369">
        <v>6</v>
      </c>
      <c r="C20" s="3158" t="s">
        <v>2820</v>
      </c>
      <c r="D20" s="3159"/>
      <c r="E20" s="1591">
        <f>+'VAL. PRINC'!AK32</f>
        <v>382815.81000000006</v>
      </c>
      <c r="F20" s="1349">
        <f>+SUM('VAL. PRINC'!T735:T834)</f>
        <v>207580.2</v>
      </c>
      <c r="G20" s="1276">
        <f>+'VAL. PRINC'!AK19</f>
        <v>0</v>
      </c>
      <c r="H20" s="711">
        <f t="shared" si="0"/>
        <v>207580.2</v>
      </c>
      <c r="I20" s="104">
        <f t="shared" si="1"/>
        <v>0.54224562982390923</v>
      </c>
      <c r="J20" s="798">
        <f t="shared" si="2"/>
        <v>175235.61000000004</v>
      </c>
      <c r="K20" s="799">
        <f t="shared" si="3"/>
        <v>0.45775437017609072</v>
      </c>
      <c r="P20" s="18">
        <v>3211.13</v>
      </c>
    </row>
    <row r="21" spans="2:16" ht="13.5">
      <c r="B21" s="1369">
        <v>7</v>
      </c>
      <c r="C21" s="1365" t="s">
        <v>3630</v>
      </c>
      <c r="D21" s="1366"/>
      <c r="E21" s="1499">
        <f>+'VAL. PRINC'!AK33+'VAL. PRINC'!AK34</f>
        <v>113305.44</v>
      </c>
      <c r="F21" s="1364">
        <f>+SUM('VAL. PRINC'!T836:T838)</f>
        <v>36630</v>
      </c>
      <c r="G21" s="1364">
        <f>+'VAL. PRINC'!V838</f>
        <v>0</v>
      </c>
      <c r="H21" s="711">
        <f t="shared" si="0"/>
        <v>36630</v>
      </c>
      <c r="I21" s="104">
        <f t="shared" si="1"/>
        <v>0.32328544860688063</v>
      </c>
      <c r="J21" s="798">
        <f t="shared" si="2"/>
        <v>76675.44</v>
      </c>
      <c r="K21" s="799">
        <f t="shared" si="3"/>
        <v>0.67671455139311931</v>
      </c>
    </row>
    <row r="22" spans="2:16" ht="13.5">
      <c r="B22" s="3143" t="s">
        <v>1925</v>
      </c>
      <c r="C22" s="3144"/>
      <c r="D22" s="3144"/>
      <c r="E22" s="1278">
        <f>+SUM(E14:E21)</f>
        <v>15586650.219999997</v>
      </c>
      <c r="F22" s="1279">
        <f>SUM(F14:F21)</f>
        <v>9829277.6385006309</v>
      </c>
      <c r="G22" s="1279">
        <f>SUM(G14:G21)</f>
        <v>195622.0725984</v>
      </c>
      <c r="H22" s="1279">
        <f>SUM(H14:H21)</f>
        <v>10024899.711099032</v>
      </c>
      <c r="I22" s="99">
        <f>+H22/E22</f>
        <v>0.64317217423892603</v>
      </c>
      <c r="J22" s="714">
        <f>SUM(J14:J21)</f>
        <v>5561750.5089009665</v>
      </c>
      <c r="K22" s="1368">
        <f>+M22-I22</f>
        <v>0.35682782576107397</v>
      </c>
      <c r="L22" s="26">
        <f>+E22-N22</f>
        <v>187913.67289999314</v>
      </c>
      <c r="M22" s="1370">
        <v>1</v>
      </c>
      <c r="N22" s="18">
        <v>15398736.547100004</v>
      </c>
    </row>
    <row r="23" spans="2:16" ht="13.5">
      <c r="B23" s="3155" t="str">
        <f>'VAL. PRINC'!C840</f>
        <v>PLAN DE CONTINGENCIA</v>
      </c>
      <c r="C23" s="3156"/>
      <c r="D23" s="3157"/>
      <c r="E23" s="736">
        <f>+'VAL. PRINC'!R840</f>
        <v>281600</v>
      </c>
      <c r="F23" s="1349">
        <v>0</v>
      </c>
      <c r="G23" s="1332">
        <f>+'VAL. PRINC'!V840</f>
        <v>0</v>
      </c>
      <c r="H23" s="736">
        <f t="shared" ref="H23:H29" si="4">F23+G23</f>
        <v>0</v>
      </c>
      <c r="I23" s="104">
        <f t="shared" ref="I23:I33" si="5">+H23/E23</f>
        <v>0</v>
      </c>
      <c r="J23" s="1300">
        <f t="shared" ref="J23:J29" si="6">E23-H23</f>
        <v>281600</v>
      </c>
      <c r="K23" s="1277">
        <f t="shared" ref="K23:K33" si="7">+J23/E23</f>
        <v>1</v>
      </c>
    </row>
    <row r="24" spans="2:16" ht="13.5">
      <c r="B24" s="3155" t="str">
        <f>'VAL. PRINC'!C841</f>
        <v>ADQUISICIÓN DE TERRENO</v>
      </c>
      <c r="C24" s="3156"/>
      <c r="D24" s="3157"/>
      <c r="E24" s="736">
        <f>+'VAL. PRINC'!R841</f>
        <v>633159.44999999995</v>
      </c>
      <c r="F24" s="1349">
        <f>+'VAL. PRINC'!T841</f>
        <v>633159.44999999995</v>
      </c>
      <c r="G24" s="1332">
        <f>+'VAL. PRINC'!V841</f>
        <v>0</v>
      </c>
      <c r="H24" s="736">
        <f t="shared" si="4"/>
        <v>633159.44999999995</v>
      </c>
      <c r="I24" s="104">
        <f t="shared" si="5"/>
        <v>1</v>
      </c>
      <c r="J24" s="1300">
        <f t="shared" si="6"/>
        <v>0</v>
      </c>
      <c r="K24" s="1277">
        <f t="shared" si="7"/>
        <v>0</v>
      </c>
    </row>
    <row r="25" spans="2:16" ht="13.5">
      <c r="B25" s="3155" t="str">
        <f>'VAL. PRINC'!C842</f>
        <v>GASTOS GENERALES</v>
      </c>
      <c r="C25" s="3156"/>
      <c r="D25" s="3157"/>
      <c r="E25" s="736">
        <f>+'VAL. PRINC'!R842</f>
        <v>1537902.87</v>
      </c>
      <c r="F25" s="1364">
        <f>+'VAL. PRINC'!T842</f>
        <v>1626969.4061039796</v>
      </c>
      <c r="G25" s="1332">
        <f>+'VAL. PRINC'!V842</f>
        <v>51969.708197536682</v>
      </c>
      <c r="H25" s="736">
        <f t="shared" si="4"/>
        <v>1678939.1143015162</v>
      </c>
      <c r="I25" s="104">
        <f t="shared" si="5"/>
        <v>1.0917068607209999</v>
      </c>
      <c r="J25" s="1300">
        <f t="shared" si="6"/>
        <v>-141036.2443015161</v>
      </c>
      <c r="K25" s="1277">
        <f t="shared" si="7"/>
        <v>-9.1706860720999941E-2</v>
      </c>
    </row>
    <row r="26" spans="2:16" ht="13.5">
      <c r="B26" s="3155" t="str">
        <f>'VAL. PRINC'!C843</f>
        <v>GESTION DE PROYECTO</v>
      </c>
      <c r="C26" s="3156"/>
      <c r="D26" s="3157"/>
      <c r="E26" s="736">
        <f>+'VAL. PRINC'!R843</f>
        <v>134176.26999999999</v>
      </c>
      <c r="F26" s="1364">
        <f>+'VAL. PRINC'!T843</f>
        <v>134406.38</v>
      </c>
      <c r="G26" s="1332">
        <f>+'VAL. PRINC'!V843</f>
        <v>0</v>
      </c>
      <c r="H26" s="736">
        <f t="shared" si="4"/>
        <v>134406.38</v>
      </c>
      <c r="I26" s="104">
        <f t="shared" si="5"/>
        <v>1.0017149828356386</v>
      </c>
      <c r="J26" s="1300">
        <f t="shared" si="6"/>
        <v>-230.11000000001513</v>
      </c>
      <c r="K26" s="799">
        <f t="shared" si="7"/>
        <v>-1.7149828356386352E-3</v>
      </c>
    </row>
    <row r="27" spans="2:16" ht="13.5">
      <c r="B27" s="3155" t="str">
        <f>'VAL. PRINC'!C844</f>
        <v>GASTOS DE SUPERVISION</v>
      </c>
      <c r="C27" s="3156"/>
      <c r="D27" s="3157"/>
      <c r="E27" s="736">
        <f>+'VAL. PRINC'!R844</f>
        <v>486143.77</v>
      </c>
      <c r="F27" s="1364">
        <f>+'VAL. PRINC'!T844</f>
        <v>349559.7172401456</v>
      </c>
      <c r="G27" s="1332">
        <f>+'VAL. PRINC'!V844</f>
        <v>16504.669999999998</v>
      </c>
      <c r="H27" s="736">
        <f t="shared" si="4"/>
        <v>366064.38724014559</v>
      </c>
      <c r="I27" s="104">
        <f t="shared" si="5"/>
        <v>0.75299615017208921</v>
      </c>
      <c r="J27" s="1300">
        <f t="shared" si="6"/>
        <v>120079.38275985443</v>
      </c>
      <c r="K27" s="799">
        <f t="shared" si="7"/>
        <v>0.24700384982791085</v>
      </c>
    </row>
    <row r="28" spans="2:16" ht="13.5">
      <c r="B28" s="3155" t="str">
        <f>'VAL. PRINC'!C845</f>
        <v>LIQUIDACION DE OBRA</v>
      </c>
      <c r="C28" s="3156"/>
      <c r="D28" s="3157"/>
      <c r="E28" s="736">
        <f>+'VAL. PRINC'!R845</f>
        <v>95831.08</v>
      </c>
      <c r="F28" s="1364">
        <f>+'VAL. PRINC'!T845</f>
        <v>0</v>
      </c>
      <c r="G28" s="1332">
        <f>+'VAL. PRINC'!V845</f>
        <v>0</v>
      </c>
      <c r="H28" s="736">
        <f t="shared" si="4"/>
        <v>0</v>
      </c>
      <c r="I28" s="104">
        <f t="shared" si="5"/>
        <v>0</v>
      </c>
      <c r="J28" s="1300">
        <f t="shared" si="6"/>
        <v>95831.08</v>
      </c>
      <c r="K28" s="799">
        <f t="shared" si="7"/>
        <v>1</v>
      </c>
    </row>
    <row r="29" spans="2:16" ht="13.5">
      <c r="B29" s="3155" t="str">
        <f>'VAL. PRINC'!C846</f>
        <v>EXPEDIENTE TECNICO</v>
      </c>
      <c r="C29" s="3156"/>
      <c r="D29" s="3157"/>
      <c r="E29" s="736">
        <f>+'VAL. PRINC'!R846</f>
        <v>185215.69</v>
      </c>
      <c r="F29" s="1364">
        <f>+'VAL. PRINC'!T846</f>
        <v>185215.69</v>
      </c>
      <c r="G29" s="1332">
        <f>+'VAL. PRINC'!V846</f>
        <v>0</v>
      </c>
      <c r="H29" s="736">
        <f t="shared" si="4"/>
        <v>185215.69</v>
      </c>
      <c r="I29" s="104">
        <f t="shared" si="5"/>
        <v>1</v>
      </c>
      <c r="J29" s="1300">
        <f t="shared" si="6"/>
        <v>0</v>
      </c>
      <c r="K29" s="799">
        <f t="shared" si="7"/>
        <v>0</v>
      </c>
    </row>
    <row r="30" spans="2:16" ht="13.5">
      <c r="B30" s="3145" t="s">
        <v>1810</v>
      </c>
      <c r="C30" s="3146"/>
      <c r="D30" s="3147"/>
      <c r="E30" s="1298">
        <f>SUM(E22:E29)</f>
        <v>18940679.349999994</v>
      </c>
      <c r="F30" s="1298">
        <f>SUM(F22:F29)</f>
        <v>12758588.281844756</v>
      </c>
      <c r="G30" s="1350">
        <f>SUM(G22:G29)</f>
        <v>264096.45079593669</v>
      </c>
      <c r="H30" s="1298">
        <f>SUM(H22:H29)</f>
        <v>13022684.732640693</v>
      </c>
      <c r="I30" s="1352">
        <f>+H30/E30</f>
        <v>0.68755109001096615</v>
      </c>
      <c r="J30" s="714">
        <f>SUM(J22:J29)</f>
        <v>5917994.6173593039</v>
      </c>
      <c r="K30" s="1353">
        <f t="shared" si="7"/>
        <v>0.31244890998903402</v>
      </c>
    </row>
    <row r="31" spans="2:16" ht="13.5">
      <c r="B31" s="3155" t="str">
        <f>'VAL. PRINC'!C849</f>
        <v>EQUIPAMIENTO, MOBILIRARIO Y MAT. DIDACTICO</v>
      </c>
      <c r="C31" s="3156"/>
      <c r="D31" s="3157"/>
      <c r="E31" s="717">
        <f>+'VAL. PRINC'!R849</f>
        <v>1946691</v>
      </c>
      <c r="F31" s="717">
        <f>+'VAL. PRINC'!T849</f>
        <v>31800</v>
      </c>
      <c r="G31" s="1351">
        <f>'VAL. PRINC'!V690</f>
        <v>0</v>
      </c>
      <c r="H31" s="717">
        <f>F31+G31</f>
        <v>31800</v>
      </c>
      <c r="I31" s="104">
        <f t="shared" si="5"/>
        <v>1.6335412245703094E-2</v>
      </c>
      <c r="J31" s="1301">
        <f>E31-H31</f>
        <v>1914891</v>
      </c>
      <c r="K31" s="799">
        <f t="shared" si="7"/>
        <v>0.98366458775429688</v>
      </c>
    </row>
    <row r="32" spans="2:16" ht="13.5">
      <c r="B32" s="3155" t="str">
        <f>'VAL. PRINC'!C850</f>
        <v>CAPACITACION</v>
      </c>
      <c r="C32" s="3156"/>
      <c r="D32" s="3157"/>
      <c r="E32" s="717">
        <f>+'VAL. PRINC'!R850</f>
        <v>203328.92</v>
      </c>
      <c r="F32" s="717">
        <f>+'VAL. PRINC'!T850</f>
        <v>0</v>
      </c>
      <c r="G32" s="1351">
        <f>'VAL. PRINC'!V691</f>
        <v>0</v>
      </c>
      <c r="H32" s="717">
        <f>F32+G32</f>
        <v>0</v>
      </c>
      <c r="I32" s="104">
        <f t="shared" si="5"/>
        <v>0</v>
      </c>
      <c r="J32" s="1301">
        <f>E32-H32</f>
        <v>203328.92</v>
      </c>
      <c r="K32" s="799">
        <f t="shared" si="7"/>
        <v>1</v>
      </c>
    </row>
    <row r="33" spans="1:66" ht="14.25" thickBot="1">
      <c r="B33" s="3152" t="str">
        <f>'VAL. PRINC'!C851</f>
        <v>MITIGACION AMBIENTAL</v>
      </c>
      <c r="C33" s="3153"/>
      <c r="D33" s="3154"/>
      <c r="E33" s="717">
        <f>+'VAL. PRINC'!R851</f>
        <v>90351.92</v>
      </c>
      <c r="F33" s="717">
        <f>+'VAL. PRINC'!T851</f>
        <v>32213.37</v>
      </c>
      <c r="G33" s="1351">
        <f>+'VAL. PRINC'!V851</f>
        <v>0</v>
      </c>
      <c r="H33" s="717">
        <f>+'VAL. PRINC'!X851</f>
        <v>32213.37</v>
      </c>
      <c r="I33" s="104">
        <f t="shared" si="5"/>
        <v>0.35653221315053402</v>
      </c>
      <c r="J33" s="1301">
        <f>E33-H33</f>
        <v>58138.55</v>
      </c>
      <c r="K33" s="799">
        <f t="shared" si="7"/>
        <v>0.64346778684946604</v>
      </c>
    </row>
    <row r="34" spans="1:66" ht="14.25" thickBot="1">
      <c r="B34" s="3131" t="s">
        <v>61</v>
      </c>
      <c r="C34" s="3132"/>
      <c r="D34" s="3132"/>
      <c r="E34" s="727">
        <f>SUM(E30:E33)</f>
        <v>21181051.189999998</v>
      </c>
      <c r="F34" s="727">
        <f>SUM(F30:F33)</f>
        <v>12822601.651844755</v>
      </c>
      <c r="G34" s="741">
        <f>SUM(G30:G33)</f>
        <v>264096.45079593669</v>
      </c>
      <c r="H34" s="727">
        <f>SUM(H30:H33)</f>
        <v>13086698.102640692</v>
      </c>
      <c r="I34" s="728">
        <f>H34/E34</f>
        <v>0.6178493213225974</v>
      </c>
      <c r="J34" s="727">
        <f>SUM(J30:J33)-0.02</f>
        <v>8094353.0673593041</v>
      </c>
      <c r="K34" s="728">
        <f>+M22-I34</f>
        <v>0.3821506786774026</v>
      </c>
    </row>
    <row r="36" spans="1:66" ht="13.5" thickBot="1"/>
    <row r="37" spans="1:66" s="5" customFormat="1" ht="11.25" customHeight="1">
      <c r="B37" s="3120" t="s">
        <v>66</v>
      </c>
      <c r="C37" s="3123" t="s">
        <v>21</v>
      </c>
      <c r="D37" s="3123"/>
      <c r="E37" s="3123" t="s">
        <v>23</v>
      </c>
      <c r="F37" s="3149" t="s">
        <v>24</v>
      </c>
      <c r="G37" s="3149"/>
      <c r="H37" s="3149"/>
      <c r="I37" s="3149"/>
      <c r="J37" s="3123" t="s">
        <v>25</v>
      </c>
      <c r="K37" s="3136"/>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3121"/>
      <c r="C38" s="3124"/>
      <c r="D38" s="3124"/>
      <c r="E38" s="3124"/>
      <c r="F38" s="713" t="s">
        <v>26</v>
      </c>
      <c r="G38" s="713" t="s">
        <v>27</v>
      </c>
      <c r="H38" s="3138" t="s">
        <v>28</v>
      </c>
      <c r="I38" s="3138"/>
      <c r="J38" s="3124"/>
      <c r="K38" s="3137"/>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c r="B39" s="3121"/>
      <c r="C39" s="3124"/>
      <c r="D39" s="3124"/>
      <c r="E39" s="3124"/>
      <c r="F39" s="3139" t="s">
        <v>32</v>
      </c>
      <c r="G39" s="3139" t="s">
        <v>32</v>
      </c>
      <c r="H39" s="3139" t="s">
        <v>32</v>
      </c>
      <c r="I39" s="3124" t="s">
        <v>0</v>
      </c>
      <c r="J39" s="3124" t="s">
        <v>32</v>
      </c>
      <c r="K39" s="3137"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5" thickBot="1">
      <c r="B40" s="3122"/>
      <c r="C40" s="3125"/>
      <c r="D40" s="3125"/>
      <c r="E40" s="3125"/>
      <c r="F40" s="3140"/>
      <c r="G40" s="3140"/>
      <c r="H40" s="3140"/>
      <c r="I40" s="3125"/>
      <c r="J40" s="3125"/>
      <c r="K40" s="3141"/>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3142" t="s">
        <v>2229</v>
      </c>
      <c r="D41" s="3142"/>
      <c r="E41" s="1207"/>
      <c r="F41" s="792">
        <f>F34</f>
        <v>12822601.651844755</v>
      </c>
      <c r="G41" s="792">
        <f>G34</f>
        <v>264096.45079593669</v>
      </c>
      <c r="H41" s="792">
        <f>+F41+G41+0.03</f>
        <v>13086698.132640691</v>
      </c>
      <c r="I41" s="796" t="e">
        <f>+H41/E41</f>
        <v>#DIV/0!</v>
      </c>
      <c r="J41" s="792">
        <f>+E41-H41</f>
        <v>-13086698.132640691</v>
      </c>
      <c r="K41" s="797" t="e">
        <f>+J41/E41</f>
        <v>#DIV/0!</v>
      </c>
      <c r="L41" s="53"/>
      <c r="M41" s="53"/>
      <c r="N41" s="201" t="e">
        <f>K41+I41</f>
        <v>#DIV/0!</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1">
        <v>2</v>
      </c>
      <c r="C42" s="3129" t="s">
        <v>257</v>
      </c>
      <c r="D42" s="3129"/>
      <c r="E42" s="1282">
        <f>+'VAL AMP4 MM'!I258</f>
        <v>3433797.0500000012</v>
      </c>
      <c r="F42" s="1283">
        <v>0</v>
      </c>
      <c r="G42" s="1282">
        <f>E42</f>
        <v>3433797.0500000012</v>
      </c>
      <c r="H42" s="1282">
        <v>65987.517200000002</v>
      </c>
      <c r="I42" s="1284">
        <f>H42/E42</f>
        <v>1.9217069686748078E-2</v>
      </c>
      <c r="J42" s="1282">
        <f>E42-H42</f>
        <v>3367809.5328000011</v>
      </c>
      <c r="K42" s="1285">
        <f>J42/E42</f>
        <v>0.98078293031325192</v>
      </c>
    </row>
    <row r="43" spans="1:66" s="53" customFormat="1" ht="11.25" customHeight="1">
      <c r="A43" s="5"/>
      <c r="B43" s="302">
        <v>3</v>
      </c>
      <c r="C43" s="3129" t="s">
        <v>258</v>
      </c>
      <c r="D43" s="3129"/>
      <c r="E43" s="1282">
        <v>17480.96</v>
      </c>
      <c r="F43" s="1283">
        <v>0</v>
      </c>
      <c r="G43" s="1282">
        <f>E43</f>
        <v>17480.96</v>
      </c>
      <c r="H43" s="1282">
        <v>297065.08028204</v>
      </c>
      <c r="I43" s="1286">
        <v>1</v>
      </c>
      <c r="J43" s="1282">
        <f>E43-H43-0.01</f>
        <v>-279584.13028203999</v>
      </c>
      <c r="K43" s="1285">
        <f>J43/E43</f>
        <v>-15.993637093274053</v>
      </c>
    </row>
    <row r="44" spans="1:66" s="53" customFormat="1" ht="11.25" customHeight="1" thickBot="1">
      <c r="B44" s="730"/>
      <c r="C44" s="3130"/>
      <c r="D44" s="3130"/>
      <c r="E44" s="731"/>
      <c r="F44" s="732"/>
      <c r="G44" s="732"/>
      <c r="H44" s="732"/>
      <c r="I44" s="733"/>
      <c r="J44" s="732"/>
      <c r="K44" s="734"/>
    </row>
    <row r="45" spans="1:66" s="5" customFormat="1" ht="13.5" thickBot="1">
      <c r="B45" s="3131" t="s">
        <v>91</v>
      </c>
      <c r="C45" s="3132"/>
      <c r="D45" s="3132"/>
      <c r="E45" s="727">
        <f>SUM(E41:E44)</f>
        <v>3451278.0100000012</v>
      </c>
      <c r="F45" s="739">
        <f>SUM(F41:F44)</f>
        <v>12822601.651844755</v>
      </c>
      <c r="G45" s="739">
        <f>SUM(G41:G44)</f>
        <v>3715374.460795938</v>
      </c>
      <c r="H45" s="739">
        <f>SUM(H41:H44)</f>
        <v>13449750.730122732</v>
      </c>
      <c r="I45" s="740" t="e">
        <f>H45/E41</f>
        <v>#DIV/0!</v>
      </c>
      <c r="J45" s="741">
        <f>SUM(J41:J44)+0.01</f>
        <v>-9998472.7201227304</v>
      </c>
      <c r="K45" s="742" t="e">
        <f>J45/E41</f>
        <v>#DIV/0!</v>
      </c>
      <c r="L45" s="41"/>
      <c r="M45" s="41"/>
      <c r="N45" s="327" t="e">
        <f>SUM(I41:I43)</f>
        <v>#DIV/0!</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5"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5" thickBot="1">
      <c r="B48" s="3133" t="s">
        <v>92</v>
      </c>
      <c r="C48" s="3134"/>
      <c r="D48" s="3134"/>
      <c r="E48" s="3135"/>
      <c r="F48" s="102" t="e">
        <f>+F45/E41</f>
        <v>#DIV/0!</v>
      </c>
      <c r="G48" s="102" t="e">
        <f>+G45/E41</f>
        <v>#DIV/0!</v>
      </c>
      <c r="H48" s="3126" t="e">
        <f>+H45/E41</f>
        <v>#DIV/0!</v>
      </c>
      <c r="I48" s="3127"/>
      <c r="J48" s="3126" t="e">
        <f>+J45/E41</f>
        <v>#DIV/0!</v>
      </c>
      <c r="K48" s="3127"/>
      <c r="O48" s="27"/>
      <c r="P48" s="27"/>
      <c r="Q48" s="27"/>
      <c r="R48" s="27"/>
      <c r="S48" s="27"/>
      <c r="T48" s="27"/>
      <c r="U48" s="27"/>
      <c r="V48" s="27"/>
      <c r="W48" s="27"/>
    </row>
    <row r="49" spans="2:23" s="5" customFormat="1" ht="13.5" thickBot="1">
      <c r="B49" s="800"/>
      <c r="C49" s="800"/>
      <c r="D49" s="800"/>
      <c r="E49" s="800"/>
      <c r="F49" s="801"/>
      <c r="G49" s="801"/>
      <c r="H49" s="801"/>
      <c r="I49" s="801"/>
      <c r="J49" s="801"/>
      <c r="K49" s="801"/>
      <c r="O49" s="27"/>
      <c r="P49" s="27"/>
      <c r="Q49" s="27"/>
      <c r="R49" s="27"/>
      <c r="S49" s="27"/>
      <c r="T49" s="27"/>
      <c r="U49" s="27"/>
      <c r="V49" s="27"/>
      <c r="W49" s="27"/>
    </row>
    <row r="50" spans="2:23" s="56" customFormat="1" ht="13.5" thickBot="1">
      <c r="B50" s="55"/>
      <c r="C50" s="55"/>
      <c r="D50" s="55"/>
      <c r="E50" s="802" t="s">
        <v>26</v>
      </c>
      <c r="F50" s="802" t="s">
        <v>27</v>
      </c>
      <c r="G50" s="802" t="s">
        <v>303</v>
      </c>
      <c r="I50" s="806"/>
      <c r="O50" s="57"/>
      <c r="P50" s="57"/>
      <c r="Q50" s="57"/>
      <c r="R50" s="57"/>
      <c r="S50" s="57"/>
      <c r="T50" s="57"/>
      <c r="U50" s="57"/>
      <c r="V50" s="57"/>
      <c r="W50" s="57"/>
    </row>
    <row r="51" spans="2:23" s="5" customFormat="1" ht="13.5" thickBot="1">
      <c r="B51" s="3128" t="s">
        <v>1924</v>
      </c>
      <c r="C51" s="3128"/>
      <c r="D51" s="3128"/>
      <c r="E51" s="803">
        <f>+F45</f>
        <v>12822601.651844755</v>
      </c>
      <c r="F51" s="803">
        <f>+G45</f>
        <v>3715374.460795938</v>
      </c>
      <c r="G51" s="803">
        <f>+H45</f>
        <v>13449750.730122732</v>
      </c>
      <c r="O51" s="27"/>
      <c r="P51" s="27"/>
      <c r="Q51" s="27"/>
      <c r="R51" s="27"/>
      <c r="S51" s="27"/>
      <c r="T51" s="27"/>
      <c r="U51" s="27"/>
      <c r="V51" s="27"/>
      <c r="W51" s="27"/>
    </row>
    <row r="52" spans="2:23" s="5" customFormat="1" ht="13.5" thickBot="1">
      <c r="B52" s="3128" t="s">
        <v>93</v>
      </c>
      <c r="C52" s="3128"/>
      <c r="D52" s="3128"/>
      <c r="E52" s="102" t="e">
        <f>+E51/E41</f>
        <v>#DIV/0!</v>
      </c>
      <c r="F52" s="102" t="e">
        <f>+F51/E41</f>
        <v>#DIV/0!</v>
      </c>
      <c r="G52" s="102" t="e">
        <f>+G51/E41</f>
        <v>#DIV/0!</v>
      </c>
      <c r="O52" s="27"/>
      <c r="P52" s="27"/>
      <c r="Q52" s="27"/>
      <c r="R52" s="27"/>
      <c r="S52" s="27"/>
      <c r="T52" s="27"/>
      <c r="U52" s="27"/>
      <c r="V52" s="27"/>
      <c r="W52" s="27"/>
    </row>
    <row r="53" spans="2:23" s="5" customFormat="1">
      <c r="B53" s="41"/>
      <c r="C53" s="42"/>
      <c r="D53" s="41"/>
      <c r="E53" s="43"/>
      <c r="O53" s="27"/>
      <c r="P53" s="27"/>
      <c r="Q53" s="27"/>
      <c r="R53" s="27"/>
      <c r="S53" s="27"/>
      <c r="T53" s="27"/>
      <c r="U53" s="27"/>
      <c r="V53" s="27"/>
      <c r="W53" s="27"/>
    </row>
  </sheetData>
  <mergeCells count="60">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 ref="B33:D33"/>
    <mergeCell ref="B32:D32"/>
    <mergeCell ref="B31:D31"/>
    <mergeCell ref="C20:D20"/>
    <mergeCell ref="B34:D34"/>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J37:K38"/>
    <mergeCell ref="H38:I38"/>
    <mergeCell ref="F39:F40"/>
    <mergeCell ref="G39:G40"/>
    <mergeCell ref="H39:H40"/>
    <mergeCell ref="I39:I40"/>
    <mergeCell ref="J39:J40"/>
    <mergeCell ref="K39:K40"/>
    <mergeCell ref="J48:K48"/>
    <mergeCell ref="B51:D51"/>
    <mergeCell ref="B52:D52"/>
    <mergeCell ref="C43:D43"/>
    <mergeCell ref="C44:D44"/>
    <mergeCell ref="B45:D45"/>
    <mergeCell ref="B48:E48"/>
    <mergeCell ref="H48:I48"/>
    <mergeCell ref="H14:H15"/>
    <mergeCell ref="I14:I15"/>
    <mergeCell ref="C14:D15"/>
    <mergeCell ref="B14:B15"/>
    <mergeCell ref="B10:B13"/>
    <mergeCell ref="C10:D13"/>
    <mergeCell ref="E14:E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563" customWidth="1"/>
    <col min="5" max="5" width="9.42578125" style="829" customWidth="1"/>
    <col min="6" max="11" width="7" style="563" customWidth="1"/>
    <col min="12" max="12" width="7" style="850" customWidth="1"/>
    <col min="13" max="18" width="7" style="564" customWidth="1"/>
    <col min="19" max="19" width="7" style="850" customWidth="1"/>
    <col min="20" max="22" width="7" style="564" customWidth="1"/>
    <col min="23" max="23" width="10.5703125" style="564" customWidth="1"/>
    <col min="24" max="24" width="9.42578125" style="564" customWidth="1"/>
    <col min="25" max="25" width="7" style="564" customWidth="1"/>
    <col min="26" max="26" width="10.42578125" style="850" customWidth="1"/>
    <col min="27" max="27" width="8.5703125" style="564" customWidth="1"/>
    <col min="28" max="28" width="7" style="564" customWidth="1"/>
    <col min="29" max="29" width="9.42578125" style="564" customWidth="1"/>
    <col min="30" max="30" width="7" style="564" customWidth="1"/>
    <col min="31" max="31" width="9.5703125" style="895" customWidth="1"/>
    <col min="32" max="32" width="7" style="564" customWidth="1"/>
    <col min="33" max="33" width="9.42578125" style="998" customWidth="1"/>
    <col min="34" max="34" width="9.42578125" style="564"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571" t="s">
        <v>283</v>
      </c>
      <c r="B1" s="2571"/>
      <c r="C1" s="2571"/>
      <c r="D1" s="2571"/>
      <c r="E1" s="2571"/>
      <c r="F1" s="2571"/>
      <c r="G1" s="2571"/>
      <c r="H1" s="2571"/>
      <c r="I1" s="2571"/>
      <c r="J1" s="2571"/>
      <c r="K1" s="2571"/>
    </row>
    <row r="2" spans="1:39">
      <c r="A2" s="2572" t="s">
        <v>1801</v>
      </c>
      <c r="B2" s="2572"/>
      <c r="C2" s="2572"/>
      <c r="D2" s="2572"/>
      <c r="E2" s="2572"/>
      <c r="F2" s="2572"/>
      <c r="G2" s="2572"/>
      <c r="H2" s="2572"/>
      <c r="I2" s="2572"/>
      <c r="J2" s="2572"/>
      <c r="K2" s="2572"/>
    </row>
    <row r="3" spans="1:39">
      <c r="A3" s="621"/>
      <c r="G3" s="563">
        <v>7</v>
      </c>
    </row>
    <row r="4" spans="1:39">
      <c r="A4" s="623"/>
      <c r="B4" s="2573" t="s">
        <v>1799</v>
      </c>
      <c r="C4" s="2573"/>
      <c r="D4" s="2573"/>
      <c r="E4" s="2573"/>
      <c r="F4" s="2573"/>
      <c r="G4" s="2573"/>
      <c r="H4" s="2573"/>
      <c r="I4" s="2573"/>
      <c r="J4" s="2573"/>
      <c r="K4" s="2573"/>
    </row>
    <row r="5" spans="1:39" ht="12.75" customHeight="1">
      <c r="A5" s="623"/>
      <c r="B5" s="2574" t="e">
        <f>#REF!</f>
        <v>#REF!</v>
      </c>
      <c r="C5" s="2575"/>
      <c r="D5" s="2575"/>
      <c r="E5" s="2575"/>
      <c r="F5" s="2575"/>
      <c r="G5" s="2575"/>
      <c r="H5" s="2575"/>
      <c r="I5" s="2575"/>
      <c r="J5" s="2575"/>
      <c r="K5" s="2575"/>
    </row>
    <row r="6" spans="1:39" ht="13.5" customHeight="1">
      <c r="B6" s="625"/>
      <c r="C6" s="567"/>
    </row>
    <row r="7" spans="1:39" ht="13.5" customHeight="1">
      <c r="B7" s="625"/>
      <c r="C7" s="567"/>
    </row>
    <row r="8" spans="1:39" ht="13.5" customHeight="1" thickBot="1">
      <c r="B8" s="625"/>
      <c r="C8" s="567"/>
      <c r="D8" s="971" t="s">
        <v>1988</v>
      </c>
      <c r="E8" s="971" t="s">
        <v>1989</v>
      </c>
      <c r="F8" s="971" t="s">
        <v>1981</v>
      </c>
      <c r="G8" s="971" t="s">
        <v>1982</v>
      </c>
      <c r="H8" s="971" t="s">
        <v>1983</v>
      </c>
      <c r="I8" s="971" t="s">
        <v>1984</v>
      </c>
      <c r="J8" s="971" t="s">
        <v>1985</v>
      </c>
      <c r="K8" s="971" t="s">
        <v>1986</v>
      </c>
      <c r="L8" s="971" t="s">
        <v>1987</v>
      </c>
      <c r="M8" s="971" t="s">
        <v>1981</v>
      </c>
      <c r="N8" s="971" t="s">
        <v>1982</v>
      </c>
      <c r="O8" s="971" t="s">
        <v>1983</v>
      </c>
      <c r="P8" s="971" t="s">
        <v>1984</v>
      </c>
      <c r="Q8" s="971" t="s">
        <v>1985</v>
      </c>
      <c r="R8" s="971" t="s">
        <v>1986</v>
      </c>
      <c r="S8" s="971" t="s">
        <v>1987</v>
      </c>
      <c r="T8" s="971" t="s">
        <v>1981</v>
      </c>
      <c r="U8" s="971" t="s">
        <v>1982</v>
      </c>
      <c r="V8" s="971" t="s">
        <v>1983</v>
      </c>
      <c r="W8" s="971" t="s">
        <v>1984</v>
      </c>
      <c r="X8" s="971" t="s">
        <v>1985</v>
      </c>
      <c r="Y8" s="971" t="s">
        <v>1986</v>
      </c>
      <c r="Z8" s="971" t="s">
        <v>1987</v>
      </c>
      <c r="AA8" s="971" t="s">
        <v>1981</v>
      </c>
      <c r="AB8" s="971" t="s">
        <v>1982</v>
      </c>
      <c r="AC8" s="971" t="s">
        <v>1983</v>
      </c>
      <c r="AD8" s="971" t="s">
        <v>1984</v>
      </c>
      <c r="AE8" s="996" t="s">
        <v>1985</v>
      </c>
      <c r="AF8" s="971" t="s">
        <v>1986</v>
      </c>
      <c r="AG8" s="999" t="s">
        <v>1987</v>
      </c>
      <c r="AH8" s="971" t="s">
        <v>1981</v>
      </c>
      <c r="AI8" s="971"/>
    </row>
    <row r="9" spans="1:39" ht="13.5" thickBot="1">
      <c r="A9" s="2576" t="s">
        <v>285</v>
      </c>
      <c r="B9" s="2576"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358</v>
      </c>
      <c r="AJ9" s="756" t="s">
        <v>26</v>
      </c>
      <c r="AK9" s="755" t="s">
        <v>1821</v>
      </c>
      <c r="AL9" s="755" t="s">
        <v>1820</v>
      </c>
      <c r="AM9" s="572" t="s">
        <v>25</v>
      </c>
    </row>
    <row r="10" spans="1:39" ht="13.5" thickBot="1">
      <c r="A10" s="2577"/>
      <c r="B10" s="2577"/>
      <c r="C10" s="993" t="s">
        <v>286</v>
      </c>
      <c r="D10" s="574" t="s">
        <v>304</v>
      </c>
      <c r="E10" s="831" t="s">
        <v>304</v>
      </c>
      <c r="F10" s="574" t="s">
        <v>304</v>
      </c>
      <c r="G10" s="574" t="s">
        <v>304</v>
      </c>
      <c r="H10" s="574" t="s">
        <v>304</v>
      </c>
      <c r="I10" s="574" t="s">
        <v>304</v>
      </c>
      <c r="J10" s="574" t="s">
        <v>304</v>
      </c>
      <c r="K10" s="574" t="s">
        <v>304</v>
      </c>
      <c r="L10" s="831" t="s">
        <v>304</v>
      </c>
      <c r="M10" s="574" t="s">
        <v>304</v>
      </c>
      <c r="N10" s="574" t="s">
        <v>304</v>
      </c>
      <c r="O10" s="574" t="s">
        <v>304</v>
      </c>
      <c r="P10" s="574" t="s">
        <v>304</v>
      </c>
      <c r="Q10" s="574" t="s">
        <v>304</v>
      </c>
      <c r="R10" s="574" t="s">
        <v>304</v>
      </c>
      <c r="S10" s="831" t="s">
        <v>304</v>
      </c>
      <c r="T10" s="574" t="s">
        <v>304</v>
      </c>
      <c r="U10" s="574" t="s">
        <v>304</v>
      </c>
      <c r="V10" s="574" t="s">
        <v>304</v>
      </c>
      <c r="W10" s="574" t="s">
        <v>304</v>
      </c>
      <c r="X10" s="574" t="s">
        <v>304</v>
      </c>
      <c r="Y10" s="574" t="s">
        <v>304</v>
      </c>
      <c r="Z10" s="831" t="s">
        <v>304</v>
      </c>
      <c r="AA10" s="574" t="s">
        <v>304</v>
      </c>
      <c r="AB10" s="574" t="s">
        <v>304</v>
      </c>
      <c r="AC10" s="574" t="s">
        <v>304</v>
      </c>
      <c r="AD10" s="574" t="s">
        <v>304</v>
      </c>
      <c r="AE10" s="865" t="s">
        <v>304</v>
      </c>
      <c r="AF10" s="574" t="s">
        <v>304</v>
      </c>
      <c r="AG10" s="1001" t="s">
        <v>304</v>
      </c>
      <c r="AH10" s="574" t="s">
        <v>304</v>
      </c>
      <c r="AI10" s="576" t="s">
        <v>287</v>
      </c>
      <c r="AJ10" s="752" t="s">
        <v>287</v>
      </c>
      <c r="AK10" s="755"/>
      <c r="AL10" s="755"/>
      <c r="AM10" s="572"/>
    </row>
    <row r="11" spans="1:39" s="827" customFormat="1">
      <c r="A11" s="912" t="s">
        <v>33</v>
      </c>
      <c r="B11" s="912" t="s">
        <v>1131</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1132</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536</v>
      </c>
      <c r="B13" s="908" t="s">
        <v>1133</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1454</v>
      </c>
      <c r="AM13" s="823">
        <f>AL13-AK13</f>
        <v>1</v>
      </c>
    </row>
    <row r="14" spans="1:39" s="824" customFormat="1">
      <c r="A14" s="814" t="s">
        <v>537</v>
      </c>
      <c r="B14" s="814" t="s">
        <v>1134</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1454</v>
      </c>
      <c r="AM14" s="823">
        <f t="shared" ref="AM14:AM77" si="3">AL14-AK14</f>
        <v>1</v>
      </c>
    </row>
    <row r="15" spans="1:39" s="824" customFormat="1">
      <c r="A15" s="814" t="s">
        <v>538</v>
      </c>
      <c r="B15" s="814" t="s">
        <v>1918</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1454</v>
      </c>
      <c r="AM15" s="823">
        <f t="shared" si="3"/>
        <v>1</v>
      </c>
    </row>
    <row r="16" spans="1:39" s="824" customFormat="1">
      <c r="A16" s="814" t="s">
        <v>539</v>
      </c>
      <c r="B16" s="909" t="s">
        <v>1136</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1454</v>
      </c>
      <c r="AM16" s="823">
        <f t="shared" si="3"/>
        <v>1</v>
      </c>
    </row>
    <row r="17" spans="1:45" s="824" customFormat="1">
      <c r="A17" s="814" t="s">
        <v>540</v>
      </c>
      <c r="B17" s="814" t="s">
        <v>1137</v>
      </c>
      <c r="C17" s="918" t="s">
        <v>1449</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1454</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541</v>
      </c>
      <c r="B19" s="909" t="s">
        <v>1138</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542</v>
      </c>
      <c r="B20" s="909" t="s">
        <v>1139</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1456</v>
      </c>
      <c r="AM20" s="823">
        <f>AL20-AK20</f>
        <v>526.6</v>
      </c>
      <c r="AN20" s="921"/>
      <c r="AO20" s="835"/>
      <c r="AP20" s="835"/>
      <c r="AQ20" s="835"/>
      <c r="AR20" s="835"/>
      <c r="AS20" s="835"/>
    </row>
    <row r="21" spans="1:45" s="824" customFormat="1">
      <c r="A21" s="814" t="s">
        <v>543</v>
      </c>
      <c r="B21" s="909" t="s">
        <v>1140</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1457</v>
      </c>
      <c r="AM21" s="823">
        <f t="shared" si="3"/>
        <v>759.49</v>
      </c>
    </row>
    <row r="22" spans="1:45" s="824" customFormat="1">
      <c r="A22" s="910" t="s">
        <v>544</v>
      </c>
      <c r="B22" s="911" t="s">
        <v>1141</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545</v>
      </c>
      <c r="B23" s="814" t="s">
        <v>1141</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1454</v>
      </c>
      <c r="AM23" s="823">
        <f t="shared" si="3"/>
        <v>1</v>
      </c>
    </row>
    <row r="24" spans="1:45" s="824" customFormat="1">
      <c r="A24" s="814" t="s">
        <v>546</v>
      </c>
      <c r="B24" s="909" t="s">
        <v>1143</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1454</v>
      </c>
      <c r="AM24" s="823">
        <f t="shared" si="3"/>
        <v>1</v>
      </c>
    </row>
    <row r="25" spans="1:45" s="824" customFormat="1">
      <c r="A25" s="910" t="s">
        <v>547</v>
      </c>
      <c r="B25" s="911" t="s">
        <v>1144</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548</v>
      </c>
      <c r="B26" s="814" t="s">
        <v>1145</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1455</v>
      </c>
      <c r="AM26" s="823">
        <f t="shared" si="3"/>
        <v>0</v>
      </c>
    </row>
    <row r="27" spans="1:45" s="824" customFormat="1">
      <c r="A27" s="814" t="s">
        <v>549</v>
      </c>
      <c r="B27" s="814" t="s">
        <v>1818</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1455</v>
      </c>
      <c r="AM27" s="823">
        <f>AL27-AK27</f>
        <v>502.44999999999993</v>
      </c>
    </row>
    <row r="28" spans="1:45" s="824" customFormat="1">
      <c r="A28" s="910" t="s">
        <v>550</v>
      </c>
      <c r="B28" s="911" t="s">
        <v>1146</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551</v>
      </c>
      <c r="B29" s="909" t="s">
        <v>1147</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1454</v>
      </c>
      <c r="AM29" s="823">
        <f t="shared" si="3"/>
        <v>1</v>
      </c>
    </row>
    <row r="30" spans="1:45" s="824" customFormat="1">
      <c r="A30" s="814" t="s">
        <v>552</v>
      </c>
      <c r="B30" s="909" t="s">
        <v>1148</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1458</v>
      </c>
      <c r="AM30" s="823">
        <f t="shared" si="3"/>
        <v>30</v>
      </c>
    </row>
    <row r="31" spans="1:45" s="824" customFormat="1">
      <c r="A31" s="814" t="s">
        <v>553</v>
      </c>
      <c r="B31" s="909" t="s">
        <v>1149</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1454</v>
      </c>
      <c r="AM31" s="823">
        <f t="shared" si="3"/>
        <v>1</v>
      </c>
    </row>
    <row r="32" spans="1:45" s="824" customFormat="1">
      <c r="A32" s="814" t="s">
        <v>554</v>
      </c>
      <c r="B32" s="909" t="s">
        <v>1150</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1454</v>
      </c>
      <c r="AM32" s="823">
        <f t="shared" si="3"/>
        <v>1</v>
      </c>
    </row>
    <row r="33" spans="1:39" s="824" customFormat="1">
      <c r="A33" s="814" t="s">
        <v>555</v>
      </c>
      <c r="B33" s="909" t="s">
        <v>1151</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1454</v>
      </c>
      <c r="AM33" s="823">
        <f t="shared" si="3"/>
        <v>1</v>
      </c>
    </row>
    <row r="34" spans="1:39" s="827" customFormat="1" ht="13.5" thickBot="1">
      <c r="A34" s="814" t="s">
        <v>556</v>
      </c>
      <c r="B34" s="909" t="s">
        <v>1152</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1454</v>
      </c>
      <c r="AM34" s="823">
        <f t="shared" si="3"/>
        <v>1</v>
      </c>
    </row>
    <row r="35" spans="1:39" s="824" customFormat="1">
      <c r="A35" s="912" t="s">
        <v>42</v>
      </c>
      <c r="B35" s="912" t="s">
        <v>1153</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1154</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557</v>
      </c>
      <c r="B38" s="610" t="s">
        <v>1155</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1459</v>
      </c>
      <c r="AM38" s="753">
        <f t="shared" si="3"/>
        <v>27.29</v>
      </c>
    </row>
    <row r="39" spans="1:39" s="566" customFormat="1">
      <c r="A39" s="610" t="s">
        <v>558</v>
      </c>
      <c r="B39" s="610" t="s">
        <v>1156</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1460</v>
      </c>
      <c r="AM39" s="753">
        <f t="shared" si="3"/>
        <v>8.75</v>
      </c>
    </row>
    <row r="40" spans="1:39" s="566" customFormat="1">
      <c r="A40" s="610" t="s">
        <v>559</v>
      </c>
      <c r="B40" s="610" t="s">
        <v>1157</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1461</v>
      </c>
      <c r="AM40" s="753">
        <f t="shared" si="3"/>
        <v>13.99</v>
      </c>
    </row>
    <row r="41" spans="1:39" s="566" customFormat="1">
      <c r="A41" s="610" t="s">
        <v>560</v>
      </c>
      <c r="B41" s="610" t="s">
        <v>1158</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1462</v>
      </c>
      <c r="AM41" s="753">
        <f t="shared" si="3"/>
        <v>26.03</v>
      </c>
    </row>
    <row r="42" spans="1:39" s="585" customFormat="1" ht="11.25" customHeight="1">
      <c r="A42" s="610" t="s">
        <v>561</v>
      </c>
      <c r="B42" s="610" t="s">
        <v>1159</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1463</v>
      </c>
      <c r="AM42" s="753">
        <f t="shared" si="3"/>
        <v>27.56</v>
      </c>
    </row>
    <row r="43" spans="1:39" s="566" customFormat="1" ht="11.25" customHeight="1">
      <c r="A43" s="610" t="s">
        <v>562</v>
      </c>
      <c r="B43" s="610" t="s">
        <v>1160</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1463</v>
      </c>
      <c r="AM43" s="753">
        <f t="shared" si="3"/>
        <v>27.56</v>
      </c>
    </row>
    <row r="44" spans="1:39" s="566" customFormat="1" ht="11.25" customHeight="1">
      <c r="A44" s="613" t="s">
        <v>563</v>
      </c>
      <c r="B44" s="613" t="s">
        <v>1161</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564</v>
      </c>
      <c r="B45" s="610" t="s">
        <v>1162</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1464</v>
      </c>
      <c r="AM45" s="753">
        <f t="shared" si="3"/>
        <v>7.7</v>
      </c>
    </row>
    <row r="46" spans="1:39" s="566" customFormat="1">
      <c r="A46" s="610" t="s">
        <v>565</v>
      </c>
      <c r="B46" s="610" t="s">
        <v>1163</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1465</v>
      </c>
      <c r="AM46" s="753">
        <f t="shared" si="3"/>
        <v>13.46</v>
      </c>
    </row>
    <row r="47" spans="1:39" s="566" customFormat="1">
      <c r="A47" s="610" t="s">
        <v>566</v>
      </c>
      <c r="B47" s="610" t="s">
        <v>1164</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1466</v>
      </c>
      <c r="AM47" s="753">
        <f t="shared" si="3"/>
        <v>2.97</v>
      </c>
    </row>
    <row r="48" spans="1:39" s="566" customFormat="1">
      <c r="A48" s="610" t="s">
        <v>567</v>
      </c>
      <c r="B48" s="610" t="s">
        <v>1165</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1467</v>
      </c>
      <c r="AM48" s="753">
        <f t="shared" si="3"/>
        <v>0.84</v>
      </c>
    </row>
    <row r="49" spans="1:39" s="566" customFormat="1">
      <c r="A49" s="610" t="s">
        <v>568</v>
      </c>
      <c r="B49" s="610" t="s">
        <v>1166</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1468</v>
      </c>
      <c r="AM49" s="753">
        <f t="shared" si="3"/>
        <v>23.65</v>
      </c>
    </row>
    <row r="50" spans="1:39" s="566" customFormat="1">
      <c r="A50" s="610" t="s">
        <v>569</v>
      </c>
      <c r="B50" s="610" t="s">
        <v>1167</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1462</v>
      </c>
      <c r="AM50" s="753">
        <f t="shared" si="3"/>
        <v>26.03</v>
      </c>
    </row>
    <row r="51" spans="1:39" s="566" customFormat="1">
      <c r="A51" s="613" t="s">
        <v>570</v>
      </c>
      <c r="B51" s="613" t="s">
        <v>1168</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571</v>
      </c>
      <c r="B52" s="610" t="s">
        <v>1169</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572</v>
      </c>
      <c r="B53" s="610" t="s">
        <v>1170</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1469</v>
      </c>
      <c r="AM53" s="753">
        <f t="shared" si="3"/>
        <v>4.6100000000000003</v>
      </c>
    </row>
    <row r="54" spans="1:39" s="566" customFormat="1">
      <c r="A54" s="610" t="s">
        <v>573</v>
      </c>
      <c r="B54" s="610" t="s">
        <v>1171</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1470</v>
      </c>
      <c r="AM54" s="753">
        <f t="shared" si="3"/>
        <v>192.7</v>
      </c>
    </row>
    <row r="55" spans="1:39" s="566" customFormat="1">
      <c r="A55" s="610" t="s">
        <v>574</v>
      </c>
      <c r="B55" s="610" t="s">
        <v>1172</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575</v>
      </c>
      <c r="B56" s="610" t="s">
        <v>1173</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1471</v>
      </c>
      <c r="AM56" s="753">
        <f t="shared" si="3"/>
        <v>1.93</v>
      </c>
    </row>
    <row r="57" spans="1:39" s="566" customFormat="1">
      <c r="A57" s="610" t="s">
        <v>576</v>
      </c>
      <c r="B57" s="610" t="s">
        <v>1174</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1472</v>
      </c>
      <c r="AM57" s="753">
        <f t="shared" si="3"/>
        <v>15.42</v>
      </c>
    </row>
    <row r="58" spans="1:39" s="585" customFormat="1">
      <c r="A58" s="610" t="s">
        <v>577</v>
      </c>
      <c r="B58" s="610" t="s">
        <v>1175</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1473</v>
      </c>
      <c r="AM58" s="753">
        <f t="shared" si="3"/>
        <v>275.55</v>
      </c>
    </row>
    <row r="59" spans="1:39" s="585" customFormat="1">
      <c r="A59" s="610" t="s">
        <v>578</v>
      </c>
      <c r="B59" s="610" t="s">
        <v>1176</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579</v>
      </c>
      <c r="B60" s="610" t="s">
        <v>1177</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1474</v>
      </c>
      <c r="AM60" s="753">
        <f t="shared" si="3"/>
        <v>2.83</v>
      </c>
    </row>
    <row r="61" spans="1:39" s="566" customFormat="1">
      <c r="A61" s="610" t="s">
        <v>580</v>
      </c>
      <c r="B61" s="610" t="s">
        <v>1178</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1475</v>
      </c>
      <c r="AM61" s="753">
        <f t="shared" si="3"/>
        <v>40.020000000000003</v>
      </c>
    </row>
    <row r="62" spans="1:39" s="566" customFormat="1">
      <c r="A62" s="610" t="s">
        <v>581</v>
      </c>
      <c r="B62" s="610" t="s">
        <v>1179</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1476</v>
      </c>
      <c r="AM62" s="753">
        <f t="shared" si="3"/>
        <v>444.48</v>
      </c>
    </row>
    <row r="63" spans="1:39" s="566" customFormat="1">
      <c r="A63" s="610" t="s">
        <v>582</v>
      </c>
      <c r="B63" s="610" t="s">
        <v>1180</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583</v>
      </c>
      <c r="B64" s="610" t="s">
        <v>1181</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1477</v>
      </c>
      <c r="AM64" s="753">
        <f t="shared" si="3"/>
        <v>1.49</v>
      </c>
    </row>
    <row r="65" spans="1:39" s="566" customFormat="1">
      <c r="A65" s="610" t="s">
        <v>584</v>
      </c>
      <c r="B65" s="610" t="s">
        <v>1182</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1478</v>
      </c>
      <c r="AM65" s="753">
        <f t="shared" si="3"/>
        <v>19.71</v>
      </c>
    </row>
    <row r="66" spans="1:39" s="566" customFormat="1">
      <c r="A66" s="610" t="s">
        <v>585</v>
      </c>
      <c r="B66" s="610" t="s">
        <v>1183</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1479</v>
      </c>
      <c r="AM66" s="753">
        <f t="shared" si="3"/>
        <v>659.98</v>
      </c>
    </row>
    <row r="67" spans="1:39" s="566" customFormat="1">
      <c r="A67" s="610" t="s">
        <v>586</v>
      </c>
      <c r="B67" s="610" t="s">
        <v>1184</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587</v>
      </c>
      <c r="B68" s="610" t="s">
        <v>1185</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1480</v>
      </c>
      <c r="AM68" s="753">
        <f t="shared" si="3"/>
        <v>4.54</v>
      </c>
    </row>
    <row r="69" spans="1:39" s="566" customFormat="1">
      <c r="A69" s="610" t="s">
        <v>588</v>
      </c>
      <c r="B69" s="610" t="s">
        <v>1186</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1481</v>
      </c>
      <c r="AM69" s="753">
        <f t="shared" si="3"/>
        <v>38.93</v>
      </c>
    </row>
    <row r="70" spans="1:39" s="566" customFormat="1">
      <c r="A70" s="610" t="s">
        <v>589</v>
      </c>
      <c r="B70" s="610" t="s">
        <v>1187</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1482</v>
      </c>
      <c r="AM70" s="753">
        <f t="shared" si="3"/>
        <v>563.80999999999995</v>
      </c>
    </row>
    <row r="71" spans="1:39" s="585" customFormat="1">
      <c r="A71" s="610" t="s">
        <v>590</v>
      </c>
      <c r="B71" s="610" t="s">
        <v>1188</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591</v>
      </c>
      <c r="B72" s="610" t="s">
        <v>1189</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1483</v>
      </c>
      <c r="AM72" s="753">
        <f t="shared" si="3"/>
        <v>3.65</v>
      </c>
    </row>
    <row r="73" spans="1:39" s="566" customFormat="1">
      <c r="A73" s="610" t="s">
        <v>592</v>
      </c>
      <c r="B73" s="610" t="s">
        <v>1190</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1484</v>
      </c>
      <c r="AM73" s="753">
        <f t="shared" si="3"/>
        <v>41.77</v>
      </c>
    </row>
    <row r="74" spans="1:39" s="566" customFormat="1">
      <c r="A74" s="610" t="s">
        <v>593</v>
      </c>
      <c r="B74" s="610" t="s">
        <v>1191</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1485</v>
      </c>
      <c r="AM74" s="753">
        <f t="shared" si="3"/>
        <v>298.24</v>
      </c>
    </row>
    <row r="75" spans="1:39" s="566" customFormat="1">
      <c r="A75" s="610" t="s">
        <v>594</v>
      </c>
      <c r="B75" s="610" t="s">
        <v>1192</v>
      </c>
      <c r="C75" s="620" t="s">
        <v>1449</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1486</v>
      </c>
      <c r="AM75" s="753">
        <f t="shared" si="3"/>
        <v>347.95</v>
      </c>
    </row>
    <row r="76" spans="1:39" s="566" customFormat="1">
      <c r="A76" s="610" t="s">
        <v>595</v>
      </c>
      <c r="B76" s="610" t="s">
        <v>1193</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596</v>
      </c>
      <c r="B77" s="610" t="s">
        <v>1194</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1487</v>
      </c>
      <c r="AM77" s="753">
        <f t="shared" si="3"/>
        <v>1.2</v>
      </c>
    </row>
    <row r="78" spans="1:39" s="566" customFormat="1">
      <c r="A78" s="610" t="s">
        <v>597</v>
      </c>
      <c r="B78" s="610" t="s">
        <v>1195</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1488</v>
      </c>
      <c r="AM78" s="753">
        <f t="shared" ref="AM78:AM141" si="6">AL78-AK78</f>
        <v>16</v>
      </c>
    </row>
    <row r="79" spans="1:39" s="566" customFormat="1">
      <c r="A79" s="610" t="s">
        <v>598</v>
      </c>
      <c r="B79" s="610" t="s">
        <v>1196</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1489</v>
      </c>
      <c r="AM79" s="753">
        <f t="shared" si="6"/>
        <v>124.05</v>
      </c>
    </row>
    <row r="80" spans="1:39" s="566" customFormat="1">
      <c r="A80" s="613" t="s">
        <v>599</v>
      </c>
      <c r="B80" s="613" t="s">
        <v>1197</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600</v>
      </c>
      <c r="B81" s="610" t="s">
        <v>1198</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1490</v>
      </c>
      <c r="AM81" s="753">
        <f t="shared" si="6"/>
        <v>59.04</v>
      </c>
    </row>
    <row r="82" spans="1:39" s="566" customFormat="1">
      <c r="A82" s="613" t="s">
        <v>601</v>
      </c>
      <c r="B82" s="613" t="s">
        <v>1199</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602</v>
      </c>
      <c r="B83" s="610" t="s">
        <v>1200</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1491</v>
      </c>
      <c r="AM83" s="753">
        <f t="shared" si="6"/>
        <v>100.3</v>
      </c>
    </row>
    <row r="84" spans="1:39" s="585" customFormat="1">
      <c r="A84" s="610" t="s">
        <v>603</v>
      </c>
      <c r="B84" s="610" t="s">
        <v>225</v>
      </c>
      <c r="C84" s="536" t="s">
        <v>1449</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1492</v>
      </c>
      <c r="AM84" s="753">
        <f t="shared" si="6"/>
        <v>15</v>
      </c>
    </row>
    <row r="85" spans="1:39" s="824" customFormat="1">
      <c r="A85" s="910" t="s">
        <v>44</v>
      </c>
      <c r="B85" s="911" t="s">
        <v>1201</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604</v>
      </c>
      <c r="B87" s="814" t="s">
        <v>1155</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1493</v>
      </c>
      <c r="AM87" s="823">
        <f t="shared" si="6"/>
        <v>34.270000000000003</v>
      </c>
    </row>
    <row r="88" spans="1:39" s="824" customFormat="1" hidden="1">
      <c r="A88" s="814" t="s">
        <v>605</v>
      </c>
      <c r="B88" s="814" t="s">
        <v>1156</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1494</v>
      </c>
      <c r="AM88" s="823">
        <f t="shared" si="6"/>
        <v>16.989999999999998</v>
      </c>
    </row>
    <row r="89" spans="1:39" s="824" customFormat="1">
      <c r="A89" s="814" t="s">
        <v>606</v>
      </c>
      <c r="B89" s="814" t="s">
        <v>1157</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1495</v>
      </c>
      <c r="AM89" s="823">
        <f t="shared" si="6"/>
        <v>28.37</v>
      </c>
    </row>
    <row r="90" spans="1:39" s="824" customFormat="1">
      <c r="A90" s="814" t="s">
        <v>607</v>
      </c>
      <c r="B90" s="814" t="s">
        <v>1158</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1496</v>
      </c>
      <c r="AM90" s="823">
        <f t="shared" si="6"/>
        <v>57.19</v>
      </c>
    </row>
    <row r="91" spans="1:39" s="824" customFormat="1">
      <c r="A91" s="814" t="s">
        <v>608</v>
      </c>
      <c r="B91" s="814" t="s">
        <v>1159</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1497</v>
      </c>
      <c r="AM91" s="823">
        <f t="shared" si="6"/>
        <v>28.61</v>
      </c>
    </row>
    <row r="92" spans="1:39" s="939" customFormat="1">
      <c r="A92" s="928" t="s">
        <v>609</v>
      </c>
      <c r="B92" s="928" t="s">
        <v>1160</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1497</v>
      </c>
      <c r="AM92" s="938">
        <f t="shared" si="6"/>
        <v>28.61</v>
      </c>
    </row>
    <row r="93" spans="1:39" s="566" customFormat="1">
      <c r="A93" s="613" t="s">
        <v>55</v>
      </c>
      <c r="B93" s="613" t="s">
        <v>1161</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610</v>
      </c>
      <c r="B94" s="610" t="s">
        <v>1202</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1498</v>
      </c>
      <c r="AM94" s="753">
        <f t="shared" si="6"/>
        <v>26.55</v>
      </c>
    </row>
    <row r="95" spans="1:39" s="939" customFormat="1">
      <c r="A95" s="928" t="s">
        <v>611</v>
      </c>
      <c r="B95" s="928" t="s">
        <v>1203</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1499</v>
      </c>
      <c r="AM95" s="938">
        <f t="shared" si="6"/>
        <v>12.87</v>
      </c>
    </row>
    <row r="96" spans="1:39" s="939" customFormat="1">
      <c r="A96" s="928" t="s">
        <v>612</v>
      </c>
      <c r="B96" s="928" t="s">
        <v>1204</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1500</v>
      </c>
      <c r="AM96" s="938">
        <f t="shared" si="6"/>
        <v>2.68</v>
      </c>
    </row>
    <row r="97" spans="1:39" s="824" customFormat="1">
      <c r="A97" s="814" t="s">
        <v>613</v>
      </c>
      <c r="B97" s="814" t="s">
        <v>1166</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1501</v>
      </c>
      <c r="AM97" s="823">
        <f t="shared" si="6"/>
        <v>96.66</v>
      </c>
    </row>
    <row r="98" spans="1:39" s="824" customFormat="1">
      <c r="A98" s="814" t="s">
        <v>614</v>
      </c>
      <c r="B98" s="814" t="s">
        <v>1167</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1496</v>
      </c>
      <c r="AM98" s="823">
        <f t="shared" si="6"/>
        <v>57.19</v>
      </c>
    </row>
    <row r="99" spans="1:39" s="824" customFormat="1">
      <c r="A99" s="927" t="s">
        <v>615</v>
      </c>
      <c r="B99" s="927" t="s">
        <v>1168</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616</v>
      </c>
      <c r="B100" s="814" t="s">
        <v>1169</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617</v>
      </c>
      <c r="B101" s="610" t="s">
        <v>1205</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1502</v>
      </c>
      <c r="AM101" s="753">
        <f t="shared" si="6"/>
        <v>8.06</v>
      </c>
    </row>
    <row r="102" spans="1:39" s="566" customFormat="1" hidden="1">
      <c r="A102" s="610" t="s">
        <v>618</v>
      </c>
      <c r="B102" s="610" t="s">
        <v>1171</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1503</v>
      </c>
      <c r="AM102" s="753">
        <f t="shared" si="6"/>
        <v>337.22</v>
      </c>
    </row>
    <row r="103" spans="1:39" s="824" customFormat="1">
      <c r="A103" s="814" t="s">
        <v>619</v>
      </c>
      <c r="B103" s="814" t="s">
        <v>1172</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620</v>
      </c>
      <c r="B104" s="814" t="s">
        <v>1206</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1504</v>
      </c>
      <c r="AM104" s="823">
        <f t="shared" si="6"/>
        <v>0</v>
      </c>
    </row>
    <row r="105" spans="1:39" s="824" customFormat="1">
      <c r="A105" s="814" t="s">
        <v>621</v>
      </c>
      <c r="B105" s="814" t="s">
        <v>1174</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1505</v>
      </c>
      <c r="AM105" s="823">
        <f t="shared" si="6"/>
        <v>0</v>
      </c>
    </row>
    <row r="106" spans="1:39" s="566" customFormat="1" hidden="1">
      <c r="A106" s="610" t="s">
        <v>622</v>
      </c>
      <c r="B106" s="610" t="s">
        <v>1175</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1506</v>
      </c>
      <c r="AM106" s="753">
        <f t="shared" si="6"/>
        <v>322.07</v>
      </c>
    </row>
    <row r="107" spans="1:39" s="824" customFormat="1">
      <c r="A107" s="814" t="s">
        <v>623</v>
      </c>
      <c r="B107" s="814" t="s">
        <v>1176</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624</v>
      </c>
      <c r="B108" s="814" t="s">
        <v>1207</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1507</v>
      </c>
      <c r="AM108" s="823">
        <f t="shared" si="6"/>
        <v>-0.13999999999999968</v>
      </c>
    </row>
    <row r="109" spans="1:39" s="827" customFormat="1">
      <c r="A109" s="814" t="s">
        <v>625</v>
      </c>
      <c r="B109" s="814" t="s">
        <v>1178</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1508</v>
      </c>
      <c r="AM109" s="823">
        <f t="shared" si="6"/>
        <v>-29.540000000000006</v>
      </c>
    </row>
    <row r="110" spans="1:39" s="566" customFormat="1" hidden="1">
      <c r="A110" s="610" t="s">
        <v>626</v>
      </c>
      <c r="B110" s="610" t="s">
        <v>1179</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1509</v>
      </c>
      <c r="AM110" s="753">
        <f t="shared" si="6"/>
        <v>2582.91</v>
      </c>
    </row>
    <row r="111" spans="1:39" s="824" customFormat="1">
      <c r="A111" s="814" t="s">
        <v>627</v>
      </c>
      <c r="B111" s="814" t="s">
        <v>1180</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628</v>
      </c>
      <c r="B112" s="814" t="s">
        <v>1181</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1510</v>
      </c>
      <c r="AM112" s="823">
        <f t="shared" si="6"/>
        <v>2.82</v>
      </c>
    </row>
    <row r="113" spans="1:39" s="824" customFormat="1">
      <c r="A113" s="814" t="s">
        <v>629</v>
      </c>
      <c r="B113" s="814" t="s">
        <v>1182</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1511</v>
      </c>
      <c r="AM113" s="823">
        <f t="shared" si="6"/>
        <v>35.44</v>
      </c>
    </row>
    <row r="114" spans="1:39" s="824" customFormat="1">
      <c r="A114" s="814" t="s">
        <v>630</v>
      </c>
      <c r="B114" s="814" t="s">
        <v>1183</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1512</v>
      </c>
      <c r="AM114" s="823">
        <f t="shared" si="6"/>
        <v>536.94000000000005</v>
      </c>
    </row>
    <row r="115" spans="1:39" s="824" customFormat="1">
      <c r="A115" s="814" t="s">
        <v>631</v>
      </c>
      <c r="B115" s="814" t="s">
        <v>1184</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632</v>
      </c>
      <c r="B116" s="814" t="s">
        <v>1185</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1513</v>
      </c>
      <c r="AM116" s="823">
        <f t="shared" si="6"/>
        <v>10.33</v>
      </c>
    </row>
    <row r="117" spans="1:39" s="824" customFormat="1">
      <c r="A117" s="814" t="s">
        <v>633</v>
      </c>
      <c r="B117" s="814" t="s">
        <v>1186</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1514</v>
      </c>
      <c r="AM117" s="823">
        <f t="shared" si="6"/>
        <v>76.459999999999994</v>
      </c>
    </row>
    <row r="118" spans="1:39" s="824" customFormat="1">
      <c r="A118" s="814" t="s">
        <v>634</v>
      </c>
      <c r="B118" s="814" t="s">
        <v>1187</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1515</v>
      </c>
      <c r="AM118" s="823">
        <f t="shared" si="6"/>
        <v>1452.85</v>
      </c>
    </row>
    <row r="119" spans="1:39" s="824" customFormat="1">
      <c r="A119" s="814" t="s">
        <v>635</v>
      </c>
      <c r="B119" s="814" t="s">
        <v>1188</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636</v>
      </c>
      <c r="B120" s="814" t="s">
        <v>1189</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1516</v>
      </c>
      <c r="AM120" s="823">
        <f t="shared" si="6"/>
        <v>8.94</v>
      </c>
    </row>
    <row r="121" spans="1:39" s="824" customFormat="1">
      <c r="A121" s="814" t="s">
        <v>637</v>
      </c>
      <c r="B121" s="814" t="s">
        <v>1190</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1517</v>
      </c>
      <c r="AM121" s="823">
        <f t="shared" si="6"/>
        <v>67.300000000000011</v>
      </c>
    </row>
    <row r="122" spans="1:39" s="824" customFormat="1">
      <c r="A122" s="814" t="s">
        <v>638</v>
      </c>
      <c r="B122" s="814" t="s">
        <v>1191</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1518</v>
      </c>
      <c r="AM122" s="823">
        <f t="shared" si="6"/>
        <v>1062.45</v>
      </c>
    </row>
    <row r="123" spans="1:39" s="824" customFormat="1">
      <c r="A123" s="814" t="s">
        <v>639</v>
      </c>
      <c r="B123" s="814" t="s">
        <v>1192</v>
      </c>
      <c r="C123" s="918" t="s">
        <v>1449</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1519</v>
      </c>
      <c r="AM123" s="823">
        <f t="shared" si="6"/>
        <v>851.11</v>
      </c>
    </row>
    <row r="124" spans="1:39" s="824" customFormat="1">
      <c r="A124" s="814" t="s">
        <v>640</v>
      </c>
      <c r="B124" s="814" t="s">
        <v>1193</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641</v>
      </c>
      <c r="B125" s="814" t="s">
        <v>1194</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1520</v>
      </c>
      <c r="AM125" s="823">
        <f t="shared" si="6"/>
        <v>2.66</v>
      </c>
    </row>
    <row r="126" spans="1:39" s="824" customFormat="1">
      <c r="A126" s="814" t="s">
        <v>642</v>
      </c>
      <c r="B126" s="814" t="s">
        <v>1195</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1511</v>
      </c>
      <c r="AM126" s="823">
        <f t="shared" si="6"/>
        <v>35.44</v>
      </c>
    </row>
    <row r="127" spans="1:39" s="824" customFormat="1">
      <c r="A127" s="814" t="s">
        <v>643</v>
      </c>
      <c r="B127" s="814" t="s">
        <v>1196</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1521</v>
      </c>
      <c r="AM127" s="823">
        <f t="shared" si="6"/>
        <v>179.59</v>
      </c>
    </row>
    <row r="128" spans="1:39" s="824" customFormat="1">
      <c r="A128" s="927" t="s">
        <v>644</v>
      </c>
      <c r="B128" s="927" t="s">
        <v>1197</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645</v>
      </c>
      <c r="B129" s="814" t="s">
        <v>1198</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1522</v>
      </c>
      <c r="AM129" s="823">
        <f t="shared" si="6"/>
        <v>158.4</v>
      </c>
    </row>
    <row r="130" spans="1:39" s="827" customFormat="1">
      <c r="A130" s="927" t="s">
        <v>646</v>
      </c>
      <c r="B130" s="927" t="s">
        <v>1199</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647</v>
      </c>
      <c r="B131" s="814" t="s">
        <v>1200</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1523</v>
      </c>
      <c r="AM131" s="823">
        <f t="shared" si="6"/>
        <v>83.2</v>
      </c>
    </row>
    <row r="132" spans="1:39" s="824" customFormat="1">
      <c r="A132" s="814" t="s">
        <v>648</v>
      </c>
      <c r="B132" s="814" t="s">
        <v>225</v>
      </c>
      <c r="C132" s="918" t="s">
        <v>1449</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1492</v>
      </c>
      <c r="AM132" s="823">
        <f t="shared" si="6"/>
        <v>15</v>
      </c>
    </row>
    <row r="133" spans="1:39" s="824" customFormat="1">
      <c r="A133" s="910" t="s">
        <v>52</v>
      </c>
      <c r="B133" s="911" t="s">
        <v>1208</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1524</v>
      </c>
      <c r="AM134" s="823">
        <f t="shared" si="6"/>
        <v>28.51</v>
      </c>
    </row>
    <row r="135" spans="1:39" s="566" customFormat="1" hidden="1">
      <c r="A135" s="610" t="s">
        <v>649</v>
      </c>
      <c r="B135" s="610" t="s">
        <v>1155</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1525</v>
      </c>
      <c r="AM135" s="753">
        <f t="shared" si="6"/>
        <v>19.8</v>
      </c>
    </row>
    <row r="136" spans="1:39" s="585" customFormat="1" hidden="1">
      <c r="A136" s="610" t="s">
        <v>650</v>
      </c>
      <c r="B136" s="610" t="s">
        <v>1156</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1526</v>
      </c>
      <c r="AM136" s="753">
        <f t="shared" si="6"/>
        <v>34.56</v>
      </c>
    </row>
    <row r="137" spans="1:39" s="824" customFormat="1">
      <c r="A137" s="814" t="s">
        <v>651</v>
      </c>
      <c r="B137" s="814" t="s">
        <v>1157</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1527</v>
      </c>
      <c r="AM137" s="823">
        <f t="shared" si="6"/>
        <v>72.33</v>
      </c>
    </row>
    <row r="138" spans="1:39" s="824" customFormat="1">
      <c r="A138" s="814" t="s">
        <v>652</v>
      </c>
      <c r="B138" s="814" t="s">
        <v>1158</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1528</v>
      </c>
      <c r="AM138" s="823">
        <f t="shared" si="6"/>
        <v>17.190000000000001</v>
      </c>
    </row>
    <row r="139" spans="1:39" s="824" customFormat="1">
      <c r="A139" s="814" t="s">
        <v>653</v>
      </c>
      <c r="B139" s="814" t="s">
        <v>1159</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1528</v>
      </c>
      <c r="AM139" s="823">
        <f t="shared" si="6"/>
        <v>17.190000000000001</v>
      </c>
    </row>
    <row r="140" spans="1:39" s="939" customFormat="1">
      <c r="A140" s="928" t="s">
        <v>654</v>
      </c>
      <c r="B140" s="928" t="s">
        <v>1160</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1161</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1529</v>
      </c>
      <c r="AM141" s="823">
        <f t="shared" si="6"/>
        <v>23.07</v>
      </c>
    </row>
    <row r="142" spans="1:39" s="566" customFormat="1" hidden="1">
      <c r="A142" s="610" t="s">
        <v>655</v>
      </c>
      <c r="B142" s="610" t="s">
        <v>1202</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1530</v>
      </c>
      <c r="AM142" s="753">
        <f t="shared" ref="AM142:AM205" si="9">AL142-AK142</f>
        <v>10.4</v>
      </c>
    </row>
    <row r="143" spans="1:39" s="939" customFormat="1">
      <c r="A143" s="928" t="s">
        <v>656</v>
      </c>
      <c r="B143" s="928" t="s">
        <v>1203</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1531</v>
      </c>
      <c r="AM143" s="938">
        <f t="shared" si="9"/>
        <v>2.1800000000000002</v>
      </c>
    </row>
    <row r="144" spans="1:39" s="939" customFormat="1">
      <c r="A144" s="928" t="s">
        <v>657</v>
      </c>
      <c r="B144" s="928" t="s">
        <v>1204</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1532</v>
      </c>
      <c r="AM144" s="938">
        <f t="shared" si="9"/>
        <v>29.03</v>
      </c>
    </row>
    <row r="145" spans="1:39" s="824" customFormat="1">
      <c r="A145" s="814" t="s">
        <v>658</v>
      </c>
      <c r="B145" s="814" t="s">
        <v>1166</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1527</v>
      </c>
      <c r="AM145" s="823">
        <f t="shared" si="9"/>
        <v>72.33</v>
      </c>
    </row>
    <row r="146" spans="1:39" s="824" customFormat="1">
      <c r="A146" s="814" t="s">
        <v>659</v>
      </c>
      <c r="B146" s="814" t="s">
        <v>1167</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660</v>
      </c>
      <c r="B147" s="927" t="s">
        <v>1168</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661</v>
      </c>
      <c r="B148" s="814" t="s">
        <v>1169</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1533</v>
      </c>
      <c r="AM148" s="823">
        <f t="shared" si="9"/>
        <v>6.34</v>
      </c>
    </row>
    <row r="149" spans="1:39" s="566" customFormat="1" hidden="1">
      <c r="A149" s="610" t="s">
        <v>662</v>
      </c>
      <c r="B149" s="610" t="s">
        <v>1205</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1534</v>
      </c>
      <c r="AM149" s="753">
        <f t="shared" si="9"/>
        <v>264.95999999999998</v>
      </c>
    </row>
    <row r="150" spans="1:39" s="566" customFormat="1" hidden="1">
      <c r="A150" s="610" t="s">
        <v>663</v>
      </c>
      <c r="B150" s="610" t="s">
        <v>1171</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664</v>
      </c>
      <c r="B151" s="814" t="s">
        <v>1172</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1535</v>
      </c>
      <c r="AM151" s="823">
        <f t="shared" si="9"/>
        <v>3.77</v>
      </c>
    </row>
    <row r="152" spans="1:39" s="824" customFormat="1">
      <c r="A152" s="814" t="s">
        <v>665</v>
      </c>
      <c r="B152" s="814" t="s">
        <v>1206</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1536</v>
      </c>
      <c r="AM152" s="823">
        <f t="shared" si="9"/>
        <v>26.41</v>
      </c>
    </row>
    <row r="153" spans="1:39" s="824" customFormat="1">
      <c r="A153" s="814" t="s">
        <v>666</v>
      </c>
      <c r="B153" s="814" t="s">
        <v>1174</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1537</v>
      </c>
      <c r="AM153" s="823">
        <f t="shared" si="9"/>
        <v>335.15</v>
      </c>
    </row>
    <row r="154" spans="1:39" s="566" customFormat="1" hidden="1">
      <c r="A154" s="610" t="s">
        <v>667</v>
      </c>
      <c r="B154" s="610" t="s">
        <v>1175</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668</v>
      </c>
      <c r="B155" s="814" t="s">
        <v>1176</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1538</v>
      </c>
      <c r="AM155" s="823">
        <f t="shared" si="9"/>
        <v>6.4</v>
      </c>
    </row>
    <row r="156" spans="1:39" s="824" customFormat="1">
      <c r="A156" s="814" t="s">
        <v>669</v>
      </c>
      <c r="B156" s="814" t="s">
        <v>1207</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1539</v>
      </c>
      <c r="AM156" s="823">
        <f t="shared" si="9"/>
        <v>71.92</v>
      </c>
    </row>
    <row r="157" spans="1:39" s="824" customFormat="1">
      <c r="A157" s="814" t="s">
        <v>670</v>
      </c>
      <c r="B157" s="814" t="s">
        <v>1178</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1540</v>
      </c>
      <c r="AM157" s="823">
        <f t="shared" si="9"/>
        <v>1862.14</v>
      </c>
    </row>
    <row r="158" spans="1:39" s="566" customFormat="1" hidden="1">
      <c r="A158" s="610" t="s">
        <v>671</v>
      </c>
      <c r="B158" s="610" t="s">
        <v>1179</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672</v>
      </c>
      <c r="B159" s="814" t="s">
        <v>1180</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1541</v>
      </c>
      <c r="AM159" s="823">
        <f t="shared" si="9"/>
        <v>3.44</v>
      </c>
    </row>
    <row r="160" spans="1:39" s="824" customFormat="1">
      <c r="A160" s="814" t="s">
        <v>673</v>
      </c>
      <c r="B160" s="814" t="s">
        <v>1181</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1542</v>
      </c>
      <c r="AM160" s="823">
        <f t="shared" si="9"/>
        <v>21.46</v>
      </c>
    </row>
    <row r="161" spans="1:39" s="824" customFormat="1">
      <c r="A161" s="814" t="s">
        <v>674</v>
      </c>
      <c r="B161" s="814" t="s">
        <v>1182</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1543</v>
      </c>
      <c r="AM161" s="823">
        <f t="shared" si="9"/>
        <v>302.89999999999998</v>
      </c>
    </row>
    <row r="162" spans="1:39" s="824" customFormat="1">
      <c r="A162" s="814" t="s">
        <v>675</v>
      </c>
      <c r="B162" s="814" t="s">
        <v>1183</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676</v>
      </c>
      <c r="B163" s="814" t="s">
        <v>1184</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1544</v>
      </c>
      <c r="AM163" s="823">
        <f t="shared" si="9"/>
        <v>11.56</v>
      </c>
    </row>
    <row r="164" spans="1:39" s="824" customFormat="1">
      <c r="A164" s="814" t="s">
        <v>677</v>
      </c>
      <c r="B164" s="814" t="s">
        <v>1185</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1545</v>
      </c>
      <c r="AM164" s="823">
        <f t="shared" si="9"/>
        <v>101.84</v>
      </c>
    </row>
    <row r="165" spans="1:39" s="824" customFormat="1">
      <c r="A165" s="814" t="s">
        <v>678</v>
      </c>
      <c r="B165" s="814" t="s">
        <v>1186</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1546</v>
      </c>
      <c r="AM165" s="823">
        <f t="shared" si="9"/>
        <v>1265.4100000000001</v>
      </c>
    </row>
    <row r="166" spans="1:39" s="824" customFormat="1">
      <c r="A166" s="814" t="s">
        <v>679</v>
      </c>
      <c r="B166" s="814" t="s">
        <v>1187</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680</v>
      </c>
      <c r="B167" s="814" t="s">
        <v>1188</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1547</v>
      </c>
      <c r="AM167" s="823">
        <f t="shared" si="9"/>
        <v>13.47</v>
      </c>
    </row>
    <row r="168" spans="1:39" s="824" customFormat="1">
      <c r="A168" s="814" t="s">
        <v>681</v>
      </c>
      <c r="B168" s="814" t="s">
        <v>1189</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1548</v>
      </c>
      <c r="AM168" s="823">
        <f t="shared" si="9"/>
        <v>153.93</v>
      </c>
    </row>
    <row r="169" spans="1:39" s="824" customFormat="1">
      <c r="A169" s="814" t="s">
        <v>682</v>
      </c>
      <c r="B169" s="814" t="s">
        <v>1190</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1549</v>
      </c>
      <c r="AM169" s="823">
        <f t="shared" si="9"/>
        <v>1706.52</v>
      </c>
    </row>
    <row r="170" spans="1:39" s="824" customFormat="1">
      <c r="A170" s="814" t="s">
        <v>683</v>
      </c>
      <c r="B170" s="814" t="s">
        <v>1191</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1550</v>
      </c>
      <c r="AM170" s="823">
        <f t="shared" si="9"/>
        <v>1146.1400000000001</v>
      </c>
    </row>
    <row r="171" spans="1:39" s="824" customFormat="1">
      <c r="A171" s="814" t="s">
        <v>684</v>
      </c>
      <c r="B171" s="814" t="s">
        <v>1192</v>
      </c>
      <c r="C171" s="919" t="s">
        <v>1449</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685</v>
      </c>
      <c r="B172" s="814" t="s">
        <v>1193</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1551</v>
      </c>
      <c r="AM172" s="823">
        <f t="shared" si="9"/>
        <v>2.57</v>
      </c>
    </row>
    <row r="173" spans="1:39" s="824" customFormat="1">
      <c r="A173" s="814" t="s">
        <v>686</v>
      </c>
      <c r="B173" s="814" t="s">
        <v>1194</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1493</v>
      </c>
      <c r="AM173" s="823">
        <f t="shared" si="9"/>
        <v>34.270000000000003</v>
      </c>
    </row>
    <row r="174" spans="1:39" s="824" customFormat="1">
      <c r="A174" s="814" t="s">
        <v>687</v>
      </c>
      <c r="B174" s="814" t="s">
        <v>1195</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1552</v>
      </c>
      <c r="AM174" s="823">
        <f t="shared" si="9"/>
        <v>178.66</v>
      </c>
    </row>
    <row r="175" spans="1:39" s="824" customFormat="1">
      <c r="A175" s="814" t="s">
        <v>688</v>
      </c>
      <c r="B175" s="814" t="s">
        <v>1196</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689</v>
      </c>
      <c r="B176" s="927" t="s">
        <v>1197</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1553</v>
      </c>
      <c r="AM176" s="823">
        <f t="shared" si="9"/>
        <v>377.52</v>
      </c>
    </row>
    <row r="177" spans="1:39" s="824" customFormat="1">
      <c r="A177" s="814" t="s">
        <v>690</v>
      </c>
      <c r="B177" s="814" t="s">
        <v>1198</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691</v>
      </c>
      <c r="B178" s="927" t="s">
        <v>1199</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1554</v>
      </c>
      <c r="AM178" s="823">
        <f t="shared" si="9"/>
        <v>75.400000000000006</v>
      </c>
    </row>
    <row r="179" spans="1:39" s="824" customFormat="1">
      <c r="A179" s="814" t="s">
        <v>692</v>
      </c>
      <c r="B179" s="814" t="s">
        <v>1200</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1492</v>
      </c>
      <c r="AM179" s="823">
        <f t="shared" si="9"/>
        <v>15</v>
      </c>
    </row>
    <row r="180" spans="1:39" s="824" customFormat="1">
      <c r="A180" s="814" t="s">
        <v>693</v>
      </c>
      <c r="B180" s="814" t="s">
        <v>225</v>
      </c>
      <c r="C180" s="919" t="s">
        <v>1449</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515</v>
      </c>
      <c r="B181" s="614" t="s">
        <v>1209</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516</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1555</v>
      </c>
      <c r="AM182" s="753">
        <f t="shared" si="9"/>
        <v>39.86</v>
      </c>
    </row>
    <row r="183" spans="1:39" s="566" customFormat="1">
      <c r="A183" s="610" t="s">
        <v>694</v>
      </c>
      <c r="B183" s="610" t="s">
        <v>1155</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1556</v>
      </c>
      <c r="AM183" s="753">
        <f t="shared" si="9"/>
        <v>9.1</v>
      </c>
    </row>
    <row r="184" spans="1:39" s="566" customFormat="1">
      <c r="A184" s="610" t="s">
        <v>695</v>
      </c>
      <c r="B184" s="610" t="s">
        <v>1156</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1557</v>
      </c>
      <c r="AM184" s="753">
        <f t="shared" si="9"/>
        <v>15.72</v>
      </c>
    </row>
    <row r="185" spans="1:39" s="566" customFormat="1">
      <c r="A185" s="610" t="s">
        <v>696</v>
      </c>
      <c r="B185" s="610" t="s">
        <v>1157</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1558</v>
      </c>
      <c r="AM185" s="753">
        <f t="shared" si="9"/>
        <v>22.03</v>
      </c>
    </row>
    <row r="186" spans="1:39" s="566" customFormat="1">
      <c r="A186" s="610" t="s">
        <v>697</v>
      </c>
      <c r="B186" s="610" t="s">
        <v>1158</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1559</v>
      </c>
      <c r="AM186" s="753">
        <f t="shared" si="9"/>
        <v>41.56</v>
      </c>
    </row>
    <row r="187" spans="1:39" s="566" customFormat="1">
      <c r="A187" s="610" t="s">
        <v>698</v>
      </c>
      <c r="B187" s="610" t="s">
        <v>1159</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1559</v>
      </c>
      <c r="AM187" s="753">
        <f t="shared" si="9"/>
        <v>41.56</v>
      </c>
    </row>
    <row r="188" spans="1:39" s="566" customFormat="1">
      <c r="A188" s="610" t="s">
        <v>699</v>
      </c>
      <c r="B188" s="610" t="s">
        <v>1160</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700</v>
      </c>
      <c r="B189" s="613" t="s">
        <v>1161</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1560</v>
      </c>
      <c r="AM189" s="753">
        <f t="shared" si="9"/>
        <v>20.28</v>
      </c>
    </row>
    <row r="190" spans="1:39" s="566" customFormat="1">
      <c r="A190" s="610" t="s">
        <v>701</v>
      </c>
      <c r="B190" s="610" t="s">
        <v>1162</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1561</v>
      </c>
      <c r="AM190" s="753">
        <f t="shared" si="9"/>
        <v>14.79</v>
      </c>
    </row>
    <row r="191" spans="1:39" s="566" customFormat="1">
      <c r="A191" s="610" t="s">
        <v>702</v>
      </c>
      <c r="B191" s="610" t="s">
        <v>1202</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1562</v>
      </c>
      <c r="AM191" s="753">
        <f t="shared" si="9"/>
        <v>3.22</v>
      </c>
    </row>
    <row r="192" spans="1:39" s="566" customFormat="1">
      <c r="A192" s="610" t="s">
        <v>703</v>
      </c>
      <c r="B192" s="610" t="s">
        <v>1203</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1563</v>
      </c>
      <c r="AM192" s="753">
        <f t="shared" si="9"/>
        <v>1.61</v>
      </c>
    </row>
    <row r="193" spans="1:39" s="566" customFormat="1">
      <c r="A193" s="610" t="s">
        <v>704</v>
      </c>
      <c r="B193" s="610" t="s">
        <v>1204</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1564</v>
      </c>
      <c r="AM193" s="753">
        <f t="shared" si="9"/>
        <v>42.4</v>
      </c>
    </row>
    <row r="194" spans="1:39" s="566" customFormat="1">
      <c r="A194" s="610" t="s">
        <v>705</v>
      </c>
      <c r="B194" s="610" t="s">
        <v>1166</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1558</v>
      </c>
      <c r="AM194" s="753">
        <f t="shared" si="9"/>
        <v>22.03</v>
      </c>
    </row>
    <row r="195" spans="1:39" s="566" customFormat="1">
      <c r="A195" s="610" t="s">
        <v>706</v>
      </c>
      <c r="B195" s="610" t="s">
        <v>1167</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707</v>
      </c>
      <c r="B196" s="613" t="s">
        <v>1168</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708</v>
      </c>
      <c r="B197" s="610" t="s">
        <v>1169</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1469</v>
      </c>
      <c r="AM197" s="753">
        <f t="shared" si="9"/>
        <v>4.6100000000000003</v>
      </c>
    </row>
    <row r="198" spans="1:39" s="566" customFormat="1">
      <c r="A198" s="610" t="s">
        <v>709</v>
      </c>
      <c r="B198" s="610" t="s">
        <v>1205</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1470</v>
      </c>
      <c r="AM198" s="753">
        <f t="shared" si="9"/>
        <v>192.7</v>
      </c>
    </row>
    <row r="199" spans="1:39" s="566" customFormat="1">
      <c r="A199" s="610" t="s">
        <v>710</v>
      </c>
      <c r="B199" s="610" t="s">
        <v>1171</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711</v>
      </c>
      <c r="B200" s="610" t="s">
        <v>1172</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1565</v>
      </c>
      <c r="AM200" s="753">
        <f t="shared" si="9"/>
        <v>2.19</v>
      </c>
    </row>
    <row r="201" spans="1:39" s="566" customFormat="1">
      <c r="A201" s="610" t="s">
        <v>712</v>
      </c>
      <c r="B201" s="610" t="s">
        <v>1206</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1566</v>
      </c>
      <c r="AM201" s="753">
        <f t="shared" si="9"/>
        <v>17.489999999999998</v>
      </c>
    </row>
    <row r="202" spans="1:39" s="566" customFormat="1">
      <c r="A202" s="610" t="s">
        <v>713</v>
      </c>
      <c r="B202" s="610" t="s">
        <v>1174</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1567</v>
      </c>
      <c r="AM202" s="753">
        <f t="shared" si="9"/>
        <v>179.25</v>
      </c>
    </row>
    <row r="203" spans="1:39" s="566" customFormat="1">
      <c r="A203" s="610" t="s">
        <v>714</v>
      </c>
      <c r="B203" s="610" t="s">
        <v>1175</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715</v>
      </c>
      <c r="B204" s="610" t="s">
        <v>1176</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1531</v>
      </c>
      <c r="AM204" s="753">
        <f t="shared" si="9"/>
        <v>2.1800000000000002</v>
      </c>
    </row>
    <row r="205" spans="1:39" s="566" customFormat="1">
      <c r="A205" s="610" t="s">
        <v>716</v>
      </c>
      <c r="B205" s="610" t="s">
        <v>1207</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1568</v>
      </c>
      <c r="AM205" s="753">
        <f t="shared" si="9"/>
        <v>34.799999999999997</v>
      </c>
    </row>
    <row r="206" spans="1:39" s="566" customFormat="1">
      <c r="A206" s="610" t="s">
        <v>717</v>
      </c>
      <c r="B206" s="610" t="s">
        <v>1178</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1569</v>
      </c>
      <c r="AM206" s="753">
        <f t="shared" ref="AM206:AM269" si="12">AL206-AK206</f>
        <v>314.66000000000003</v>
      </c>
    </row>
    <row r="207" spans="1:39" s="566" customFormat="1">
      <c r="A207" s="610" t="s">
        <v>718</v>
      </c>
      <c r="B207" s="610" t="s">
        <v>1179</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719</v>
      </c>
      <c r="B208" s="610" t="s">
        <v>1180</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1477</v>
      </c>
      <c r="AM208" s="753">
        <f t="shared" si="12"/>
        <v>1.49</v>
      </c>
    </row>
    <row r="209" spans="1:39" s="566" customFormat="1">
      <c r="A209" s="610" t="s">
        <v>720</v>
      </c>
      <c r="B209" s="610" t="s">
        <v>1181</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1478</v>
      </c>
      <c r="AM209" s="753">
        <f t="shared" si="12"/>
        <v>19.71</v>
      </c>
    </row>
    <row r="210" spans="1:39" s="566" customFormat="1">
      <c r="A210" s="610" t="s">
        <v>721</v>
      </c>
      <c r="B210" s="610" t="s">
        <v>1182</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1479</v>
      </c>
      <c r="AM210" s="753">
        <f t="shared" si="12"/>
        <v>659.98</v>
      </c>
    </row>
    <row r="211" spans="1:39" s="566" customFormat="1">
      <c r="A211" s="610" t="s">
        <v>722</v>
      </c>
      <c r="B211" s="610" t="s">
        <v>1183</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723</v>
      </c>
      <c r="B212" s="610" t="s">
        <v>1184</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1570</v>
      </c>
      <c r="AM212" s="753">
        <f t="shared" si="12"/>
        <v>5.6</v>
      </c>
    </row>
    <row r="213" spans="1:39" s="566" customFormat="1">
      <c r="A213" s="610" t="s">
        <v>724</v>
      </c>
      <c r="B213" s="610" t="s">
        <v>1185</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1571</v>
      </c>
      <c r="AM213" s="753">
        <f t="shared" si="12"/>
        <v>48.75</v>
      </c>
    </row>
    <row r="214" spans="1:39" s="566" customFormat="1">
      <c r="A214" s="610" t="s">
        <v>725</v>
      </c>
      <c r="B214" s="610" t="s">
        <v>1186</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1572</v>
      </c>
      <c r="AM214" s="753">
        <f t="shared" si="12"/>
        <v>642.09</v>
      </c>
    </row>
    <row r="215" spans="1:39" s="566" customFormat="1">
      <c r="A215" s="610" t="s">
        <v>726</v>
      </c>
      <c r="B215" s="610" t="s">
        <v>1187</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727</v>
      </c>
      <c r="B216" s="610" t="s">
        <v>1188</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1573</v>
      </c>
      <c r="AM216" s="753">
        <f t="shared" si="12"/>
        <v>3.36</v>
      </c>
    </row>
    <row r="217" spans="1:39" s="566" customFormat="1">
      <c r="A217" s="610" t="s">
        <v>728</v>
      </c>
      <c r="B217" s="610" t="s">
        <v>1189</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1574</v>
      </c>
      <c r="AM217" s="753">
        <f t="shared" si="12"/>
        <v>38.35</v>
      </c>
    </row>
    <row r="218" spans="1:39" s="566" customFormat="1">
      <c r="A218" s="610" t="s">
        <v>729</v>
      </c>
      <c r="B218" s="610" t="s">
        <v>1190</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1575</v>
      </c>
      <c r="AM218" s="753">
        <f t="shared" si="12"/>
        <v>276.95999999999998</v>
      </c>
    </row>
    <row r="219" spans="1:39" s="566" customFormat="1">
      <c r="A219" s="610" t="s">
        <v>730</v>
      </c>
      <c r="B219" s="610" t="s">
        <v>1191</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1576</v>
      </c>
      <c r="AM219" s="753">
        <f t="shared" si="12"/>
        <v>319.48</v>
      </c>
    </row>
    <row r="220" spans="1:39" s="566" customFormat="1">
      <c r="A220" s="610" t="s">
        <v>731</v>
      </c>
      <c r="B220" s="610" t="s">
        <v>1192</v>
      </c>
      <c r="C220" s="620" t="s">
        <v>1449</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732</v>
      </c>
      <c r="B221" s="610" t="s">
        <v>1193</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1577</v>
      </c>
      <c r="AM221" s="753">
        <f t="shared" si="12"/>
        <v>1.03</v>
      </c>
    </row>
    <row r="222" spans="1:39" s="566" customFormat="1">
      <c r="A222" s="610" t="s">
        <v>733</v>
      </c>
      <c r="B222" s="610" t="s">
        <v>1194</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1578</v>
      </c>
      <c r="AM222" s="753">
        <f t="shared" si="12"/>
        <v>13.74</v>
      </c>
    </row>
    <row r="223" spans="1:39" s="566" customFormat="1">
      <c r="A223" s="610" t="s">
        <v>734</v>
      </c>
      <c r="B223" s="610" t="s">
        <v>1195</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1579</v>
      </c>
      <c r="AM223" s="753">
        <f t="shared" si="12"/>
        <v>65.349999999999994</v>
      </c>
    </row>
    <row r="224" spans="1:39" s="566" customFormat="1">
      <c r="A224" s="610" t="s">
        <v>735</v>
      </c>
      <c r="B224" s="610" t="s">
        <v>1196</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736</v>
      </c>
      <c r="B225" s="613" t="s">
        <v>1197</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1580</v>
      </c>
      <c r="AM225" s="753">
        <f t="shared" si="12"/>
        <v>110.7</v>
      </c>
    </row>
    <row r="226" spans="1:39" s="566" customFormat="1">
      <c r="A226" s="610" t="s">
        <v>737</v>
      </c>
      <c r="B226" s="610" t="s">
        <v>1198</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738</v>
      </c>
      <c r="B227" s="613" t="s">
        <v>1199</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1581</v>
      </c>
      <c r="AM227" s="753">
        <f t="shared" si="12"/>
        <v>46</v>
      </c>
    </row>
    <row r="228" spans="1:39" s="566" customFormat="1">
      <c r="A228" s="610" t="s">
        <v>739</v>
      </c>
      <c r="B228" s="610" t="s">
        <v>1200</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1492</v>
      </c>
      <c r="AM228" s="753">
        <f t="shared" si="12"/>
        <v>15</v>
      </c>
    </row>
    <row r="229" spans="1:39" s="566" customFormat="1">
      <c r="A229" s="610" t="s">
        <v>740</v>
      </c>
      <c r="B229" s="610" t="s">
        <v>225</v>
      </c>
      <c r="C229" s="620" t="s">
        <v>1449</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741</v>
      </c>
      <c r="B230" s="911" t="s">
        <v>1210</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742</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1582</v>
      </c>
      <c r="AM231" s="823">
        <f t="shared" si="12"/>
        <v>467.39</v>
      </c>
    </row>
    <row r="232" spans="1:39" s="824" customFormat="1">
      <c r="A232" s="814" t="s">
        <v>743</v>
      </c>
      <c r="B232" s="814" t="s">
        <v>1211</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1583</v>
      </c>
      <c r="AM232" s="823">
        <f t="shared" si="12"/>
        <v>560.87</v>
      </c>
    </row>
    <row r="233" spans="1:39" s="939" customFormat="1">
      <c r="A233" s="928" t="s">
        <v>744</v>
      </c>
      <c r="B233" s="928" t="s">
        <v>1160</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745</v>
      </c>
      <c r="B234" s="927" t="s">
        <v>1161</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1584</v>
      </c>
      <c r="AM234" s="823">
        <f t="shared" si="12"/>
        <v>13.83</v>
      </c>
    </row>
    <row r="235" spans="1:39" s="824" customFormat="1">
      <c r="A235" s="814" t="s">
        <v>746</v>
      </c>
      <c r="B235" s="814" t="s">
        <v>1203</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747</v>
      </c>
      <c r="B236" s="927" t="s">
        <v>1168</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748</v>
      </c>
      <c r="B237" s="814" t="s">
        <v>1176</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1585</v>
      </c>
      <c r="AM237" s="823">
        <f t="shared" si="12"/>
        <v>4.8899999999999997</v>
      </c>
    </row>
    <row r="238" spans="1:39" s="824" customFormat="1">
      <c r="A238" s="814" t="s">
        <v>749</v>
      </c>
      <c r="B238" s="814" t="s">
        <v>1207</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1586</v>
      </c>
      <c r="AM238" s="823">
        <f t="shared" si="12"/>
        <v>76.69</v>
      </c>
    </row>
    <row r="239" spans="1:39" s="824" customFormat="1">
      <c r="A239" s="814" t="s">
        <v>750</v>
      </c>
      <c r="B239" s="814" t="s">
        <v>1178</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1587</v>
      </c>
      <c r="AM239" s="823">
        <f t="shared" si="12"/>
        <v>947.8</v>
      </c>
    </row>
    <row r="240" spans="1:39" s="824" customFormat="1">
      <c r="A240" s="814" t="s">
        <v>751</v>
      </c>
      <c r="B240" s="814" t="s">
        <v>1179</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752</v>
      </c>
      <c r="B241" s="814" t="s">
        <v>1184</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1588</v>
      </c>
      <c r="AM241" s="823">
        <f t="shared" si="12"/>
        <v>4.2300000000000004</v>
      </c>
    </row>
    <row r="242" spans="1:39" s="824" customFormat="1">
      <c r="A242" s="814" t="s">
        <v>753</v>
      </c>
      <c r="B242" s="814" t="s">
        <v>1185</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1589</v>
      </c>
      <c r="AM242" s="823">
        <f t="shared" si="12"/>
        <v>49.66</v>
      </c>
    </row>
    <row r="243" spans="1:39" s="824" customFormat="1">
      <c r="A243" s="814" t="s">
        <v>754</v>
      </c>
      <c r="B243" s="814" t="s">
        <v>1186</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1590</v>
      </c>
      <c r="AM243" s="823">
        <f t="shared" si="12"/>
        <v>483.02</v>
      </c>
    </row>
    <row r="244" spans="1:39" s="824" customFormat="1">
      <c r="A244" s="814" t="s">
        <v>755</v>
      </c>
      <c r="B244" s="814" t="s">
        <v>1187</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756</v>
      </c>
      <c r="B245" s="814" t="s">
        <v>1212</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1591</v>
      </c>
      <c r="AM245" s="823">
        <f t="shared" si="12"/>
        <v>4.24</v>
      </c>
    </row>
    <row r="246" spans="1:39" s="824" customFormat="1">
      <c r="A246" s="814" t="s">
        <v>757</v>
      </c>
      <c r="B246" s="814" t="s">
        <v>1204</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1592</v>
      </c>
      <c r="AM246" s="823">
        <f t="shared" si="12"/>
        <v>56.57</v>
      </c>
    </row>
    <row r="247" spans="1:39" s="824" customFormat="1">
      <c r="A247" s="814" t="s">
        <v>758</v>
      </c>
      <c r="B247" s="814" t="s">
        <v>1213</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1593</v>
      </c>
      <c r="AM247" s="823">
        <f t="shared" si="12"/>
        <v>438.73</v>
      </c>
    </row>
    <row r="248" spans="1:39" s="824" customFormat="1">
      <c r="A248" s="814" t="s">
        <v>759</v>
      </c>
      <c r="B248" s="814" t="s">
        <v>1214</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760</v>
      </c>
      <c r="B249" s="927" t="s">
        <v>1199</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1594</v>
      </c>
      <c r="AM249" s="823">
        <f t="shared" si="12"/>
        <v>36</v>
      </c>
    </row>
    <row r="250" spans="1:39" s="824" customFormat="1">
      <c r="A250" s="814" t="s">
        <v>761</v>
      </c>
      <c r="B250" s="814" t="s">
        <v>1215</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762</v>
      </c>
      <c r="B251" s="911" t="s">
        <v>1216</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763</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1595</v>
      </c>
      <c r="AM252" s="823">
        <f t="shared" si="12"/>
        <v>441.64</v>
      </c>
    </row>
    <row r="253" spans="1:39" s="824" customFormat="1">
      <c r="A253" s="814" t="s">
        <v>764</v>
      </c>
      <c r="B253" s="814" t="s">
        <v>1211</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1596</v>
      </c>
      <c r="AM253" s="823">
        <f t="shared" si="12"/>
        <v>574.13</v>
      </c>
    </row>
    <row r="254" spans="1:39" s="824" customFormat="1">
      <c r="A254" s="814" t="s">
        <v>765</v>
      </c>
      <c r="B254" s="814" t="s">
        <v>1160</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766</v>
      </c>
      <c r="B255" s="927" t="s">
        <v>1217</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1597</v>
      </c>
      <c r="AM255" s="823">
        <f t="shared" si="12"/>
        <v>204.01</v>
      </c>
    </row>
    <row r="256" spans="1:39" s="824" customFormat="1">
      <c r="A256" s="814" t="s">
        <v>767</v>
      </c>
      <c r="B256" s="814" t="s">
        <v>1218</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1598</v>
      </c>
      <c r="AM256" s="823">
        <f t="shared" si="12"/>
        <v>550.44000000000005</v>
      </c>
    </row>
    <row r="257" spans="1:39" s="824" customFormat="1">
      <c r="A257" s="814" t="s">
        <v>768</v>
      </c>
      <c r="B257" s="814" t="s">
        <v>1219</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1599</v>
      </c>
      <c r="AM257" s="823">
        <f t="shared" si="12"/>
        <v>15448.74</v>
      </c>
    </row>
    <row r="258" spans="1:39" s="824" customFormat="1">
      <c r="A258" s="814" t="s">
        <v>769</v>
      </c>
      <c r="B258" s="814" t="s">
        <v>1220</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770</v>
      </c>
      <c r="B259" s="927" t="s">
        <v>1199</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1600</v>
      </c>
      <c r="AM259" s="823">
        <f t="shared" si="12"/>
        <v>111.93</v>
      </c>
    </row>
    <row r="260" spans="1:39" s="824" customFormat="1">
      <c r="A260" s="814" t="s">
        <v>771</v>
      </c>
      <c r="B260" s="814" t="s">
        <v>1221</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1601</v>
      </c>
      <c r="AM260" s="823">
        <f t="shared" si="12"/>
        <v>24</v>
      </c>
    </row>
    <row r="261" spans="1:39" s="824" customFormat="1">
      <c r="A261" s="814" t="s">
        <v>772</v>
      </c>
      <c r="B261" s="814" t="s">
        <v>225</v>
      </c>
      <c r="C261" s="919" t="s">
        <v>1449</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773</v>
      </c>
      <c r="B262" s="911" t="s">
        <v>1222</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774</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1602</v>
      </c>
      <c r="AM263" s="823">
        <f t="shared" si="12"/>
        <v>95.88</v>
      </c>
    </row>
    <row r="264" spans="1:39" s="824" customFormat="1">
      <c r="A264" s="814" t="s">
        <v>775</v>
      </c>
      <c r="B264" s="814" t="s">
        <v>1211</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1603</v>
      </c>
      <c r="AM264" s="823">
        <f t="shared" si="12"/>
        <v>124.65</v>
      </c>
    </row>
    <row r="265" spans="1:39" s="824" customFormat="1">
      <c r="A265" s="814" t="s">
        <v>776</v>
      </c>
      <c r="B265" s="814" t="s">
        <v>1160</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777</v>
      </c>
      <c r="B266" s="927" t="s">
        <v>1161</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1604</v>
      </c>
      <c r="AM266" s="823">
        <f t="shared" si="12"/>
        <v>81.67</v>
      </c>
    </row>
    <row r="267" spans="1:39" s="824" customFormat="1">
      <c r="A267" s="814" t="s">
        <v>778</v>
      </c>
      <c r="B267" s="814" t="s">
        <v>1203</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1605</v>
      </c>
      <c r="AM267" s="823">
        <f t="shared" si="12"/>
        <v>221.37</v>
      </c>
    </row>
    <row r="268" spans="1:39" s="824" customFormat="1">
      <c r="A268" s="814" t="s">
        <v>779</v>
      </c>
      <c r="B268" s="814" t="s">
        <v>1223</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780</v>
      </c>
      <c r="B269" s="614" t="s">
        <v>1224</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781</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1606</v>
      </c>
      <c r="AM270" s="753">
        <f t="shared" ref="AM270:AM333" si="15">AL270-AK270</f>
        <v>2.81</v>
      </c>
    </row>
    <row r="271" spans="1:39" s="566" customFormat="1">
      <c r="A271" s="610" t="s">
        <v>782</v>
      </c>
      <c r="B271" s="610" t="s">
        <v>1225</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1607</v>
      </c>
      <c r="AM271" s="753">
        <f t="shared" si="15"/>
        <v>60</v>
      </c>
    </row>
    <row r="272" spans="1:39" s="566" customFormat="1">
      <c r="A272" s="610" t="s">
        <v>783</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1608</v>
      </c>
      <c r="AM272" s="753">
        <f t="shared" si="15"/>
        <v>3.51</v>
      </c>
    </row>
    <row r="273" spans="1:39" s="566" customFormat="1">
      <c r="A273" s="610" t="s">
        <v>784</v>
      </c>
      <c r="B273" s="610" t="s">
        <v>1160</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785</v>
      </c>
      <c r="B274" s="613" t="s">
        <v>1161</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1609</v>
      </c>
      <c r="AM274" s="753">
        <f t="shared" si="15"/>
        <v>2.16</v>
      </c>
    </row>
    <row r="275" spans="1:39" s="566" customFormat="1">
      <c r="A275" s="610" t="s">
        <v>786</v>
      </c>
      <c r="B275" s="610" t="s">
        <v>1202</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1607</v>
      </c>
      <c r="AM275" s="753">
        <f t="shared" si="15"/>
        <v>60</v>
      </c>
    </row>
    <row r="276" spans="1:39" s="566" customFormat="1">
      <c r="A276" s="610" t="s">
        <v>787</v>
      </c>
      <c r="B276" s="610" t="s">
        <v>1226</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788</v>
      </c>
      <c r="B277" s="613" t="s">
        <v>1168</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789</v>
      </c>
      <c r="B278" s="610" t="s">
        <v>1169</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1610</v>
      </c>
      <c r="AM278" s="753">
        <f t="shared" si="15"/>
        <v>2.52</v>
      </c>
    </row>
    <row r="279" spans="1:39" s="566" customFormat="1">
      <c r="A279" s="610" t="s">
        <v>790</v>
      </c>
      <c r="B279" s="610" t="s">
        <v>1205</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1611</v>
      </c>
      <c r="AM279" s="753">
        <f t="shared" si="15"/>
        <v>186.08</v>
      </c>
    </row>
    <row r="280" spans="1:39" s="566" customFormat="1">
      <c r="A280" s="610" t="s">
        <v>791</v>
      </c>
      <c r="B280" s="610" t="s">
        <v>1171</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792</v>
      </c>
      <c r="B281" s="613" t="s">
        <v>1227</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1612</v>
      </c>
      <c r="AM281" s="753">
        <f t="shared" si="15"/>
        <v>899.99</v>
      </c>
    </row>
    <row r="282" spans="1:39" s="566" customFormat="1">
      <c r="A282" s="610" t="s">
        <v>793</v>
      </c>
      <c r="B282" s="610" t="s">
        <v>1228</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1613</v>
      </c>
      <c r="AM282" s="753">
        <f t="shared" si="15"/>
        <v>394.52</v>
      </c>
    </row>
    <row r="283" spans="1:39" s="566" customFormat="1">
      <c r="A283" s="610" t="s">
        <v>794</v>
      </c>
      <c r="B283" s="610" t="s">
        <v>1229</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1614</v>
      </c>
      <c r="AM283" s="753">
        <f t="shared" si="15"/>
        <v>271.91000000000003</v>
      </c>
    </row>
    <row r="284" spans="1:39" s="566" customFormat="1">
      <c r="A284" s="610" t="s">
        <v>795</v>
      </c>
      <c r="B284" s="610" t="s">
        <v>1230</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1615</v>
      </c>
      <c r="AM284" s="753">
        <f t="shared" si="15"/>
        <v>80.92</v>
      </c>
    </row>
    <row r="285" spans="1:39" s="566" customFormat="1">
      <c r="A285" s="610" t="s">
        <v>796</v>
      </c>
      <c r="B285" s="610" t="s">
        <v>1231</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1616</v>
      </c>
      <c r="AM285" s="753">
        <f t="shared" si="15"/>
        <v>6</v>
      </c>
    </row>
    <row r="286" spans="1:39" s="566" customFormat="1">
      <c r="A286" s="610" t="s">
        <v>797</v>
      </c>
      <c r="B286" s="610" t="s">
        <v>1232</v>
      </c>
      <c r="C286" s="620" t="s">
        <v>1449</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798</v>
      </c>
      <c r="B287" s="613" t="s">
        <v>1199</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1617</v>
      </c>
      <c r="AM287" s="753">
        <f t="shared" si="15"/>
        <v>3</v>
      </c>
    </row>
    <row r="288" spans="1:39" s="566" customFormat="1" ht="13.5" thickBot="1">
      <c r="A288" s="610" t="s">
        <v>799</v>
      </c>
      <c r="B288" s="610" t="s">
        <v>225</v>
      </c>
      <c r="C288" s="620" t="s">
        <v>1449</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1233</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1234</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1235</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1618</v>
      </c>
      <c r="AM291" s="823">
        <f t="shared" si="15"/>
        <v>72.27</v>
      </c>
    </row>
    <row r="292" spans="1:39" s="824" customFormat="1">
      <c r="A292" s="814" t="s">
        <v>800</v>
      </c>
      <c r="B292" s="814" t="s">
        <v>1236</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1619</v>
      </c>
      <c r="AM292" s="823">
        <f t="shared" si="15"/>
        <v>15.22</v>
      </c>
    </row>
    <row r="293" spans="1:39" s="824" customFormat="1">
      <c r="A293" s="814" t="s">
        <v>801</v>
      </c>
      <c r="B293" s="814" t="s">
        <v>1237</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1238</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1620</v>
      </c>
      <c r="AM294" s="753">
        <f t="shared" si="15"/>
        <v>123.1</v>
      </c>
    </row>
    <row r="295" spans="1:39" s="566" customFormat="1">
      <c r="A295" s="610" t="s">
        <v>802</v>
      </c>
      <c r="B295" s="610" t="s">
        <v>1239</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1621</v>
      </c>
      <c r="AM295" s="753">
        <f t="shared" si="15"/>
        <v>54.38</v>
      </c>
    </row>
    <row r="296" spans="1:39" s="566" customFormat="1">
      <c r="A296" s="610" t="s">
        <v>803</v>
      </c>
      <c r="B296" s="610" t="s">
        <v>1240</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1622</v>
      </c>
      <c r="AM296" s="753">
        <f t="shared" si="15"/>
        <v>34.44</v>
      </c>
    </row>
    <row r="297" spans="1:39" s="566" customFormat="1">
      <c r="A297" s="610" t="s">
        <v>804</v>
      </c>
      <c r="B297" s="610" t="s">
        <v>1241</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1623</v>
      </c>
      <c r="AM297" s="753">
        <f t="shared" si="15"/>
        <v>30.39</v>
      </c>
    </row>
    <row r="298" spans="1:39" s="566" customFormat="1">
      <c r="A298" s="610" t="s">
        <v>805</v>
      </c>
      <c r="B298" s="610" t="s">
        <v>1242</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1624</v>
      </c>
      <c r="AM298" s="753">
        <f t="shared" si="15"/>
        <v>39.17</v>
      </c>
    </row>
    <row r="299" spans="1:39" s="566" customFormat="1">
      <c r="A299" s="610" t="s">
        <v>806</v>
      </c>
      <c r="B299" s="610" t="s">
        <v>1243</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1625</v>
      </c>
      <c r="AM299" s="753">
        <f t="shared" si="15"/>
        <v>68.38</v>
      </c>
    </row>
    <row r="300" spans="1:39" s="566" customFormat="1">
      <c r="A300" s="610" t="s">
        <v>807</v>
      </c>
      <c r="B300" s="610" t="s">
        <v>1244</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1626</v>
      </c>
      <c r="AM300" s="753">
        <f t="shared" si="15"/>
        <v>228.32</v>
      </c>
    </row>
    <row r="301" spans="1:39" s="566" customFormat="1">
      <c r="A301" s="610" t="s">
        <v>808</v>
      </c>
      <c r="B301" s="610" t="s">
        <v>1245</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1246</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1627</v>
      </c>
      <c r="AM302" s="753">
        <f t="shared" si="15"/>
        <v>90.62</v>
      </c>
    </row>
    <row r="303" spans="1:39" s="566" customFormat="1">
      <c r="A303" s="610" t="s">
        <v>809</v>
      </c>
      <c r="B303" s="610" t="s">
        <v>1247</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1248</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1628</v>
      </c>
      <c r="AM304" s="823">
        <f t="shared" si="15"/>
        <v>72.22</v>
      </c>
    </row>
    <row r="305" spans="1:39" s="824" customFormat="1">
      <c r="A305" s="814" t="s">
        <v>810</v>
      </c>
      <c r="B305" s="814" t="s">
        <v>1249</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1629</v>
      </c>
      <c r="AM305" s="823">
        <f t="shared" si="15"/>
        <v>56.44</v>
      </c>
    </row>
    <row r="306" spans="1:39" s="566" customFormat="1">
      <c r="A306" s="610" t="s">
        <v>811</v>
      </c>
      <c r="B306" s="610" t="s">
        <v>1250</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1630</v>
      </c>
      <c r="AM306" s="753">
        <f t="shared" si="15"/>
        <v>15.78</v>
      </c>
    </row>
    <row r="307" spans="1:39" s="566" customFormat="1">
      <c r="A307" s="610" t="s">
        <v>812</v>
      </c>
      <c r="B307" s="610" t="s">
        <v>1251</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1252</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1631</v>
      </c>
      <c r="AM308" s="753">
        <f t="shared" si="15"/>
        <v>11.52</v>
      </c>
    </row>
    <row r="309" spans="1:39" s="566" customFormat="1">
      <c r="A309" s="610" t="s">
        <v>813</v>
      </c>
      <c r="B309" s="610" t="s">
        <v>1253</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1632</v>
      </c>
      <c r="AM309" s="753">
        <f t="shared" si="15"/>
        <v>5.18</v>
      </c>
    </row>
    <row r="310" spans="1:39" s="566" customFormat="1">
      <c r="A310" s="610" t="s">
        <v>814</v>
      </c>
      <c r="B310" s="610" t="s">
        <v>1254</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1255</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1633</v>
      </c>
      <c r="AM311" s="753">
        <f t="shared" si="15"/>
        <v>73.5</v>
      </c>
    </row>
    <row r="312" spans="1:39" s="566" customFormat="1">
      <c r="A312" s="610" t="s">
        <v>815</v>
      </c>
      <c r="B312" s="610" t="s">
        <v>1256</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1257</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1634</v>
      </c>
      <c r="AM313" s="753">
        <f t="shared" si="15"/>
        <v>15.8</v>
      </c>
    </row>
    <row r="314" spans="1:39" s="566" customFormat="1">
      <c r="A314" s="610" t="s">
        <v>816</v>
      </c>
      <c r="B314" s="610" t="s">
        <v>1258</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1635</v>
      </c>
      <c r="AM314" s="753">
        <f t="shared" si="15"/>
        <v>27.62</v>
      </c>
    </row>
    <row r="315" spans="1:39" s="566" customFormat="1">
      <c r="A315" s="610" t="s">
        <v>817</v>
      </c>
      <c r="B315" s="610" t="s">
        <v>1259</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1636</v>
      </c>
      <c r="AM315" s="753">
        <f t="shared" si="15"/>
        <v>30.2</v>
      </c>
    </row>
    <row r="316" spans="1:39" s="566" customFormat="1">
      <c r="A316" s="610" t="s">
        <v>818</v>
      </c>
      <c r="B316" s="610" t="s">
        <v>1260</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1197</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1637</v>
      </c>
      <c r="AM317" s="753">
        <f t="shared" si="15"/>
        <v>90.78</v>
      </c>
    </row>
    <row r="318" spans="1:39" s="566" customFormat="1">
      <c r="A318" s="610" t="s">
        <v>819</v>
      </c>
      <c r="B318" s="610" t="s">
        <v>1261</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1638</v>
      </c>
      <c r="AM318" s="753">
        <f t="shared" si="15"/>
        <v>29.18</v>
      </c>
    </row>
    <row r="319" spans="1:39" s="566" customFormat="1">
      <c r="A319" s="610" t="s">
        <v>820</v>
      </c>
      <c r="B319" s="610" t="s">
        <v>1262</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821</v>
      </c>
      <c r="B320" s="613" t="s">
        <v>1263</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1639</v>
      </c>
      <c r="AM320" s="753">
        <f t="shared" si="15"/>
        <v>6.3</v>
      </c>
    </row>
    <row r="321" spans="1:39" s="566" customFormat="1">
      <c r="A321" s="610" t="s">
        <v>822</v>
      </c>
      <c r="B321" s="610" t="s">
        <v>1264</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823</v>
      </c>
      <c r="B322" s="613" t="s">
        <v>1265</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1640</v>
      </c>
      <c r="AM322" s="753">
        <f t="shared" si="15"/>
        <v>9</v>
      </c>
    </row>
    <row r="323" spans="1:39" s="566" customFormat="1">
      <c r="A323" s="610" t="s">
        <v>824</v>
      </c>
      <c r="B323" s="610" t="s">
        <v>1266</v>
      </c>
      <c r="C323" s="620" t="s">
        <v>1450</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1617</v>
      </c>
      <c r="AM323" s="753">
        <f t="shared" si="15"/>
        <v>3</v>
      </c>
    </row>
    <row r="324" spans="1:39" s="566" customFormat="1">
      <c r="A324" s="610" t="s">
        <v>825</v>
      </c>
      <c r="B324" s="610" t="s">
        <v>1267</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826</v>
      </c>
      <c r="B325" s="613" t="s">
        <v>1268</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1641</v>
      </c>
      <c r="AM325" s="753">
        <f t="shared" si="15"/>
        <v>19.149999999999999</v>
      </c>
    </row>
    <row r="326" spans="1:39" s="566" customFormat="1">
      <c r="A326" s="610" t="s">
        <v>827</v>
      </c>
      <c r="B326" s="610" t="s">
        <v>1269</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1642</v>
      </c>
      <c r="AM326" s="753">
        <f t="shared" si="15"/>
        <v>1.5</v>
      </c>
    </row>
    <row r="327" spans="1:39" s="566" customFormat="1">
      <c r="A327" s="610" t="s">
        <v>828</v>
      </c>
      <c r="B327" s="610" t="s">
        <v>1270</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829</v>
      </c>
      <c r="B328" s="613" t="s">
        <v>1271</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1627</v>
      </c>
      <c r="AM328" s="753">
        <f t="shared" si="15"/>
        <v>90.62</v>
      </c>
    </row>
    <row r="329" spans="1:39" s="566" customFormat="1">
      <c r="A329" s="610" t="s">
        <v>830</v>
      </c>
      <c r="B329" s="610" t="s">
        <v>1272</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1620</v>
      </c>
      <c r="AM329" s="753">
        <f t="shared" si="15"/>
        <v>123.1</v>
      </c>
    </row>
    <row r="330" spans="1:39" s="566" customFormat="1">
      <c r="A330" s="610" t="s">
        <v>831</v>
      </c>
      <c r="B330" s="610" t="s">
        <v>1273</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1621</v>
      </c>
      <c r="AM330" s="753">
        <f t="shared" si="15"/>
        <v>54.38</v>
      </c>
    </row>
    <row r="331" spans="1:39" s="566" customFormat="1">
      <c r="A331" s="610" t="s">
        <v>832</v>
      </c>
      <c r="B331" s="610" t="s">
        <v>1274</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1622</v>
      </c>
      <c r="AM331" s="753">
        <f t="shared" si="15"/>
        <v>34.44</v>
      </c>
    </row>
    <row r="332" spans="1:39" s="566" customFormat="1">
      <c r="A332" s="610" t="s">
        <v>833</v>
      </c>
      <c r="B332" s="610" t="s">
        <v>1275</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1623</v>
      </c>
      <c r="AM332" s="753">
        <f t="shared" si="15"/>
        <v>30.39</v>
      </c>
    </row>
    <row r="333" spans="1:39" s="566" customFormat="1">
      <c r="A333" s="610" t="s">
        <v>834</v>
      </c>
      <c r="B333" s="610" t="s">
        <v>1276</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1634</v>
      </c>
      <c r="AM333" s="753">
        <f t="shared" si="15"/>
        <v>15.8</v>
      </c>
    </row>
    <row r="334" spans="1:39" s="566" customFormat="1">
      <c r="A334" s="610" t="s">
        <v>835</v>
      </c>
      <c r="B334" s="610" t="s">
        <v>1277</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1643</v>
      </c>
      <c r="AM334" s="753">
        <f t="shared" ref="AM334:AM397" si="18">AL334-AK334</f>
        <v>12.6</v>
      </c>
    </row>
    <row r="335" spans="1:39" s="566" customFormat="1">
      <c r="A335" s="610" t="s">
        <v>836</v>
      </c>
      <c r="B335" s="610" t="s">
        <v>1278</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837</v>
      </c>
      <c r="B336" s="613" t="s">
        <v>1279</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1640</v>
      </c>
      <c r="AM336" s="753">
        <f t="shared" si="18"/>
        <v>9</v>
      </c>
    </row>
    <row r="337" spans="1:39" s="566" customFormat="1">
      <c r="A337" s="610" t="s">
        <v>838</v>
      </c>
      <c r="B337" s="610" t="s">
        <v>1280</v>
      </c>
      <c r="C337" s="620" t="s">
        <v>1449</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1454</v>
      </c>
      <c r="AM337" s="753">
        <f t="shared" si="18"/>
        <v>1</v>
      </c>
    </row>
    <row r="338" spans="1:39" s="566" customFormat="1">
      <c r="A338" s="610" t="s">
        <v>839</v>
      </c>
      <c r="B338" s="610" t="s">
        <v>1281</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1644</v>
      </c>
      <c r="AM338" s="753">
        <f t="shared" si="18"/>
        <v>21.02</v>
      </c>
    </row>
    <row r="339" spans="1:39" s="566" customFormat="1">
      <c r="A339" s="610" t="s">
        <v>840</v>
      </c>
      <c r="B339" s="610" t="s">
        <v>1282</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474</v>
      </c>
      <c r="B340" s="911" t="s">
        <v>1283</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475</v>
      </c>
      <c r="B341" s="927" t="s">
        <v>1235</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1645</v>
      </c>
      <c r="AM341" s="823">
        <f t="shared" si="18"/>
        <v>73.59</v>
      </c>
    </row>
    <row r="342" spans="1:39" s="824" customFormat="1">
      <c r="A342" s="814" t="s">
        <v>841</v>
      </c>
      <c r="B342" s="814" t="s">
        <v>1236</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1646</v>
      </c>
      <c r="AM342" s="823">
        <f t="shared" si="18"/>
        <v>6.44</v>
      </c>
    </row>
    <row r="343" spans="1:39" s="824" customFormat="1">
      <c r="A343" s="814" t="s">
        <v>842</v>
      </c>
      <c r="B343" s="814" t="s">
        <v>1237</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476</v>
      </c>
      <c r="B344" s="613" t="s">
        <v>1238</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1647</v>
      </c>
      <c r="AM344" s="753">
        <f t="shared" si="18"/>
        <v>99.99</v>
      </c>
    </row>
    <row r="345" spans="1:39" s="566" customFormat="1">
      <c r="A345" s="610" t="s">
        <v>843</v>
      </c>
      <c r="B345" s="610" t="s">
        <v>1239</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1648</v>
      </c>
      <c r="AM345" s="753">
        <f t="shared" si="18"/>
        <v>60.07</v>
      </c>
    </row>
    <row r="346" spans="1:39" s="566" customFormat="1">
      <c r="A346" s="610" t="s">
        <v>844</v>
      </c>
      <c r="B346" s="610" t="s">
        <v>1240</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1649</v>
      </c>
      <c r="AM346" s="753">
        <f t="shared" si="18"/>
        <v>33.6</v>
      </c>
    </row>
    <row r="347" spans="1:39" s="566" customFormat="1">
      <c r="A347" s="610" t="s">
        <v>845</v>
      </c>
      <c r="B347" s="610" t="s">
        <v>1241</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1650</v>
      </c>
      <c r="AM347" s="753">
        <f t="shared" si="18"/>
        <v>27.42</v>
      </c>
    </row>
    <row r="348" spans="1:39" s="566" customFormat="1">
      <c r="A348" s="610" t="s">
        <v>846</v>
      </c>
      <c r="B348" s="610" t="s">
        <v>1242</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1651</v>
      </c>
      <c r="AM348" s="753">
        <f t="shared" si="18"/>
        <v>79.459999999999994</v>
      </c>
    </row>
    <row r="349" spans="1:39" s="566" customFormat="1">
      <c r="A349" s="610" t="s">
        <v>847</v>
      </c>
      <c r="B349" s="610" t="s">
        <v>1243</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1652</v>
      </c>
      <c r="AM349" s="753">
        <f t="shared" si="18"/>
        <v>80.02</v>
      </c>
    </row>
    <row r="350" spans="1:39" s="566" customFormat="1">
      <c r="A350" s="610" t="s">
        <v>848</v>
      </c>
      <c r="B350" s="610" t="s">
        <v>1244</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1653</v>
      </c>
      <c r="AM350" s="753">
        <f t="shared" si="18"/>
        <v>245.52</v>
      </c>
    </row>
    <row r="351" spans="1:39" s="566" customFormat="1">
      <c r="A351" s="610" t="s">
        <v>849</v>
      </c>
      <c r="B351" s="610" t="s">
        <v>1245</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477</v>
      </c>
      <c r="B352" s="613" t="s">
        <v>1246</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1654</v>
      </c>
      <c r="AM352" s="753">
        <f t="shared" si="18"/>
        <v>65.92</v>
      </c>
    </row>
    <row r="353" spans="1:39" s="566" customFormat="1">
      <c r="A353" s="610" t="s">
        <v>850</v>
      </c>
      <c r="B353" s="610" t="s">
        <v>1247</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478</v>
      </c>
      <c r="B354" s="927" t="s">
        <v>1248</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1655</v>
      </c>
      <c r="AM354" s="823">
        <f t="shared" si="18"/>
        <v>57.88</v>
      </c>
    </row>
    <row r="355" spans="1:39" s="824" customFormat="1">
      <c r="A355" s="814" t="s">
        <v>851</v>
      </c>
      <c r="B355" s="814" t="s">
        <v>1249</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1656</v>
      </c>
      <c r="AM355" s="823">
        <f t="shared" si="18"/>
        <v>40.200000000000003</v>
      </c>
    </row>
    <row r="356" spans="1:39" s="566" customFormat="1">
      <c r="A356" s="610" t="s">
        <v>852</v>
      </c>
      <c r="B356" s="610" t="s">
        <v>1284</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1657</v>
      </c>
      <c r="AM356" s="753">
        <f t="shared" si="18"/>
        <v>5.72</v>
      </c>
    </row>
    <row r="357" spans="1:39" s="566" customFormat="1">
      <c r="A357" s="610" t="s">
        <v>853</v>
      </c>
      <c r="B357" s="610" t="s">
        <v>1250</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1658</v>
      </c>
      <c r="AM357" s="753">
        <f t="shared" si="18"/>
        <v>11.96</v>
      </c>
    </row>
    <row r="358" spans="1:39" s="566" customFormat="1">
      <c r="A358" s="610" t="s">
        <v>854</v>
      </c>
      <c r="B358" s="610" t="s">
        <v>1251</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479</v>
      </c>
      <c r="B359" s="613" t="s">
        <v>1255</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1659</v>
      </c>
      <c r="AM359" s="753">
        <f t="shared" si="18"/>
        <v>55.35</v>
      </c>
    </row>
    <row r="360" spans="1:39" s="566" customFormat="1">
      <c r="A360" s="610" t="s">
        <v>855</v>
      </c>
      <c r="B360" s="610" t="s">
        <v>1256</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480</v>
      </c>
      <c r="B361" s="613" t="s">
        <v>1257</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1634</v>
      </c>
      <c r="AM361" s="753">
        <f t="shared" si="18"/>
        <v>15.8</v>
      </c>
    </row>
    <row r="362" spans="1:39" s="566" customFormat="1">
      <c r="A362" s="610" t="s">
        <v>856</v>
      </c>
      <c r="B362" s="610" t="s">
        <v>1258</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1660</v>
      </c>
      <c r="AM362" s="753">
        <f t="shared" si="18"/>
        <v>29.4</v>
      </c>
    </row>
    <row r="363" spans="1:39" s="566" customFormat="1">
      <c r="A363" s="610" t="s">
        <v>857</v>
      </c>
      <c r="B363" s="610" t="s">
        <v>1285</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1661</v>
      </c>
      <c r="AM363" s="753">
        <f t="shared" si="18"/>
        <v>9.6</v>
      </c>
    </row>
    <row r="364" spans="1:39" s="566" customFormat="1">
      <c r="A364" s="610" t="s">
        <v>858</v>
      </c>
      <c r="B364" s="610" t="s">
        <v>1260</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1662</v>
      </c>
      <c r="AM364" s="753">
        <f t="shared" si="18"/>
        <v>23.08</v>
      </c>
    </row>
    <row r="365" spans="1:39" s="566" customFormat="1">
      <c r="A365" s="610" t="s">
        <v>859</v>
      </c>
      <c r="B365" s="610" t="s">
        <v>1286</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481</v>
      </c>
      <c r="B366" s="613" t="s">
        <v>1197</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1663</v>
      </c>
      <c r="AM366" s="753">
        <f t="shared" si="18"/>
        <v>48.24</v>
      </c>
    </row>
    <row r="367" spans="1:39" s="566" customFormat="1">
      <c r="A367" s="610" t="s">
        <v>860</v>
      </c>
      <c r="B367" s="610" t="s">
        <v>1261</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1664</v>
      </c>
      <c r="AM367" s="753">
        <f t="shared" si="18"/>
        <v>34.880000000000003</v>
      </c>
    </row>
    <row r="368" spans="1:39" s="566" customFormat="1">
      <c r="A368" s="610" t="s">
        <v>861</v>
      </c>
      <c r="B368" s="610" t="s">
        <v>1262</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1665</v>
      </c>
      <c r="AM368" s="753">
        <f t="shared" si="18"/>
        <v>22.97</v>
      </c>
    </row>
    <row r="369" spans="1:39" s="566" customFormat="1">
      <c r="A369" s="610" t="s">
        <v>862</v>
      </c>
      <c r="B369" s="610" t="s">
        <v>1287</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482</v>
      </c>
      <c r="B370" s="613" t="s">
        <v>1263</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1666</v>
      </c>
      <c r="AM370" s="753">
        <f t="shared" si="18"/>
        <v>5.88</v>
      </c>
    </row>
    <row r="371" spans="1:39" s="566" customFormat="1">
      <c r="A371" s="610" t="s">
        <v>863</v>
      </c>
      <c r="B371" s="610" t="s">
        <v>1288</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1667</v>
      </c>
      <c r="AM371" s="753">
        <f t="shared" si="18"/>
        <v>1.68</v>
      </c>
    </row>
    <row r="372" spans="1:39" s="566" customFormat="1">
      <c r="A372" s="610" t="s">
        <v>864</v>
      </c>
      <c r="B372" s="610" t="s">
        <v>1289</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865</v>
      </c>
      <c r="B373" s="613" t="s">
        <v>1290</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1668</v>
      </c>
      <c r="AM373" s="753">
        <f t="shared" si="18"/>
        <v>9.24</v>
      </c>
    </row>
    <row r="374" spans="1:39" s="566" customFormat="1">
      <c r="A374" s="610" t="s">
        <v>866</v>
      </c>
      <c r="B374" s="610" t="s">
        <v>1291</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867</v>
      </c>
      <c r="B375" s="613" t="s">
        <v>1265</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1669</v>
      </c>
      <c r="AM375" s="753">
        <f t="shared" si="18"/>
        <v>20</v>
      </c>
    </row>
    <row r="376" spans="1:39" s="566" customFormat="1">
      <c r="A376" s="610" t="s">
        <v>868</v>
      </c>
      <c r="B376" s="610" t="s">
        <v>1266</v>
      </c>
      <c r="C376" s="620" t="s">
        <v>1450</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1670</v>
      </c>
      <c r="AM376" s="753">
        <f t="shared" si="18"/>
        <v>4</v>
      </c>
    </row>
    <row r="377" spans="1:39" s="566" customFormat="1">
      <c r="A377" s="610" t="s">
        <v>869</v>
      </c>
      <c r="B377" s="610" t="s">
        <v>1267</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1670</v>
      </c>
      <c r="AM377" s="753">
        <f t="shared" si="18"/>
        <v>4</v>
      </c>
    </row>
    <row r="378" spans="1:39" s="566" customFormat="1">
      <c r="A378" s="610" t="s">
        <v>870</v>
      </c>
      <c r="B378" s="610" t="s">
        <v>1292</v>
      </c>
      <c r="C378" s="620" t="s">
        <v>1450</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871</v>
      </c>
      <c r="B379" s="613" t="s">
        <v>1268</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1671</v>
      </c>
      <c r="AM379" s="753">
        <f t="shared" si="18"/>
        <v>18.09</v>
      </c>
    </row>
    <row r="380" spans="1:39" s="566" customFormat="1">
      <c r="A380" s="610" t="s">
        <v>872</v>
      </c>
      <c r="B380" s="610" t="s">
        <v>1269</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1672</v>
      </c>
      <c r="AM380" s="753">
        <f t="shared" si="18"/>
        <v>1.75</v>
      </c>
    </row>
    <row r="381" spans="1:39" s="566" customFormat="1">
      <c r="A381" s="610" t="s">
        <v>873</v>
      </c>
      <c r="B381" s="610" t="s">
        <v>1270</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874</v>
      </c>
      <c r="B382" s="613" t="s">
        <v>1271</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1654</v>
      </c>
      <c r="AM382" s="753">
        <f t="shared" si="18"/>
        <v>65.92</v>
      </c>
    </row>
    <row r="383" spans="1:39" s="566" customFormat="1">
      <c r="A383" s="610" t="s">
        <v>875</v>
      </c>
      <c r="B383" s="610" t="s">
        <v>1272</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1647</v>
      </c>
      <c r="AM383" s="753">
        <f t="shared" si="18"/>
        <v>99.99</v>
      </c>
    </row>
    <row r="384" spans="1:39" s="566" customFormat="1">
      <c r="A384" s="610" t="s">
        <v>876</v>
      </c>
      <c r="B384" s="610" t="s">
        <v>1273</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1648</v>
      </c>
      <c r="AM384" s="753">
        <f t="shared" si="18"/>
        <v>60.07</v>
      </c>
    </row>
    <row r="385" spans="1:39" s="566" customFormat="1">
      <c r="A385" s="610" t="s">
        <v>877</v>
      </c>
      <c r="B385" s="610" t="s">
        <v>1274</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1649</v>
      </c>
      <c r="AM385" s="753">
        <f t="shared" si="18"/>
        <v>33.6</v>
      </c>
    </row>
    <row r="386" spans="1:39" s="566" customFormat="1">
      <c r="A386" s="610" t="s">
        <v>878</v>
      </c>
      <c r="B386" s="610" t="s">
        <v>1275</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1650</v>
      </c>
      <c r="AM386" s="753">
        <f t="shared" si="18"/>
        <v>27.42</v>
      </c>
    </row>
    <row r="387" spans="1:39" s="566" customFormat="1">
      <c r="A387" s="610" t="s">
        <v>879</v>
      </c>
      <c r="B387" s="610" t="s">
        <v>1276</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1634</v>
      </c>
      <c r="AM387" s="753">
        <f t="shared" si="18"/>
        <v>15.8</v>
      </c>
    </row>
    <row r="388" spans="1:39" s="566" customFormat="1">
      <c r="A388" s="610" t="s">
        <v>880</v>
      </c>
      <c r="B388" s="610" t="s">
        <v>1277</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1673</v>
      </c>
      <c r="AM388" s="753">
        <f t="shared" si="18"/>
        <v>14.7</v>
      </c>
    </row>
    <row r="389" spans="1:39" s="566" customFormat="1">
      <c r="A389" s="610" t="s">
        <v>881</v>
      </c>
      <c r="B389" s="610" t="s">
        <v>1278</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882</v>
      </c>
      <c r="B390" s="613" t="s">
        <v>1279</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1674</v>
      </c>
      <c r="AM390" s="753">
        <f t="shared" si="18"/>
        <v>8</v>
      </c>
    </row>
    <row r="391" spans="1:39" s="566" customFormat="1">
      <c r="A391" s="610" t="s">
        <v>883</v>
      </c>
      <c r="B391" s="610" t="s">
        <v>1280</v>
      </c>
      <c r="C391" s="620" t="s">
        <v>1449</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1454</v>
      </c>
      <c r="AM391" s="753">
        <f t="shared" si="18"/>
        <v>1</v>
      </c>
    </row>
    <row r="392" spans="1:39" s="566" customFormat="1">
      <c r="A392" s="610" t="s">
        <v>884</v>
      </c>
      <c r="B392" s="610" t="s">
        <v>1281</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1675</v>
      </c>
      <c r="AM392" s="753">
        <f t="shared" si="18"/>
        <v>19.84</v>
      </c>
    </row>
    <row r="393" spans="1:39" s="566" customFormat="1">
      <c r="A393" s="610" t="s">
        <v>885</v>
      </c>
      <c r="B393" s="610" t="s">
        <v>1282</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483</v>
      </c>
      <c r="B394" s="614" t="s">
        <v>1154</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484</v>
      </c>
      <c r="B395" s="613" t="s">
        <v>1235</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1676</v>
      </c>
      <c r="AM395" s="753">
        <f t="shared" si="18"/>
        <v>45.75</v>
      </c>
    </row>
    <row r="396" spans="1:39" s="566" customFormat="1">
      <c r="A396" s="610" t="s">
        <v>886</v>
      </c>
      <c r="B396" s="610" t="s">
        <v>1236</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1677</v>
      </c>
      <c r="AM396" s="753">
        <f t="shared" si="18"/>
        <v>18.920000000000002</v>
      </c>
    </row>
    <row r="397" spans="1:39" s="566" customFormat="1">
      <c r="A397" s="610" t="s">
        <v>887</v>
      </c>
      <c r="B397" s="610" t="s">
        <v>1237</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485</v>
      </c>
      <c r="B398" s="613" t="s">
        <v>1238</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1678</v>
      </c>
      <c r="AM398" s="753">
        <f t="shared" ref="AM398:AM461" si="21">AL398-AK398</f>
        <v>83.58</v>
      </c>
    </row>
    <row r="399" spans="1:39" s="566" customFormat="1">
      <c r="A399" s="610" t="s">
        <v>888</v>
      </c>
      <c r="B399" s="610" t="s">
        <v>1239</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1676</v>
      </c>
      <c r="AM399" s="753">
        <f t="shared" si="21"/>
        <v>45.75</v>
      </c>
    </row>
    <row r="400" spans="1:39" s="566" customFormat="1">
      <c r="A400" s="610" t="s">
        <v>889</v>
      </c>
      <c r="B400" s="610" t="s">
        <v>1240</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1679</v>
      </c>
      <c r="AM400" s="753">
        <f t="shared" si="21"/>
        <v>12.95</v>
      </c>
    </row>
    <row r="401" spans="1:39" s="566" customFormat="1">
      <c r="A401" s="610" t="s">
        <v>890</v>
      </c>
      <c r="B401" s="610" t="s">
        <v>1241</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1680</v>
      </c>
      <c r="AM401" s="753">
        <f t="shared" si="21"/>
        <v>24.87</v>
      </c>
    </row>
    <row r="402" spans="1:39" s="566" customFormat="1">
      <c r="A402" s="610" t="s">
        <v>891</v>
      </c>
      <c r="B402" s="610" t="s">
        <v>1242</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1681</v>
      </c>
      <c r="AM402" s="753">
        <f t="shared" si="21"/>
        <v>17.22</v>
      </c>
    </row>
    <row r="403" spans="1:39" s="566" customFormat="1">
      <c r="A403" s="610" t="s">
        <v>892</v>
      </c>
      <c r="B403" s="610" t="s">
        <v>1243</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1682</v>
      </c>
      <c r="AM403" s="753">
        <f t="shared" si="21"/>
        <v>48.7</v>
      </c>
    </row>
    <row r="404" spans="1:39" s="566" customFormat="1">
      <c r="A404" s="610" t="s">
        <v>893</v>
      </c>
      <c r="B404" s="610" t="s">
        <v>1244</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1683</v>
      </c>
      <c r="AM404" s="753">
        <f t="shared" si="21"/>
        <v>172.48</v>
      </c>
    </row>
    <row r="405" spans="1:39" s="566" customFormat="1">
      <c r="A405" s="610" t="s">
        <v>894</v>
      </c>
      <c r="B405" s="610" t="s">
        <v>1245</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486</v>
      </c>
      <c r="B406" s="613" t="s">
        <v>1246</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1684</v>
      </c>
      <c r="AM406" s="753">
        <f t="shared" si="21"/>
        <v>38.24</v>
      </c>
    </row>
    <row r="407" spans="1:39" s="566" customFormat="1">
      <c r="A407" s="610" t="s">
        <v>895</v>
      </c>
      <c r="B407" s="610" t="s">
        <v>1247</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896</v>
      </c>
      <c r="B408" s="613" t="s">
        <v>1248</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1685</v>
      </c>
      <c r="AM408" s="753">
        <f t="shared" si="21"/>
        <v>33.03</v>
      </c>
    </row>
    <row r="409" spans="1:39" s="566" customFormat="1">
      <c r="A409" s="610" t="s">
        <v>897</v>
      </c>
      <c r="B409" s="610" t="s">
        <v>1249</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1686</v>
      </c>
      <c r="AM409" s="753">
        <f t="shared" si="21"/>
        <v>30.08</v>
      </c>
    </row>
    <row r="410" spans="1:39" s="566" customFormat="1">
      <c r="A410" s="610" t="s">
        <v>898</v>
      </c>
      <c r="B410" s="610" t="s">
        <v>1250</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1687</v>
      </c>
      <c r="AM410" s="753">
        <f t="shared" si="21"/>
        <v>2.95</v>
      </c>
    </row>
    <row r="411" spans="1:39" s="566" customFormat="1">
      <c r="A411" s="610" t="s">
        <v>899</v>
      </c>
      <c r="B411" s="610" t="s">
        <v>1251</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900</v>
      </c>
      <c r="B412" s="613" t="s">
        <v>1252</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1688</v>
      </c>
      <c r="AM412" s="753">
        <f t="shared" si="21"/>
        <v>6.15</v>
      </c>
    </row>
    <row r="413" spans="1:39" s="566" customFormat="1">
      <c r="A413" s="610" t="s">
        <v>901</v>
      </c>
      <c r="B413" s="610" t="s">
        <v>1293</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1689</v>
      </c>
      <c r="AM413" s="753">
        <f t="shared" si="21"/>
        <v>2.77</v>
      </c>
    </row>
    <row r="414" spans="1:39" s="566" customFormat="1">
      <c r="A414" s="610" t="s">
        <v>902</v>
      </c>
      <c r="B414" s="610" t="s">
        <v>1254</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903</v>
      </c>
      <c r="B415" s="613" t="s">
        <v>1255</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1690</v>
      </c>
      <c r="AM415" s="753">
        <f t="shared" si="21"/>
        <v>8.3000000000000007</v>
      </c>
    </row>
    <row r="416" spans="1:39" s="566" customFormat="1">
      <c r="A416" s="610" t="s">
        <v>904</v>
      </c>
      <c r="B416" s="610" t="s">
        <v>1256</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905</v>
      </c>
      <c r="B417" s="610" t="s">
        <v>1257</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1691</v>
      </c>
      <c r="AM417" s="753">
        <f t="shared" si="21"/>
        <v>6.66</v>
      </c>
    </row>
    <row r="418" spans="1:39" s="566" customFormat="1">
      <c r="A418" s="610" t="s">
        <v>906</v>
      </c>
      <c r="B418" s="610" t="s">
        <v>1258</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1692</v>
      </c>
      <c r="AM418" s="753">
        <f t="shared" si="21"/>
        <v>7.76</v>
      </c>
    </row>
    <row r="419" spans="1:39" s="566" customFormat="1">
      <c r="A419" s="610" t="s">
        <v>907</v>
      </c>
      <c r="B419" s="610" t="s">
        <v>1285</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1693</v>
      </c>
      <c r="AM419" s="753">
        <f t="shared" si="21"/>
        <v>25.31</v>
      </c>
    </row>
    <row r="420" spans="1:39" s="566" customFormat="1">
      <c r="A420" s="610" t="s">
        <v>908</v>
      </c>
      <c r="B420" s="610" t="s">
        <v>1260</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909</v>
      </c>
      <c r="B421" s="613" t="s">
        <v>1197</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1694</v>
      </c>
      <c r="AM421" s="753">
        <f t="shared" si="21"/>
        <v>34.93</v>
      </c>
    </row>
    <row r="422" spans="1:39" s="566" customFormat="1">
      <c r="A422" s="610" t="s">
        <v>910</v>
      </c>
      <c r="B422" s="610" t="s">
        <v>1261</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1688</v>
      </c>
      <c r="AM422" s="753">
        <f t="shared" si="21"/>
        <v>6.15</v>
      </c>
    </row>
    <row r="423" spans="1:39" s="566" customFormat="1">
      <c r="A423" s="610" t="s">
        <v>911</v>
      </c>
      <c r="B423" s="610" t="s">
        <v>1262</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912</v>
      </c>
      <c r="B424" s="613" t="s">
        <v>1263</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1695</v>
      </c>
      <c r="AM424" s="753">
        <f t="shared" si="21"/>
        <v>3.78</v>
      </c>
    </row>
    <row r="425" spans="1:39" s="566" customFormat="1">
      <c r="A425" s="610" t="s">
        <v>913</v>
      </c>
      <c r="B425" s="610" t="s">
        <v>1264</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1696</v>
      </c>
      <c r="AM425" s="753">
        <f t="shared" si="21"/>
        <v>1.47</v>
      </c>
    </row>
    <row r="426" spans="1:39" s="566" customFormat="1">
      <c r="A426" s="610" t="s">
        <v>914</v>
      </c>
      <c r="B426" s="610" t="s">
        <v>1294</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915</v>
      </c>
      <c r="B427" s="613" t="s">
        <v>1265</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1640</v>
      </c>
      <c r="AM427" s="753">
        <f t="shared" si="21"/>
        <v>9</v>
      </c>
    </row>
    <row r="428" spans="1:39" s="566" customFormat="1">
      <c r="A428" s="610" t="s">
        <v>916</v>
      </c>
      <c r="B428" s="610" t="s">
        <v>1266</v>
      </c>
      <c r="C428" s="620" t="s">
        <v>1450</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1697</v>
      </c>
      <c r="AM428" s="753">
        <f t="shared" si="21"/>
        <v>2</v>
      </c>
    </row>
    <row r="429" spans="1:39" s="566" customFormat="1">
      <c r="A429" s="610" t="s">
        <v>917</v>
      </c>
      <c r="B429" s="610" t="s">
        <v>1267</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1454</v>
      </c>
      <c r="AM429" s="753">
        <f t="shared" si="21"/>
        <v>1</v>
      </c>
    </row>
    <row r="430" spans="1:39" s="566" customFormat="1">
      <c r="A430" s="610" t="s">
        <v>918</v>
      </c>
      <c r="B430" s="610" t="s">
        <v>1295</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919</v>
      </c>
      <c r="B431" s="613" t="s">
        <v>1268</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1698</v>
      </c>
      <c r="AM431" s="753">
        <f t="shared" si="21"/>
        <v>7.54</v>
      </c>
    </row>
    <row r="432" spans="1:39" s="566" customFormat="1">
      <c r="A432" s="610" t="s">
        <v>920</v>
      </c>
      <c r="B432" s="610" t="s">
        <v>1269</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1699</v>
      </c>
      <c r="AM432" s="753">
        <f t="shared" si="21"/>
        <v>1.25</v>
      </c>
    </row>
    <row r="433" spans="1:39" s="566" customFormat="1">
      <c r="A433" s="610" t="s">
        <v>921</v>
      </c>
      <c r="B433" s="610" t="s">
        <v>1270</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922</v>
      </c>
      <c r="B434" s="613" t="s">
        <v>1271</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1684</v>
      </c>
      <c r="AM434" s="753">
        <f t="shared" si="21"/>
        <v>38.24</v>
      </c>
    </row>
    <row r="435" spans="1:39" s="566" customFormat="1">
      <c r="A435" s="610" t="s">
        <v>923</v>
      </c>
      <c r="B435" s="610" t="s">
        <v>1272</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1678</v>
      </c>
      <c r="AM435" s="753">
        <f t="shared" si="21"/>
        <v>83.58</v>
      </c>
    </row>
    <row r="436" spans="1:39" s="566" customFormat="1">
      <c r="A436" s="610" t="s">
        <v>924</v>
      </c>
      <c r="B436" s="610" t="s">
        <v>1273</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1676</v>
      </c>
      <c r="AM436" s="753">
        <f t="shared" si="21"/>
        <v>45.75</v>
      </c>
    </row>
    <row r="437" spans="1:39" s="566" customFormat="1">
      <c r="A437" s="610" t="s">
        <v>925</v>
      </c>
      <c r="B437" s="610" t="s">
        <v>1274</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1679</v>
      </c>
      <c r="AM437" s="753">
        <f t="shared" si="21"/>
        <v>12.95</v>
      </c>
    </row>
    <row r="438" spans="1:39" s="566" customFormat="1">
      <c r="A438" s="610" t="s">
        <v>926</v>
      </c>
      <c r="B438" s="610" t="s">
        <v>1275</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1680</v>
      </c>
      <c r="AM438" s="753">
        <f t="shared" si="21"/>
        <v>24.87</v>
      </c>
    </row>
    <row r="439" spans="1:39" s="566" customFormat="1">
      <c r="A439" s="610" t="s">
        <v>927</v>
      </c>
      <c r="B439" s="610" t="s">
        <v>1276</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1691</v>
      </c>
      <c r="AM439" s="753">
        <f t="shared" si="21"/>
        <v>6.66</v>
      </c>
    </row>
    <row r="440" spans="1:39" s="566" customFormat="1">
      <c r="A440" s="610" t="s">
        <v>928</v>
      </c>
      <c r="B440" s="610" t="s">
        <v>1277</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1700</v>
      </c>
      <c r="AM440" s="753">
        <f t="shared" si="21"/>
        <v>12.48</v>
      </c>
    </row>
    <row r="441" spans="1:39" s="566" customFormat="1">
      <c r="A441" s="610" t="s">
        <v>929</v>
      </c>
      <c r="B441" s="610" t="s">
        <v>1278</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930</v>
      </c>
      <c r="B442" s="613" t="s">
        <v>1279</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1454</v>
      </c>
      <c r="AM442" s="753">
        <f t="shared" si="21"/>
        <v>1</v>
      </c>
    </row>
    <row r="443" spans="1:39" s="566" customFormat="1">
      <c r="A443" s="610" t="s">
        <v>931</v>
      </c>
      <c r="B443" s="610" t="s">
        <v>1280</v>
      </c>
      <c r="C443" s="620" t="s">
        <v>1449</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1454</v>
      </c>
      <c r="AM443" s="753">
        <f t="shared" si="21"/>
        <v>1</v>
      </c>
    </row>
    <row r="444" spans="1:39" s="566" customFormat="1">
      <c r="A444" s="610" t="s">
        <v>932</v>
      </c>
      <c r="B444" s="610" t="s">
        <v>1281</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1701</v>
      </c>
      <c r="AM444" s="753">
        <f t="shared" si="21"/>
        <v>6.79</v>
      </c>
    </row>
    <row r="445" spans="1:39" s="566" customFormat="1">
      <c r="A445" s="610" t="s">
        <v>933</v>
      </c>
      <c r="B445" s="610" t="s">
        <v>1282</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517</v>
      </c>
      <c r="B446" s="614" t="s">
        <v>1296</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518</v>
      </c>
      <c r="B447" s="613" t="s">
        <v>1235</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1702</v>
      </c>
      <c r="AM447" s="753">
        <f t="shared" si="21"/>
        <v>56.66</v>
      </c>
    </row>
    <row r="448" spans="1:39" s="566" customFormat="1">
      <c r="A448" s="610" t="s">
        <v>519</v>
      </c>
      <c r="B448" s="610" t="s">
        <v>1236</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1703</v>
      </c>
      <c r="AM448" s="753">
        <f t="shared" si="21"/>
        <v>8.17</v>
      </c>
    </row>
    <row r="449" spans="1:39" s="566" customFormat="1">
      <c r="A449" s="610" t="s">
        <v>520</v>
      </c>
      <c r="B449" s="610" t="s">
        <v>1237</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521</v>
      </c>
      <c r="B450" s="613" t="s">
        <v>1238</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1704</v>
      </c>
      <c r="AM450" s="753">
        <f t="shared" si="21"/>
        <v>77.680000000000007</v>
      </c>
    </row>
    <row r="451" spans="1:39" s="566" customFormat="1">
      <c r="A451" s="610" t="s">
        <v>522</v>
      </c>
      <c r="B451" s="610" t="s">
        <v>1239</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1705</v>
      </c>
      <c r="AM451" s="753">
        <f t="shared" si="21"/>
        <v>51.98</v>
      </c>
    </row>
    <row r="452" spans="1:39" s="566" customFormat="1">
      <c r="A452" s="610" t="s">
        <v>934</v>
      </c>
      <c r="B452" s="610" t="s">
        <v>1240</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1706</v>
      </c>
      <c r="AM452" s="753">
        <f t="shared" si="21"/>
        <v>12</v>
      </c>
    </row>
    <row r="453" spans="1:39" s="566" customFormat="1">
      <c r="A453" s="610" t="s">
        <v>935</v>
      </c>
      <c r="B453" s="610" t="s">
        <v>1241</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1707</v>
      </c>
      <c r="AM453" s="753">
        <f t="shared" si="21"/>
        <v>19.97</v>
      </c>
    </row>
    <row r="454" spans="1:39" s="566" customFormat="1">
      <c r="A454" s="610" t="s">
        <v>936</v>
      </c>
      <c r="B454" s="610" t="s">
        <v>1242</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1708</v>
      </c>
      <c r="AM454" s="753">
        <f t="shared" si="21"/>
        <v>35.729999999999997</v>
      </c>
    </row>
    <row r="455" spans="1:39" s="566" customFormat="1">
      <c r="A455" s="610" t="s">
        <v>937</v>
      </c>
      <c r="B455" s="610" t="s">
        <v>1243</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1709</v>
      </c>
      <c r="AM455" s="753">
        <f t="shared" si="21"/>
        <v>35.9</v>
      </c>
    </row>
    <row r="456" spans="1:39" s="566" customFormat="1">
      <c r="A456" s="610" t="s">
        <v>938</v>
      </c>
      <c r="B456" s="610" t="s">
        <v>1244</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1710</v>
      </c>
      <c r="AM456" s="753">
        <f t="shared" si="21"/>
        <v>151.28</v>
      </c>
    </row>
    <row r="457" spans="1:39" s="566" customFormat="1">
      <c r="A457" s="610" t="s">
        <v>939</v>
      </c>
      <c r="B457" s="610" t="s">
        <v>1245</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523</v>
      </c>
      <c r="B458" s="613" t="s">
        <v>1246</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1711</v>
      </c>
      <c r="AM458" s="753">
        <f t="shared" si="21"/>
        <v>33.950000000000003</v>
      </c>
    </row>
    <row r="459" spans="1:39" s="566" customFormat="1">
      <c r="A459" s="610" t="s">
        <v>524</v>
      </c>
      <c r="B459" s="610" t="s">
        <v>1247</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940</v>
      </c>
      <c r="B460" s="613" t="s">
        <v>1248</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1712</v>
      </c>
      <c r="AM460" s="753">
        <f t="shared" si="21"/>
        <v>22.08</v>
      </c>
    </row>
    <row r="461" spans="1:39" s="566" customFormat="1">
      <c r="A461" s="610" t="s">
        <v>941</v>
      </c>
      <c r="B461" s="610" t="s">
        <v>1249</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1713</v>
      </c>
      <c r="AM461" s="753">
        <f t="shared" si="21"/>
        <v>12.13</v>
      </c>
    </row>
    <row r="462" spans="1:39" s="566" customFormat="1">
      <c r="A462" s="610" t="s">
        <v>942</v>
      </c>
      <c r="B462" s="610" t="s">
        <v>1250</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1714</v>
      </c>
      <c r="AM462" s="753">
        <f t="shared" ref="AM462:AM525" si="24">AL462-AK462</f>
        <v>9.9499999999999993</v>
      </c>
    </row>
    <row r="463" spans="1:39" s="566" customFormat="1">
      <c r="A463" s="610" t="s">
        <v>943</v>
      </c>
      <c r="B463" s="610" t="s">
        <v>1251</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944</v>
      </c>
      <c r="B464" s="613" t="s">
        <v>1255</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1715</v>
      </c>
      <c r="AM464" s="753">
        <f t="shared" si="24"/>
        <v>8.93</v>
      </c>
    </row>
    <row r="465" spans="1:39" s="566" customFormat="1">
      <c r="A465" s="610" t="s">
        <v>945</v>
      </c>
      <c r="B465" s="610" t="s">
        <v>1256</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946</v>
      </c>
      <c r="B466" s="613" t="s">
        <v>1257</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1716</v>
      </c>
      <c r="AM466" s="753">
        <f t="shared" si="24"/>
        <v>6.91</v>
      </c>
    </row>
    <row r="467" spans="1:39" s="566" customFormat="1">
      <c r="A467" s="610" t="s">
        <v>947</v>
      </c>
      <c r="B467" s="610" t="s">
        <v>1258</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1717</v>
      </c>
      <c r="AM467" s="753">
        <f t="shared" si="24"/>
        <v>8.86</v>
      </c>
    </row>
    <row r="468" spans="1:39" s="566" customFormat="1">
      <c r="A468" s="610" t="s">
        <v>948</v>
      </c>
      <c r="B468" s="610" t="s">
        <v>1285</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1718</v>
      </c>
      <c r="AM468" s="753">
        <f t="shared" si="24"/>
        <v>10.78</v>
      </c>
    </row>
    <row r="469" spans="1:39" s="566" customFormat="1">
      <c r="A469" s="610" t="s">
        <v>949</v>
      </c>
      <c r="B469" s="610" t="s">
        <v>1259</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1719</v>
      </c>
      <c r="AM469" s="753">
        <f t="shared" si="24"/>
        <v>14.4</v>
      </c>
    </row>
    <row r="470" spans="1:39" s="566" customFormat="1">
      <c r="A470" s="610" t="s">
        <v>950</v>
      </c>
      <c r="B470" s="610" t="s">
        <v>1260</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951</v>
      </c>
      <c r="B471" s="613" t="s">
        <v>1197</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1720</v>
      </c>
      <c r="AM471" s="753">
        <f t="shared" si="24"/>
        <v>21.28</v>
      </c>
    </row>
    <row r="472" spans="1:39" s="566" customFormat="1">
      <c r="A472" s="610" t="s">
        <v>952</v>
      </c>
      <c r="B472" s="610" t="s">
        <v>1261</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1688</v>
      </c>
      <c r="AM472" s="753">
        <f t="shared" si="24"/>
        <v>6.15</v>
      </c>
    </row>
    <row r="473" spans="1:39" s="566" customFormat="1">
      <c r="A473" s="610" t="s">
        <v>953</v>
      </c>
      <c r="B473" s="610" t="s">
        <v>1262</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954</v>
      </c>
      <c r="B474" s="613" t="s">
        <v>1263</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1721</v>
      </c>
      <c r="AM474" s="753">
        <f t="shared" si="24"/>
        <v>1.89</v>
      </c>
    </row>
    <row r="475" spans="1:39" s="566" customFormat="1">
      <c r="A475" s="610" t="s">
        <v>955</v>
      </c>
      <c r="B475" s="610" t="s">
        <v>1264</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1722</v>
      </c>
      <c r="AM475" s="753">
        <f t="shared" si="24"/>
        <v>3.15</v>
      </c>
    </row>
    <row r="476" spans="1:39" s="566" customFormat="1">
      <c r="A476" s="610" t="s">
        <v>956</v>
      </c>
      <c r="B476" s="610" t="s">
        <v>1294</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957</v>
      </c>
      <c r="B477" s="613" t="s">
        <v>1265</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1640</v>
      </c>
      <c r="AM477" s="753">
        <f t="shared" si="24"/>
        <v>9</v>
      </c>
    </row>
    <row r="478" spans="1:39" s="566" customFormat="1">
      <c r="A478" s="610" t="s">
        <v>958</v>
      </c>
      <c r="B478" s="610" t="s">
        <v>1266</v>
      </c>
      <c r="C478" s="620" t="s">
        <v>1450</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1454</v>
      </c>
      <c r="AM478" s="753">
        <f t="shared" si="24"/>
        <v>1</v>
      </c>
    </row>
    <row r="479" spans="1:39" s="566" customFormat="1">
      <c r="A479" s="610" t="s">
        <v>959</v>
      </c>
      <c r="B479" s="610" t="s">
        <v>1267</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1697</v>
      </c>
      <c r="AM479" s="753">
        <f t="shared" si="24"/>
        <v>2</v>
      </c>
    </row>
    <row r="480" spans="1:39" s="566" customFormat="1">
      <c r="A480" s="610" t="s">
        <v>960</v>
      </c>
      <c r="B480" s="610" t="s">
        <v>1295</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961</v>
      </c>
      <c r="B481" s="613" t="s">
        <v>1268</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1723</v>
      </c>
      <c r="AM481" s="753">
        <f t="shared" si="24"/>
        <v>4.96</v>
      </c>
    </row>
    <row r="482" spans="1:39" s="566" customFormat="1">
      <c r="A482" s="610" t="s">
        <v>962</v>
      </c>
      <c r="B482" s="610" t="s">
        <v>1269</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1487</v>
      </c>
      <c r="AM482" s="753">
        <f t="shared" si="24"/>
        <v>1.2</v>
      </c>
    </row>
    <row r="483" spans="1:39" s="566" customFormat="1">
      <c r="A483" s="610" t="s">
        <v>963</v>
      </c>
      <c r="B483" s="610" t="s">
        <v>1270</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964</v>
      </c>
      <c r="B484" s="613" t="s">
        <v>1271</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1711</v>
      </c>
      <c r="AM484" s="753">
        <f t="shared" si="24"/>
        <v>33.950000000000003</v>
      </c>
    </row>
    <row r="485" spans="1:39" s="566" customFormat="1">
      <c r="A485" s="610" t="s">
        <v>965</v>
      </c>
      <c r="B485" s="610" t="s">
        <v>1272</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1704</v>
      </c>
      <c r="AM485" s="753">
        <f t="shared" si="24"/>
        <v>77.680000000000007</v>
      </c>
    </row>
    <row r="486" spans="1:39" s="566" customFormat="1">
      <c r="A486" s="610" t="s">
        <v>966</v>
      </c>
      <c r="B486" s="610" t="s">
        <v>1273</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1705</v>
      </c>
      <c r="AM486" s="753">
        <f t="shared" si="24"/>
        <v>51.98</v>
      </c>
    </row>
    <row r="487" spans="1:39" s="566" customFormat="1">
      <c r="A487" s="610" t="s">
        <v>967</v>
      </c>
      <c r="B487" s="610" t="s">
        <v>1274</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1706</v>
      </c>
      <c r="AM487" s="753">
        <f t="shared" si="24"/>
        <v>12</v>
      </c>
    </row>
    <row r="488" spans="1:39" s="566" customFormat="1">
      <c r="A488" s="610" t="s">
        <v>968</v>
      </c>
      <c r="B488" s="610" t="s">
        <v>1275</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1707</v>
      </c>
      <c r="AM488" s="753">
        <f t="shared" si="24"/>
        <v>19.97</v>
      </c>
    </row>
    <row r="489" spans="1:39" s="566" customFormat="1">
      <c r="A489" s="610" t="s">
        <v>969</v>
      </c>
      <c r="B489" s="610" t="s">
        <v>1276</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1716</v>
      </c>
      <c r="AM489" s="753">
        <f t="shared" si="24"/>
        <v>6.91</v>
      </c>
    </row>
    <row r="490" spans="1:39" s="566" customFormat="1">
      <c r="A490" s="610" t="s">
        <v>970</v>
      </c>
      <c r="B490" s="610" t="s">
        <v>1277</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1724</v>
      </c>
      <c r="AM490" s="753">
        <f t="shared" si="24"/>
        <v>10.5</v>
      </c>
    </row>
    <row r="491" spans="1:39" s="566" customFormat="1">
      <c r="A491" s="610" t="s">
        <v>971</v>
      </c>
      <c r="B491" s="610" t="s">
        <v>1278</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972</v>
      </c>
      <c r="B492" s="613" t="s">
        <v>1279</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1725</v>
      </c>
      <c r="AM492" s="753">
        <f t="shared" si="24"/>
        <v>11</v>
      </c>
    </row>
    <row r="493" spans="1:39" s="566" customFormat="1">
      <c r="A493" s="610" t="s">
        <v>973</v>
      </c>
      <c r="B493" s="610" t="s">
        <v>1280</v>
      </c>
      <c r="C493" s="620" t="s">
        <v>1449</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1454</v>
      </c>
      <c r="AM493" s="753">
        <f t="shared" si="24"/>
        <v>1</v>
      </c>
    </row>
    <row r="494" spans="1:39" s="566" customFormat="1">
      <c r="A494" s="610" t="s">
        <v>974</v>
      </c>
      <c r="B494" s="610" t="s">
        <v>1281</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1726</v>
      </c>
      <c r="AM494" s="753">
        <f t="shared" si="24"/>
        <v>8.15</v>
      </c>
    </row>
    <row r="495" spans="1:39" s="566" customFormat="1">
      <c r="A495" s="610" t="s">
        <v>975</v>
      </c>
      <c r="B495" s="610" t="s">
        <v>1282</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525</v>
      </c>
      <c r="B496" s="911" t="s">
        <v>1297</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526</v>
      </c>
      <c r="B497" s="927" t="s">
        <v>1235</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1727</v>
      </c>
      <c r="AM497" s="823">
        <f t="shared" si="24"/>
        <v>239.98</v>
      </c>
    </row>
    <row r="498" spans="1:39" s="824" customFormat="1">
      <c r="A498" s="814" t="s">
        <v>527</v>
      </c>
      <c r="B498" s="814" t="s">
        <v>1298</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976</v>
      </c>
      <c r="B499" s="613" t="s">
        <v>1238</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1728</v>
      </c>
      <c r="AM499" s="753">
        <f t="shared" si="24"/>
        <v>117.85</v>
      </c>
    </row>
    <row r="500" spans="1:39" s="566" customFormat="1">
      <c r="A500" s="610" t="s">
        <v>977</v>
      </c>
      <c r="B500" s="610" t="s">
        <v>1299</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1729</v>
      </c>
      <c r="AM500" s="753">
        <f t="shared" si="24"/>
        <v>65.94</v>
      </c>
    </row>
    <row r="501" spans="1:39" s="566" customFormat="1">
      <c r="A501" s="610" t="s">
        <v>978</v>
      </c>
      <c r="B501" s="610" t="s">
        <v>1300</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1589</v>
      </c>
      <c r="AM501" s="753">
        <f t="shared" si="24"/>
        <v>49.66</v>
      </c>
    </row>
    <row r="502" spans="1:39" s="566" customFormat="1">
      <c r="A502" s="610" t="s">
        <v>979</v>
      </c>
      <c r="B502" s="610" t="s">
        <v>1301</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980</v>
      </c>
      <c r="B503" s="613" t="s">
        <v>1290</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1730</v>
      </c>
      <c r="AM503" s="753">
        <f t="shared" si="24"/>
        <v>7.98</v>
      </c>
    </row>
    <row r="504" spans="1:39" s="566" customFormat="1">
      <c r="A504" s="610" t="s">
        <v>981</v>
      </c>
      <c r="B504" s="610" t="s">
        <v>1302</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982</v>
      </c>
      <c r="B505" s="613" t="s">
        <v>1271</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1728</v>
      </c>
      <c r="AM505" s="753">
        <f t="shared" si="24"/>
        <v>117.85</v>
      </c>
    </row>
    <row r="506" spans="1:39" s="566" customFormat="1">
      <c r="A506" s="610" t="s">
        <v>983</v>
      </c>
      <c r="B506" s="610" t="s">
        <v>1303</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1729</v>
      </c>
      <c r="AM506" s="753">
        <f t="shared" si="24"/>
        <v>65.94</v>
      </c>
    </row>
    <row r="507" spans="1:39" s="566" customFormat="1">
      <c r="A507" s="610" t="s">
        <v>984</v>
      </c>
      <c r="B507" s="610" t="s">
        <v>1275</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1589</v>
      </c>
      <c r="AM507" s="753">
        <f t="shared" si="24"/>
        <v>49.66</v>
      </c>
    </row>
    <row r="508" spans="1:39" s="566" customFormat="1">
      <c r="A508" s="610" t="s">
        <v>985</v>
      </c>
      <c r="B508" s="610" t="s">
        <v>1276</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986</v>
      </c>
      <c r="B509" s="614" t="s">
        <v>1304</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1731</v>
      </c>
      <c r="AM509" s="753">
        <f t="shared" si="24"/>
        <v>154.19</v>
      </c>
    </row>
    <row r="510" spans="1:39" s="566" customFormat="1">
      <c r="A510" s="613" t="s">
        <v>987</v>
      </c>
      <c r="B510" s="613" t="s">
        <v>1305</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1732</v>
      </c>
      <c r="AM510" s="753">
        <f t="shared" si="24"/>
        <v>48.81</v>
      </c>
    </row>
    <row r="511" spans="1:39" s="566" customFormat="1">
      <c r="A511" s="613" t="s">
        <v>988</v>
      </c>
      <c r="B511" s="613" t="s">
        <v>1306</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989</v>
      </c>
      <c r="B512" s="614" t="s">
        <v>1307</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990</v>
      </c>
      <c r="B513" s="613" t="s">
        <v>1248</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1607</v>
      </c>
      <c r="AM513" s="753">
        <f t="shared" si="24"/>
        <v>60</v>
      </c>
    </row>
    <row r="514" spans="1:39" s="566" customFormat="1">
      <c r="A514" s="610" t="s">
        <v>991</v>
      </c>
      <c r="B514" s="610" t="s">
        <v>1308</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1632</v>
      </c>
      <c r="AM514" s="753">
        <f t="shared" si="24"/>
        <v>5.18</v>
      </c>
    </row>
    <row r="515" spans="1:39" s="566" customFormat="1">
      <c r="A515" s="610" t="s">
        <v>992</v>
      </c>
      <c r="B515" s="610" t="s">
        <v>1309</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993</v>
      </c>
      <c r="B516" s="613" t="s">
        <v>1252</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1733</v>
      </c>
      <c r="AM516" s="753">
        <f t="shared" si="24"/>
        <v>73.98</v>
      </c>
    </row>
    <row r="517" spans="1:39" s="566" customFormat="1">
      <c r="A517" s="610" t="s">
        <v>994</v>
      </c>
      <c r="B517" s="610" t="s">
        <v>1310</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1734</v>
      </c>
      <c r="AM517" s="753">
        <f t="shared" si="24"/>
        <v>44.39</v>
      </c>
    </row>
    <row r="518" spans="1:39" s="566" customFormat="1">
      <c r="A518" s="610" t="s">
        <v>995</v>
      </c>
      <c r="B518" s="610" t="s">
        <v>1254</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996</v>
      </c>
      <c r="B519" s="613" t="s">
        <v>1311</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1735</v>
      </c>
      <c r="AM519" s="753">
        <f t="shared" si="24"/>
        <v>64</v>
      </c>
    </row>
    <row r="520" spans="1:39" s="566" customFormat="1">
      <c r="A520" s="610" t="s">
        <v>997</v>
      </c>
      <c r="B520" s="610" t="s">
        <v>1312</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998</v>
      </c>
      <c r="B521" s="613" t="s">
        <v>1199</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1736</v>
      </c>
      <c r="AM521" s="753">
        <f t="shared" si="24"/>
        <v>22</v>
      </c>
    </row>
    <row r="522" spans="1:39" s="566" customFormat="1">
      <c r="A522" s="610" t="s">
        <v>999</v>
      </c>
      <c r="B522" s="610" t="s">
        <v>1313</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1454</v>
      </c>
      <c r="AM522" s="753">
        <f t="shared" si="24"/>
        <v>1</v>
      </c>
    </row>
    <row r="523" spans="1:39" s="566" customFormat="1">
      <c r="A523" s="610" t="s">
        <v>1000</v>
      </c>
      <c r="B523" s="610" t="s">
        <v>1314</v>
      </c>
      <c r="C523" s="620" t="s">
        <v>1449</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1001</v>
      </c>
      <c r="B524" s="614" t="s">
        <v>1315</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1002</v>
      </c>
      <c r="B525" s="613" t="s">
        <v>1248</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1737</v>
      </c>
      <c r="AM525" s="753">
        <f t="shared" si="24"/>
        <v>28.21</v>
      </c>
    </row>
    <row r="526" spans="1:39" s="566" customFormat="1">
      <c r="A526" s="610" t="s">
        <v>1003</v>
      </c>
      <c r="B526" s="610" t="s">
        <v>1316</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1004</v>
      </c>
      <c r="B527" s="613" t="s">
        <v>1317</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1738</v>
      </c>
      <c r="AM527" s="753">
        <f t="shared" si="27"/>
        <v>5.9</v>
      </c>
    </row>
    <row r="528" spans="1:39" s="566" customFormat="1">
      <c r="A528" s="610" t="s">
        <v>1005</v>
      </c>
      <c r="B528" s="610" t="s">
        <v>1318</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1677</v>
      </c>
      <c r="AM528" s="753">
        <f t="shared" si="27"/>
        <v>18.920000000000002</v>
      </c>
    </row>
    <row r="529" spans="1:39" s="566" customFormat="1">
      <c r="A529" s="610" t="s">
        <v>1006</v>
      </c>
      <c r="B529" s="610" t="s">
        <v>1195</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1007</v>
      </c>
      <c r="B530" s="613" t="s">
        <v>1290</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1627</v>
      </c>
      <c r="AM530" s="753">
        <f t="shared" si="27"/>
        <v>90.62</v>
      </c>
    </row>
    <row r="531" spans="1:39" s="566" customFormat="1">
      <c r="A531" s="610" t="s">
        <v>1008</v>
      </c>
      <c r="B531" s="610" t="s">
        <v>1319</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1009</v>
      </c>
      <c r="B532" s="613" t="s">
        <v>1320</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1739</v>
      </c>
      <c r="AM532" s="753">
        <f t="shared" si="27"/>
        <v>36.799999999999997</v>
      </c>
    </row>
    <row r="533" spans="1:39" s="566" customFormat="1">
      <c r="A533" s="610" t="s">
        <v>1010</v>
      </c>
      <c r="B533" s="610" t="s">
        <v>1313</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1011</v>
      </c>
      <c r="B534" s="614" t="s">
        <v>1321</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1012</v>
      </c>
      <c r="B535" s="613" t="s">
        <v>1322</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1740</v>
      </c>
      <c r="AM535" s="753">
        <f t="shared" si="27"/>
        <v>42.32</v>
      </c>
    </row>
    <row r="536" spans="1:39" s="566" customFormat="1">
      <c r="A536" s="610" t="s">
        <v>1013</v>
      </c>
      <c r="B536" s="610" t="s">
        <v>1323</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1740</v>
      </c>
      <c r="AM536" s="753">
        <f t="shared" si="27"/>
        <v>42.32</v>
      </c>
    </row>
    <row r="537" spans="1:39" s="566" customFormat="1">
      <c r="A537" s="610" t="s">
        <v>1014</v>
      </c>
      <c r="B537" s="610" t="s">
        <v>1324</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1741</v>
      </c>
      <c r="AM537" s="753">
        <f t="shared" si="27"/>
        <v>10</v>
      </c>
    </row>
    <row r="538" spans="1:39" s="566" customFormat="1" ht="13.5" thickBot="1">
      <c r="A538" s="610" t="s">
        <v>1015</v>
      </c>
      <c r="B538" s="610" t="s">
        <v>1325</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487</v>
      </c>
      <c r="B539" s="612" t="s">
        <v>1326</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488</v>
      </c>
      <c r="B540" s="614" t="s">
        <v>1327</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1670</v>
      </c>
      <c r="AM540" s="753">
        <f t="shared" si="27"/>
        <v>4</v>
      </c>
    </row>
    <row r="541" spans="1:39" s="566" customFormat="1">
      <c r="A541" s="613" t="s">
        <v>489</v>
      </c>
      <c r="B541" s="613" t="s">
        <v>1328</v>
      </c>
      <c r="C541" s="620" t="s">
        <v>1449</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1697</v>
      </c>
      <c r="AM541" s="753">
        <f t="shared" si="27"/>
        <v>2</v>
      </c>
    </row>
    <row r="542" spans="1:39" s="566" customFormat="1">
      <c r="A542" s="613" t="s">
        <v>490</v>
      </c>
      <c r="B542" s="613" t="s">
        <v>1329</v>
      </c>
      <c r="C542" s="620" t="s">
        <v>1449</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1670</v>
      </c>
      <c r="AM542" s="753">
        <f t="shared" si="27"/>
        <v>4</v>
      </c>
    </row>
    <row r="543" spans="1:39" s="566" customFormat="1">
      <c r="A543" s="613" t="s">
        <v>491</v>
      </c>
      <c r="B543" s="613" t="s">
        <v>1330</v>
      </c>
      <c r="C543" s="620" t="s">
        <v>1449</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1697</v>
      </c>
      <c r="AM543" s="753">
        <f t="shared" si="27"/>
        <v>2</v>
      </c>
    </row>
    <row r="544" spans="1:39" s="566" customFormat="1">
      <c r="A544" s="613" t="s">
        <v>1016</v>
      </c>
      <c r="B544" s="613" t="s">
        <v>1331</v>
      </c>
      <c r="C544" s="620" t="s">
        <v>1449</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1454</v>
      </c>
      <c r="AM544" s="753">
        <f t="shared" si="27"/>
        <v>1</v>
      </c>
    </row>
    <row r="545" spans="1:39" s="566" customFormat="1">
      <c r="A545" s="613" t="s">
        <v>1017</v>
      </c>
      <c r="B545" s="613" t="s">
        <v>1332</v>
      </c>
      <c r="C545" s="620" t="s">
        <v>1449</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1616</v>
      </c>
      <c r="AM545" s="753">
        <f t="shared" si="27"/>
        <v>6</v>
      </c>
    </row>
    <row r="546" spans="1:39" s="566" customFormat="1">
      <c r="A546" s="613" t="s">
        <v>1018</v>
      </c>
      <c r="B546" s="613" t="s">
        <v>1333</v>
      </c>
      <c r="C546" s="620" t="s">
        <v>1449</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1670</v>
      </c>
      <c r="AM546" s="753">
        <f t="shared" si="27"/>
        <v>4</v>
      </c>
    </row>
    <row r="547" spans="1:39" s="566" customFormat="1">
      <c r="A547" s="613" t="s">
        <v>1019</v>
      </c>
      <c r="B547" s="613" t="s">
        <v>1334</v>
      </c>
      <c r="C547" s="620" t="s">
        <v>1449</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1454</v>
      </c>
      <c r="AM547" s="753">
        <f t="shared" si="27"/>
        <v>1</v>
      </c>
    </row>
    <row r="548" spans="1:39" s="566" customFormat="1">
      <c r="A548" s="613" t="s">
        <v>1020</v>
      </c>
      <c r="B548" s="613" t="s">
        <v>1335</v>
      </c>
      <c r="C548" s="620" t="s">
        <v>1450</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1454</v>
      </c>
      <c r="AM548" s="753">
        <f t="shared" si="27"/>
        <v>1</v>
      </c>
    </row>
    <row r="549" spans="1:39" s="566" customFormat="1">
      <c r="A549" s="613" t="s">
        <v>1021</v>
      </c>
      <c r="B549" s="613" t="s">
        <v>1336</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1454</v>
      </c>
      <c r="AM549" s="753">
        <f t="shared" si="27"/>
        <v>1</v>
      </c>
    </row>
    <row r="550" spans="1:39" s="566" customFormat="1">
      <c r="A550" s="613" t="s">
        <v>1022</v>
      </c>
      <c r="B550" s="613" t="s">
        <v>1337</v>
      </c>
      <c r="C550" s="620" t="s">
        <v>1449</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1742</v>
      </c>
      <c r="AM550" s="753">
        <f t="shared" si="27"/>
        <v>19</v>
      </c>
    </row>
    <row r="551" spans="1:39" s="566" customFormat="1">
      <c r="A551" s="613" t="s">
        <v>1023</v>
      </c>
      <c r="B551" s="613" t="s">
        <v>1338</v>
      </c>
      <c r="C551" s="620" t="s">
        <v>1450</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492</v>
      </c>
      <c r="B552" s="614" t="s">
        <v>1339</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1670</v>
      </c>
      <c r="AM552" s="753">
        <f t="shared" si="27"/>
        <v>4</v>
      </c>
    </row>
    <row r="553" spans="1:39" s="566" customFormat="1">
      <c r="A553" s="613" t="s">
        <v>493</v>
      </c>
      <c r="B553" s="613" t="s">
        <v>1340</v>
      </c>
      <c r="C553" s="620" t="s">
        <v>1451</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1616</v>
      </c>
      <c r="AM553" s="753">
        <f t="shared" si="27"/>
        <v>6</v>
      </c>
    </row>
    <row r="554" spans="1:39" s="566" customFormat="1">
      <c r="A554" s="613" t="s">
        <v>494</v>
      </c>
      <c r="B554" s="613" t="s">
        <v>1341</v>
      </c>
      <c r="C554" s="620" t="s">
        <v>1451</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1741</v>
      </c>
      <c r="AM554" s="753">
        <f t="shared" si="27"/>
        <v>10</v>
      </c>
    </row>
    <row r="555" spans="1:39" s="566" customFormat="1">
      <c r="A555" s="613" t="s">
        <v>495</v>
      </c>
      <c r="B555" s="613" t="s">
        <v>1342</v>
      </c>
      <c r="C555" s="620" t="s">
        <v>1451</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1743</v>
      </c>
      <c r="AM555" s="753">
        <f t="shared" si="27"/>
        <v>32.450000000000003</v>
      </c>
    </row>
    <row r="556" spans="1:39" s="566" customFormat="1">
      <c r="A556" s="613" t="s">
        <v>1024</v>
      </c>
      <c r="B556" s="613" t="s">
        <v>1343</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1744</v>
      </c>
      <c r="AM556" s="753">
        <f t="shared" si="27"/>
        <v>45.55</v>
      </c>
    </row>
    <row r="557" spans="1:39" s="566" customFormat="1">
      <c r="A557" s="613" t="s">
        <v>1025</v>
      </c>
      <c r="B557" s="613" t="s">
        <v>1344</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1670</v>
      </c>
      <c r="AM557" s="753">
        <f t="shared" si="27"/>
        <v>4</v>
      </c>
    </row>
    <row r="558" spans="1:39" s="566" customFormat="1">
      <c r="A558" s="613" t="s">
        <v>1026</v>
      </c>
      <c r="B558" s="613" t="s">
        <v>1345</v>
      </c>
      <c r="C558" s="620" t="s">
        <v>1449</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1697</v>
      </c>
      <c r="AM558" s="753">
        <f t="shared" si="27"/>
        <v>2</v>
      </c>
    </row>
    <row r="559" spans="1:39" s="566" customFormat="1">
      <c r="A559" s="613" t="s">
        <v>1027</v>
      </c>
      <c r="B559" s="613" t="s">
        <v>1346</v>
      </c>
      <c r="C559" s="620" t="s">
        <v>1449</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1616</v>
      </c>
      <c r="AM559" s="753">
        <f t="shared" si="27"/>
        <v>6</v>
      </c>
    </row>
    <row r="560" spans="1:39" s="566" customFormat="1">
      <c r="A560" s="613" t="s">
        <v>1028</v>
      </c>
      <c r="B560" s="613" t="s">
        <v>1347</v>
      </c>
      <c r="C560" s="620" t="s">
        <v>1449</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1616</v>
      </c>
      <c r="AM560" s="753">
        <f t="shared" si="27"/>
        <v>6</v>
      </c>
    </row>
    <row r="561" spans="1:39" s="566" customFormat="1">
      <c r="A561" s="613" t="s">
        <v>1029</v>
      </c>
      <c r="B561" s="613" t="s">
        <v>1348</v>
      </c>
      <c r="C561" s="620" t="s">
        <v>1449</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1616</v>
      </c>
      <c r="AM561" s="753">
        <f t="shared" si="27"/>
        <v>6</v>
      </c>
    </row>
    <row r="562" spans="1:39" s="566" customFormat="1">
      <c r="A562" s="613" t="s">
        <v>1030</v>
      </c>
      <c r="B562" s="613" t="s">
        <v>1349</v>
      </c>
      <c r="C562" s="620" t="s">
        <v>1450</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496</v>
      </c>
      <c r="B563" s="614" t="s">
        <v>1350</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1745</v>
      </c>
      <c r="AM563" s="753">
        <f t="shared" si="27"/>
        <v>18.04</v>
      </c>
    </row>
    <row r="564" spans="1:39" s="566" customFormat="1">
      <c r="A564" s="613" t="s">
        <v>497</v>
      </c>
      <c r="B564" s="613" t="s">
        <v>1351</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1745</v>
      </c>
      <c r="AM564" s="753">
        <f t="shared" si="27"/>
        <v>18.04</v>
      </c>
    </row>
    <row r="565" spans="1:39" s="566" customFormat="1">
      <c r="A565" s="613" t="s">
        <v>498</v>
      </c>
      <c r="B565" s="613" t="s">
        <v>1352</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1454</v>
      </c>
      <c r="AM565" s="753">
        <f t="shared" si="27"/>
        <v>1</v>
      </c>
    </row>
    <row r="566" spans="1:39" s="566" customFormat="1">
      <c r="A566" s="613" t="s">
        <v>1031</v>
      </c>
      <c r="B566" s="613" t="s">
        <v>1353</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1454</v>
      </c>
      <c r="AM566" s="753">
        <f t="shared" si="27"/>
        <v>1</v>
      </c>
    </row>
    <row r="567" spans="1:39" s="566" customFormat="1">
      <c r="A567" s="613" t="s">
        <v>1032</v>
      </c>
      <c r="B567" s="613" t="s">
        <v>1354</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499</v>
      </c>
      <c r="B568" s="614" t="s">
        <v>1355</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1746</v>
      </c>
      <c r="AM568" s="753">
        <f t="shared" si="27"/>
        <v>10.08</v>
      </c>
    </row>
    <row r="569" spans="1:39" s="566" customFormat="1">
      <c r="A569" s="613" t="s">
        <v>500</v>
      </c>
      <c r="B569" s="613" t="s">
        <v>1351</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1746</v>
      </c>
      <c r="AM569" s="753">
        <f t="shared" si="27"/>
        <v>10.08</v>
      </c>
    </row>
    <row r="570" spans="1:39" s="566" customFormat="1">
      <c r="A570" s="613" t="s">
        <v>501</v>
      </c>
      <c r="B570" s="613" t="s">
        <v>1352</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1747</v>
      </c>
      <c r="AM570" s="753">
        <f t="shared" si="27"/>
        <v>5.04</v>
      </c>
    </row>
    <row r="571" spans="1:39" s="566" customFormat="1">
      <c r="A571" s="613" t="s">
        <v>502</v>
      </c>
      <c r="B571" s="613" t="s">
        <v>1356</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1454</v>
      </c>
      <c r="AM571" s="753">
        <f t="shared" si="27"/>
        <v>1</v>
      </c>
    </row>
    <row r="572" spans="1:39" s="566" customFormat="1">
      <c r="A572" s="613" t="s">
        <v>503</v>
      </c>
      <c r="B572" s="613" t="s">
        <v>1357</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1601</v>
      </c>
      <c r="AM572" s="753">
        <f t="shared" si="27"/>
        <v>24</v>
      </c>
    </row>
    <row r="573" spans="1:39" s="566" customFormat="1">
      <c r="A573" s="613" t="s">
        <v>1033</v>
      </c>
      <c r="B573" s="613" t="s">
        <v>1358</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504</v>
      </c>
      <c r="B574" s="614" t="s">
        <v>1359</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1492</v>
      </c>
      <c r="AM574" s="753">
        <f t="shared" si="27"/>
        <v>15</v>
      </c>
    </row>
    <row r="575" spans="1:39" s="566" customFormat="1">
      <c r="A575" s="613" t="s">
        <v>505</v>
      </c>
      <c r="B575" s="613" t="s">
        <v>1360</v>
      </c>
      <c r="C575" s="620" t="s">
        <v>1451</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1748</v>
      </c>
      <c r="AM575" s="753">
        <f t="shared" si="27"/>
        <v>31.6</v>
      </c>
    </row>
    <row r="576" spans="1:39" s="566" customFormat="1">
      <c r="A576" s="613" t="s">
        <v>506</v>
      </c>
      <c r="B576" s="613" t="s">
        <v>1361</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1749</v>
      </c>
      <c r="AM576" s="753">
        <f t="shared" si="27"/>
        <v>46.35</v>
      </c>
    </row>
    <row r="577" spans="1:39" s="566" customFormat="1">
      <c r="A577" s="613" t="s">
        <v>507</v>
      </c>
      <c r="B577" s="613" t="s">
        <v>1362</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1616</v>
      </c>
      <c r="AM577" s="753">
        <f t="shared" si="27"/>
        <v>6</v>
      </c>
    </row>
    <row r="578" spans="1:39" s="566" customFormat="1">
      <c r="A578" s="613" t="s">
        <v>1034</v>
      </c>
      <c r="B578" s="613" t="s">
        <v>1363</v>
      </c>
      <c r="C578" s="620" t="s">
        <v>1449</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1454</v>
      </c>
      <c r="AM578" s="753">
        <f t="shared" si="27"/>
        <v>1</v>
      </c>
    </row>
    <row r="579" spans="1:39" s="566" customFormat="1">
      <c r="A579" s="613" t="s">
        <v>1035</v>
      </c>
      <c r="B579" s="613" t="s">
        <v>1364</v>
      </c>
      <c r="C579" s="620" t="s">
        <v>1450</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1697</v>
      </c>
      <c r="AM579" s="753">
        <f t="shared" si="27"/>
        <v>2</v>
      </c>
    </row>
    <row r="580" spans="1:39" s="566" customFormat="1">
      <c r="A580" s="613" t="s">
        <v>1036</v>
      </c>
      <c r="B580" s="613" t="s">
        <v>1365</v>
      </c>
      <c r="C580" s="620" t="s">
        <v>1449</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1037</v>
      </c>
      <c r="B581" s="614" t="s">
        <v>1366</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1454</v>
      </c>
      <c r="AM581" s="753">
        <f t="shared" si="27"/>
        <v>1</v>
      </c>
    </row>
    <row r="582" spans="1:39" s="566" customFormat="1">
      <c r="A582" s="613" t="s">
        <v>508</v>
      </c>
      <c r="B582" s="613" t="s">
        <v>1367</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1750</v>
      </c>
      <c r="AM582" s="753">
        <f t="shared" si="27"/>
        <v>77.95</v>
      </c>
    </row>
    <row r="583" spans="1:39" s="566" customFormat="1">
      <c r="A583" s="613" t="s">
        <v>509</v>
      </c>
      <c r="B583" s="613" t="s">
        <v>1368</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1038</v>
      </c>
      <c r="B584" s="614" t="s">
        <v>1369</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1751</v>
      </c>
      <c r="AM584" s="753">
        <f t="shared" si="27"/>
        <v>110.78</v>
      </c>
    </row>
    <row r="585" spans="1:39" s="566" customFormat="1">
      <c r="A585" s="613" t="s">
        <v>1039</v>
      </c>
      <c r="B585" s="613" t="s">
        <v>1370</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1752</v>
      </c>
      <c r="AM585" s="753">
        <f t="shared" si="27"/>
        <v>34</v>
      </c>
    </row>
    <row r="586" spans="1:39" s="566" customFormat="1">
      <c r="A586" s="613" t="s">
        <v>1040</v>
      </c>
      <c r="B586" s="613" t="s">
        <v>1371</v>
      </c>
      <c r="C586" s="620" t="s">
        <v>1449</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1753</v>
      </c>
      <c r="AM586" s="753">
        <f t="shared" si="27"/>
        <v>35.200000000000003</v>
      </c>
    </row>
    <row r="587" spans="1:39" s="566" customFormat="1">
      <c r="A587" s="613" t="s">
        <v>1041</v>
      </c>
      <c r="B587" s="613" t="s">
        <v>1372</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1754</v>
      </c>
      <c r="AM587" s="753">
        <f t="shared" si="27"/>
        <v>1.32</v>
      </c>
    </row>
    <row r="588" spans="1:39" s="566" customFormat="1">
      <c r="A588" s="613" t="s">
        <v>1042</v>
      </c>
      <c r="B588" s="613" t="s">
        <v>1373</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1755</v>
      </c>
      <c r="AM588" s="753">
        <f t="shared" si="27"/>
        <v>114.4</v>
      </c>
    </row>
    <row r="589" spans="1:39" s="566" customFormat="1">
      <c r="A589" s="613" t="s">
        <v>1043</v>
      </c>
      <c r="B589" s="613" t="s">
        <v>1374</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1756</v>
      </c>
      <c r="AM589" s="753">
        <f t="shared" si="27"/>
        <v>89.98</v>
      </c>
    </row>
    <row r="590" spans="1:39" s="566" customFormat="1">
      <c r="A590" s="613" t="s">
        <v>1044</v>
      </c>
      <c r="B590" s="613" t="s">
        <v>1375</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1757</v>
      </c>
      <c r="AM590" s="753">
        <f t="shared" ref="AM590:AM653" si="30">AL590-AK590</f>
        <v>33.78</v>
      </c>
    </row>
    <row r="591" spans="1:39" s="566" customFormat="1">
      <c r="A591" s="613" t="s">
        <v>1045</v>
      </c>
      <c r="B591" s="613" t="s">
        <v>1376</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1758</v>
      </c>
      <c r="AM591" s="753">
        <f t="shared" si="30"/>
        <v>18</v>
      </c>
    </row>
    <row r="592" spans="1:39" s="566" customFormat="1">
      <c r="A592" s="613" t="s">
        <v>1046</v>
      </c>
      <c r="B592" s="613" t="s">
        <v>1352</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1759</v>
      </c>
      <c r="AM592" s="753">
        <f t="shared" si="30"/>
        <v>56.2</v>
      </c>
    </row>
    <row r="593" spans="1:39" s="566" customFormat="1">
      <c r="A593" s="613" t="s">
        <v>1047</v>
      </c>
      <c r="B593" s="613" t="s">
        <v>1377</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1759</v>
      </c>
      <c r="AM593" s="753">
        <f t="shared" si="30"/>
        <v>56.2</v>
      </c>
    </row>
    <row r="594" spans="1:39" s="566" customFormat="1">
      <c r="A594" s="613" t="s">
        <v>1048</v>
      </c>
      <c r="B594" s="613" t="s">
        <v>1378</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1760</v>
      </c>
      <c r="AM594" s="753">
        <f t="shared" si="30"/>
        <v>59.01</v>
      </c>
    </row>
    <row r="595" spans="1:39" s="566" customFormat="1">
      <c r="A595" s="613" t="s">
        <v>1049</v>
      </c>
      <c r="B595" s="613" t="s">
        <v>1379</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1761</v>
      </c>
      <c r="AM595" s="753">
        <f t="shared" si="30"/>
        <v>36.119999999999997</v>
      </c>
    </row>
    <row r="596" spans="1:39" s="566" customFormat="1">
      <c r="A596" s="613" t="s">
        <v>1050</v>
      </c>
      <c r="B596" s="613" t="s">
        <v>1380</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1669</v>
      </c>
      <c r="AM596" s="753">
        <f t="shared" si="30"/>
        <v>20</v>
      </c>
    </row>
    <row r="597" spans="1:39" s="566" customFormat="1" ht="13.5" thickBot="1">
      <c r="A597" s="613" t="s">
        <v>1051</v>
      </c>
      <c r="B597" s="613" t="s">
        <v>1381</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510</v>
      </c>
      <c r="B598" s="912" t="s">
        <v>1382</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511</v>
      </c>
      <c r="B599" s="614" t="s">
        <v>1383</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1052</v>
      </c>
      <c r="B600" s="613" t="s">
        <v>1384</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1454</v>
      </c>
      <c r="AM600" s="753">
        <f t="shared" si="30"/>
        <v>1</v>
      </c>
    </row>
    <row r="601" spans="1:39" s="566" customFormat="1">
      <c r="A601" s="610" t="s">
        <v>1053</v>
      </c>
      <c r="B601" s="610" t="s">
        <v>1385</v>
      </c>
      <c r="C601" s="620" t="s">
        <v>1452</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1454</v>
      </c>
      <c r="AM601" s="753">
        <f t="shared" si="30"/>
        <v>1</v>
      </c>
    </row>
    <row r="602" spans="1:39" s="566" customFormat="1">
      <c r="A602" s="610" t="s">
        <v>1054</v>
      </c>
      <c r="B602" s="610" t="s">
        <v>1386</v>
      </c>
      <c r="C602" s="620" t="s">
        <v>1452</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1454</v>
      </c>
      <c r="AM602" s="753">
        <f t="shared" si="30"/>
        <v>1</v>
      </c>
    </row>
    <row r="603" spans="1:39" s="566" customFormat="1">
      <c r="A603" s="610" t="s">
        <v>1055</v>
      </c>
      <c r="B603" s="610" t="s">
        <v>1387</v>
      </c>
      <c r="C603" s="620" t="s">
        <v>1452</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1454</v>
      </c>
      <c r="AM603" s="753">
        <f t="shared" si="30"/>
        <v>1</v>
      </c>
    </row>
    <row r="604" spans="1:39" s="566" customFormat="1">
      <c r="A604" s="610" t="s">
        <v>1056</v>
      </c>
      <c r="B604" s="610" t="s">
        <v>1388</v>
      </c>
      <c r="C604" s="620" t="s">
        <v>1452</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1057</v>
      </c>
      <c r="B605" s="927" t="s">
        <v>1389</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1762</v>
      </c>
      <c r="AM605" s="823">
        <f t="shared" si="30"/>
        <v>43</v>
      </c>
    </row>
    <row r="606" spans="1:39" s="824" customFormat="1">
      <c r="A606" s="814" t="s">
        <v>1058</v>
      </c>
      <c r="B606" s="814" t="s">
        <v>1389</v>
      </c>
      <c r="C606" s="919" t="s">
        <v>1451</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1763</v>
      </c>
      <c r="AM606" s="823">
        <f t="shared" si="30"/>
        <v>7</v>
      </c>
    </row>
    <row r="607" spans="1:39" s="824" customFormat="1">
      <c r="A607" s="814" t="s">
        <v>1059</v>
      </c>
      <c r="B607" s="814" t="s">
        <v>1390</v>
      </c>
      <c r="C607" s="919" t="s">
        <v>1451</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1060</v>
      </c>
      <c r="B608" s="613" t="s">
        <v>1391</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1764</v>
      </c>
      <c r="AM608" s="753">
        <f t="shared" si="30"/>
        <v>17</v>
      </c>
    </row>
    <row r="609" spans="1:39" s="566" customFormat="1">
      <c r="A609" s="610" t="s">
        <v>1061</v>
      </c>
      <c r="B609" s="610" t="s">
        <v>1392</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1765</v>
      </c>
      <c r="AM609" s="753">
        <f t="shared" si="30"/>
        <v>23</v>
      </c>
    </row>
    <row r="610" spans="1:39" s="566" customFormat="1">
      <c r="A610" s="610" t="s">
        <v>1062</v>
      </c>
      <c r="B610" s="610" t="s">
        <v>1393</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1697</v>
      </c>
      <c r="AM610" s="753">
        <f t="shared" si="30"/>
        <v>2</v>
      </c>
    </row>
    <row r="611" spans="1:39" s="566" customFormat="1">
      <c r="A611" s="610" t="s">
        <v>1063</v>
      </c>
      <c r="B611" s="610" t="s">
        <v>1394</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1454</v>
      </c>
      <c r="AM611" s="753">
        <f t="shared" si="30"/>
        <v>1</v>
      </c>
    </row>
    <row r="612" spans="1:39" s="566" customFormat="1">
      <c r="A612" s="610" t="s">
        <v>1064</v>
      </c>
      <c r="B612" s="610" t="s">
        <v>1395</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1763</v>
      </c>
      <c r="AM612" s="753">
        <f t="shared" si="30"/>
        <v>7</v>
      </c>
    </row>
    <row r="613" spans="1:39" s="566" customFormat="1">
      <c r="A613" s="610" t="s">
        <v>1065</v>
      </c>
      <c r="B613" s="610" t="s">
        <v>1396</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1066</v>
      </c>
      <c r="B614" s="927" t="s">
        <v>1397</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1488</v>
      </c>
      <c r="AM614" s="823">
        <f t="shared" si="30"/>
        <v>16</v>
      </c>
    </row>
    <row r="615" spans="1:39" s="824" customFormat="1">
      <c r="A615" s="814" t="s">
        <v>1067</v>
      </c>
      <c r="B615" s="814" t="s">
        <v>1398</v>
      </c>
      <c r="C615" s="919" t="s">
        <v>1451</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1697</v>
      </c>
      <c r="AM615" s="823">
        <f t="shared" si="30"/>
        <v>2</v>
      </c>
    </row>
    <row r="616" spans="1:39" s="824" customFormat="1">
      <c r="A616" s="814" t="s">
        <v>1068</v>
      </c>
      <c r="B616" s="814" t="s">
        <v>1399</v>
      </c>
      <c r="C616" s="919" t="s">
        <v>1451</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1697</v>
      </c>
      <c r="AM616" s="823">
        <f t="shared" si="30"/>
        <v>2</v>
      </c>
    </row>
    <row r="617" spans="1:39" s="824" customFormat="1">
      <c r="A617" s="814" t="s">
        <v>1069</v>
      </c>
      <c r="B617" s="814" t="s">
        <v>1400</v>
      </c>
      <c r="C617" s="919" t="s">
        <v>1451</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1070</v>
      </c>
      <c r="B618" s="927" t="s">
        <v>1401</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1766</v>
      </c>
      <c r="AM618" s="823">
        <f t="shared" si="30"/>
        <v>14</v>
      </c>
    </row>
    <row r="619" spans="1:39" s="824" customFormat="1">
      <c r="A619" s="814" t="s">
        <v>1071</v>
      </c>
      <c r="B619" s="814" t="s">
        <v>1402</v>
      </c>
      <c r="C619" s="919" t="s">
        <v>1451</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1454</v>
      </c>
      <c r="AM619" s="823">
        <f t="shared" si="30"/>
        <v>1</v>
      </c>
    </row>
    <row r="620" spans="1:39" s="824" customFormat="1">
      <c r="A620" s="814" t="s">
        <v>1072</v>
      </c>
      <c r="B620" s="814" t="s">
        <v>1403</v>
      </c>
      <c r="C620" s="919" t="s">
        <v>1451</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1617</v>
      </c>
      <c r="AM620" s="823">
        <f t="shared" si="30"/>
        <v>3</v>
      </c>
    </row>
    <row r="621" spans="1:39" s="824" customFormat="1">
      <c r="A621" s="814" t="s">
        <v>1073</v>
      </c>
      <c r="B621" s="814" t="s">
        <v>1404</v>
      </c>
      <c r="C621" s="919" t="s">
        <v>1451</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1640</v>
      </c>
      <c r="AM621" s="823">
        <f t="shared" si="30"/>
        <v>9</v>
      </c>
    </row>
    <row r="622" spans="1:39" s="824" customFormat="1">
      <c r="A622" s="814" t="s">
        <v>1074</v>
      </c>
      <c r="B622" s="814" t="s">
        <v>1405</v>
      </c>
      <c r="C622" s="919" t="s">
        <v>1451</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1454</v>
      </c>
      <c r="AM622" s="823">
        <f t="shared" si="30"/>
        <v>1</v>
      </c>
    </row>
    <row r="623" spans="1:39" s="824" customFormat="1">
      <c r="A623" s="814" t="s">
        <v>1075</v>
      </c>
      <c r="B623" s="814" t="s">
        <v>1406</v>
      </c>
      <c r="C623" s="919" t="s">
        <v>1451</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1076</v>
      </c>
      <c r="B624" s="613" t="s">
        <v>1407</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1454</v>
      </c>
      <c r="AM624" s="753">
        <f t="shared" si="30"/>
        <v>1</v>
      </c>
    </row>
    <row r="625" spans="1:39" s="566" customFormat="1">
      <c r="A625" s="610" t="s">
        <v>1077</v>
      </c>
      <c r="B625" s="610" t="s">
        <v>1408</v>
      </c>
      <c r="C625" s="620" t="s">
        <v>1451</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1454</v>
      </c>
      <c r="AM625" s="753">
        <f t="shared" si="30"/>
        <v>1</v>
      </c>
    </row>
    <row r="626" spans="1:39" s="566" customFormat="1">
      <c r="A626" s="610" t="s">
        <v>1078</v>
      </c>
      <c r="B626" s="610" t="s">
        <v>1409</v>
      </c>
      <c r="C626" s="620" t="s">
        <v>1451</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1725</v>
      </c>
      <c r="AM626" s="753">
        <f t="shared" si="30"/>
        <v>11</v>
      </c>
    </row>
    <row r="627" spans="1:39" s="566" customFormat="1">
      <c r="A627" s="610" t="s">
        <v>1079</v>
      </c>
      <c r="B627" s="610" t="s">
        <v>1410</v>
      </c>
      <c r="C627" s="620" t="s">
        <v>1451</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1697</v>
      </c>
      <c r="AM627" s="753">
        <f t="shared" si="30"/>
        <v>2</v>
      </c>
    </row>
    <row r="628" spans="1:39" s="566" customFormat="1">
      <c r="A628" s="610" t="s">
        <v>1080</v>
      </c>
      <c r="B628" s="610" t="s">
        <v>1411</v>
      </c>
      <c r="C628" s="620" t="s">
        <v>1451</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1697</v>
      </c>
      <c r="AM628" s="753">
        <f t="shared" si="30"/>
        <v>2</v>
      </c>
    </row>
    <row r="629" spans="1:39" s="566" customFormat="1">
      <c r="A629" s="610" t="s">
        <v>1081</v>
      </c>
      <c r="B629" s="610" t="s">
        <v>1412</v>
      </c>
      <c r="C629" s="620" t="s">
        <v>1451</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1082</v>
      </c>
      <c r="B630" s="927" t="s">
        <v>1413</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1454</v>
      </c>
      <c r="AM630" s="823">
        <f t="shared" si="30"/>
        <v>1</v>
      </c>
    </row>
    <row r="631" spans="1:39" s="824" customFormat="1">
      <c r="A631" s="814" t="s">
        <v>1083</v>
      </c>
      <c r="B631" s="814" t="s">
        <v>1414</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1084</v>
      </c>
      <c r="B632" s="613" t="s">
        <v>1415</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1454</v>
      </c>
      <c r="AM632" s="753">
        <f t="shared" si="30"/>
        <v>1</v>
      </c>
    </row>
    <row r="633" spans="1:39" s="566" customFormat="1">
      <c r="A633" s="610" t="s">
        <v>1085</v>
      </c>
      <c r="B633" s="610" t="s">
        <v>1416</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512</v>
      </c>
      <c r="B634" s="614" t="s">
        <v>1417</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1086</v>
      </c>
      <c r="B635" s="613" t="s">
        <v>1418</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1767</v>
      </c>
      <c r="AM635" s="753">
        <f t="shared" si="30"/>
        <v>29</v>
      </c>
    </row>
    <row r="636" spans="1:39" s="566" customFormat="1">
      <c r="A636" s="610" t="s">
        <v>1087</v>
      </c>
      <c r="B636" s="610" t="s">
        <v>1419</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1088</v>
      </c>
      <c r="B637" s="613" t="s">
        <v>1420</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1735</v>
      </c>
      <c r="AM637" s="753">
        <f t="shared" si="30"/>
        <v>64</v>
      </c>
    </row>
    <row r="638" spans="1:39" s="566" customFormat="1">
      <c r="A638" s="610" t="s">
        <v>1089</v>
      </c>
      <c r="B638" s="610" t="s">
        <v>1421</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1090</v>
      </c>
      <c r="B639" s="613" t="s">
        <v>1422</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1735</v>
      </c>
      <c r="AM639" s="753">
        <f t="shared" si="30"/>
        <v>64</v>
      </c>
    </row>
    <row r="640" spans="1:39" s="566" customFormat="1">
      <c r="A640" s="610" t="s">
        <v>1091</v>
      </c>
      <c r="B640" s="610" t="s">
        <v>1423</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1092</v>
      </c>
      <c r="B641" s="613" t="s">
        <v>1424</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1616</v>
      </c>
      <c r="AM641" s="753">
        <f t="shared" si="30"/>
        <v>6</v>
      </c>
    </row>
    <row r="642" spans="1:39" s="566" customFormat="1">
      <c r="A642" s="610" t="s">
        <v>1093</v>
      </c>
      <c r="B642" s="610" t="s">
        <v>1425</v>
      </c>
      <c r="C642" s="620" t="s">
        <v>1451</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1094</v>
      </c>
      <c r="B643" s="613" t="s">
        <v>1391</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1616</v>
      </c>
      <c r="AM643" s="753">
        <f t="shared" si="30"/>
        <v>6</v>
      </c>
    </row>
    <row r="644" spans="1:39" s="566" customFormat="1">
      <c r="A644" s="610" t="s">
        <v>1095</v>
      </c>
      <c r="B644" s="610" t="s">
        <v>1426</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1096</v>
      </c>
      <c r="B645" s="614" t="s">
        <v>1427</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1097</v>
      </c>
      <c r="B646" s="613" t="s">
        <v>1418</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1768</v>
      </c>
      <c r="AM646" s="753">
        <f t="shared" si="30"/>
        <v>56</v>
      </c>
    </row>
    <row r="647" spans="1:39" s="566" customFormat="1">
      <c r="A647" s="610" t="s">
        <v>1098</v>
      </c>
      <c r="B647" s="610" t="s">
        <v>1419</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1099</v>
      </c>
      <c r="B648" s="613" t="s">
        <v>1420</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1769</v>
      </c>
      <c r="AM648" s="753">
        <f t="shared" si="30"/>
        <v>80</v>
      </c>
    </row>
    <row r="649" spans="1:39" s="566" customFormat="1">
      <c r="A649" s="610" t="s">
        <v>1100</v>
      </c>
      <c r="B649" s="610" t="s">
        <v>1428</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1101</v>
      </c>
      <c r="B650" s="613" t="s">
        <v>1422</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1768</v>
      </c>
      <c r="AM650" s="753">
        <f t="shared" si="30"/>
        <v>56</v>
      </c>
    </row>
    <row r="651" spans="1:39" s="566" customFormat="1">
      <c r="A651" s="610" t="s">
        <v>1102</v>
      </c>
      <c r="B651" s="610" t="s">
        <v>1429</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1103</v>
      </c>
      <c r="B652" s="613" t="s">
        <v>1430</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1616</v>
      </c>
      <c r="AM652" s="753">
        <f t="shared" si="30"/>
        <v>6</v>
      </c>
    </row>
    <row r="653" spans="1:39" s="566" customFormat="1">
      <c r="A653" s="610" t="s">
        <v>1104</v>
      </c>
      <c r="B653" s="610" t="s">
        <v>1431</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1105</v>
      </c>
      <c r="B654" s="613" t="s">
        <v>1432</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1616</v>
      </c>
      <c r="AM654" s="753">
        <f t="shared" ref="AM654:AM680" si="33">AL654-AK654</f>
        <v>6</v>
      </c>
    </row>
    <row r="655" spans="1:39" s="566" customFormat="1">
      <c r="A655" s="610" t="s">
        <v>1106</v>
      </c>
      <c r="B655" s="610" t="s">
        <v>1433</v>
      </c>
      <c r="C655" s="620" t="s">
        <v>1451</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1107</v>
      </c>
      <c r="B656" s="613" t="s">
        <v>1415</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1616</v>
      </c>
      <c r="AM656" s="753">
        <f t="shared" si="33"/>
        <v>6</v>
      </c>
    </row>
    <row r="657" spans="1:39" s="566" customFormat="1">
      <c r="A657" s="610" t="s">
        <v>1108</v>
      </c>
      <c r="B657" s="610" t="s">
        <v>1434</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1109</v>
      </c>
      <c r="B658" s="613" t="s">
        <v>1424</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1616</v>
      </c>
      <c r="AM658" s="753">
        <f t="shared" si="33"/>
        <v>6</v>
      </c>
    </row>
    <row r="659" spans="1:39" s="566" customFormat="1">
      <c r="A659" s="610" t="s">
        <v>1110</v>
      </c>
      <c r="B659" s="610" t="s">
        <v>1435</v>
      </c>
      <c r="C659" s="620" t="s">
        <v>1451</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1111</v>
      </c>
      <c r="B660" s="613" t="s">
        <v>1391</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1616</v>
      </c>
      <c r="AM660" s="753">
        <f t="shared" si="33"/>
        <v>6</v>
      </c>
    </row>
    <row r="661" spans="1:39" s="566" customFormat="1">
      <c r="A661" s="610" t="s">
        <v>1112</v>
      </c>
      <c r="B661" s="610" t="s">
        <v>1436</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1113</v>
      </c>
      <c r="B662" s="614" t="s">
        <v>1437</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1114</v>
      </c>
      <c r="B663" s="613" t="s">
        <v>1438</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1454</v>
      </c>
      <c r="AM663" s="753">
        <f t="shared" si="33"/>
        <v>1</v>
      </c>
    </row>
    <row r="664" spans="1:39" s="566" customFormat="1">
      <c r="A664" s="610" t="s">
        <v>1115</v>
      </c>
      <c r="B664" s="610" t="s">
        <v>1439</v>
      </c>
      <c r="C664" s="620" t="s">
        <v>1452</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1116</v>
      </c>
      <c r="B665" s="613" t="s">
        <v>1440</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1697</v>
      </c>
      <c r="AM665" s="753">
        <f t="shared" si="33"/>
        <v>2</v>
      </c>
    </row>
    <row r="666" spans="1:39" s="566" customFormat="1">
      <c r="A666" s="610" t="s">
        <v>1117</v>
      </c>
      <c r="B666" s="610" t="s">
        <v>1441</v>
      </c>
      <c r="C666" s="620" t="s">
        <v>1453</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1118</v>
      </c>
      <c r="B667" s="613" t="s">
        <v>1418</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1770</v>
      </c>
      <c r="AM667" s="753">
        <f t="shared" si="33"/>
        <v>90</v>
      </c>
    </row>
    <row r="668" spans="1:39" s="566" customFormat="1">
      <c r="A668" s="610" t="s">
        <v>1119</v>
      </c>
      <c r="B668" s="610" t="s">
        <v>1419</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1120</v>
      </c>
      <c r="B669" s="613" t="s">
        <v>1420</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1121</v>
      </c>
      <c r="B670" s="610" t="s">
        <v>1442</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1122</v>
      </c>
      <c r="B671" s="610" t="s">
        <v>1443</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1123</v>
      </c>
      <c r="B672" s="613" t="s">
        <v>1422</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1124</v>
      </c>
      <c r="B673" s="610" t="s">
        <v>1444</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1125</v>
      </c>
      <c r="B674" s="613" t="s">
        <v>1415</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1126</v>
      </c>
      <c r="B675" s="610" t="s">
        <v>1416</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1127</v>
      </c>
      <c r="B676" s="613" t="s">
        <v>1445</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1128</v>
      </c>
      <c r="B677" s="610" t="s">
        <v>1446</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1129</v>
      </c>
      <c r="B678" s="613" t="s">
        <v>1447</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5" thickBot="1">
      <c r="A679" s="626" t="s">
        <v>1130</v>
      </c>
      <c r="B679" s="626" t="s">
        <v>1448</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5"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1800</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1922</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829" hidden="1" customWidth="1"/>
    <col min="5" max="5" width="9.425781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703125" style="564" hidden="1" customWidth="1"/>
    <col min="24" max="24" width="9.42578125" style="564" hidden="1" customWidth="1"/>
    <col min="25" max="25" width="7" style="850" hidden="1" customWidth="1"/>
    <col min="26" max="26" width="10.42578125" style="564" hidden="1" customWidth="1"/>
    <col min="27" max="27" width="8.5703125" style="564" hidden="1" customWidth="1"/>
    <col min="28" max="28" width="7" style="564" hidden="1" customWidth="1"/>
    <col min="29" max="29" width="9.42578125" style="564" hidden="1" customWidth="1"/>
    <col min="30" max="30" width="7" style="850" hidden="1" customWidth="1"/>
    <col min="31" max="31" width="9.5703125" style="1049" hidden="1" customWidth="1"/>
    <col min="32" max="32" width="7" style="850" hidden="1" customWidth="1"/>
    <col min="33" max="33" width="9.42578125" style="856" hidden="1" customWidth="1"/>
    <col min="34" max="34" width="9.42578125" style="564" hidden="1" customWidth="1"/>
    <col min="35" max="37" width="9.42578125" style="563" customWidth="1"/>
    <col min="38" max="38" width="11.42578125" style="563"/>
    <col min="39" max="39" width="14.42578125" style="563" customWidth="1"/>
    <col min="40" max="257" width="11.42578125" style="563"/>
    <col min="258" max="258" width="6.42578125" style="563" customWidth="1"/>
    <col min="259" max="259" width="47.5703125" style="563" customWidth="1"/>
    <col min="260" max="261" width="5" style="563" customWidth="1"/>
    <col min="262" max="262" width="5.42578125" style="563" customWidth="1"/>
    <col min="263" max="263" width="4.5703125" style="563" customWidth="1"/>
    <col min="264" max="265" width="4.42578125" style="563" customWidth="1"/>
    <col min="266" max="266" width="3.5703125" style="563" customWidth="1"/>
    <col min="267" max="267" width="5" style="563" customWidth="1"/>
    <col min="268" max="268" width="4" style="563" customWidth="1"/>
    <col min="269" max="270" width="4.5703125" style="563" customWidth="1"/>
    <col min="271" max="271" width="4.42578125" style="563" customWidth="1"/>
    <col min="272" max="272" width="4" style="563" customWidth="1"/>
    <col min="273" max="273" width="3.5703125" style="563" customWidth="1"/>
    <col min="274" max="275" width="4.5703125" style="563" customWidth="1"/>
    <col min="276" max="276" width="4" style="563" customWidth="1"/>
    <col min="277" max="278" width="4.42578125" style="563" customWidth="1"/>
    <col min="279" max="279" width="3.5703125" style="563" customWidth="1"/>
    <col min="280" max="280" width="4.42578125" style="563" customWidth="1"/>
    <col min="281" max="281" width="5.5703125" style="563" customWidth="1"/>
    <col min="282" max="282" width="3.5703125" style="563" customWidth="1"/>
    <col min="283" max="283" width="4" style="563" customWidth="1"/>
    <col min="284" max="284" width="4.5703125" style="563" customWidth="1"/>
    <col min="285" max="287" width="4.42578125" style="563" customWidth="1"/>
    <col min="288" max="289" width="4.5703125" style="563" customWidth="1"/>
    <col min="290" max="290" width="4" style="563" customWidth="1"/>
    <col min="291" max="291" width="4.5703125" style="563" customWidth="1"/>
    <col min="292" max="292" width="6" style="563" customWidth="1"/>
    <col min="293" max="293" width="8.5703125" style="563" customWidth="1"/>
    <col min="294" max="513" width="11.42578125" style="563"/>
    <col min="514" max="514" width="6.42578125" style="563" customWidth="1"/>
    <col min="515" max="515" width="47.5703125" style="563" customWidth="1"/>
    <col min="516" max="517" width="5" style="563" customWidth="1"/>
    <col min="518" max="518" width="5.42578125" style="563" customWidth="1"/>
    <col min="519" max="519" width="4.5703125" style="563" customWidth="1"/>
    <col min="520" max="521" width="4.42578125" style="563" customWidth="1"/>
    <col min="522" max="522" width="3.5703125" style="563" customWidth="1"/>
    <col min="523" max="523" width="5" style="563" customWidth="1"/>
    <col min="524" max="524" width="4" style="563" customWidth="1"/>
    <col min="525" max="526" width="4.5703125" style="563" customWidth="1"/>
    <col min="527" max="527" width="4.42578125" style="563" customWidth="1"/>
    <col min="528" max="528" width="4" style="563" customWidth="1"/>
    <col min="529" max="529" width="3.5703125" style="563" customWidth="1"/>
    <col min="530" max="531" width="4.5703125" style="563" customWidth="1"/>
    <col min="532" max="532" width="4" style="563" customWidth="1"/>
    <col min="533" max="534" width="4.42578125" style="563" customWidth="1"/>
    <col min="535" max="535" width="3.5703125" style="563" customWidth="1"/>
    <col min="536" max="536" width="4.42578125" style="563" customWidth="1"/>
    <col min="537" max="537" width="5.5703125" style="563" customWidth="1"/>
    <col min="538" max="538" width="3.5703125" style="563" customWidth="1"/>
    <col min="539" max="539" width="4" style="563" customWidth="1"/>
    <col min="540" max="540" width="4.5703125" style="563" customWidth="1"/>
    <col min="541" max="543" width="4.42578125" style="563" customWidth="1"/>
    <col min="544" max="545" width="4.5703125" style="563" customWidth="1"/>
    <col min="546" max="546" width="4" style="563" customWidth="1"/>
    <col min="547" max="547" width="4.5703125" style="563" customWidth="1"/>
    <col min="548" max="548" width="6" style="563" customWidth="1"/>
    <col min="549" max="549" width="8.5703125" style="563" customWidth="1"/>
    <col min="550" max="769" width="11.42578125" style="563"/>
    <col min="770" max="770" width="6.42578125" style="563" customWidth="1"/>
    <col min="771" max="771" width="47.5703125" style="563" customWidth="1"/>
    <col min="772" max="773" width="5" style="563" customWidth="1"/>
    <col min="774" max="774" width="5.42578125" style="563" customWidth="1"/>
    <col min="775" max="775" width="4.5703125" style="563" customWidth="1"/>
    <col min="776" max="777" width="4.42578125" style="563" customWidth="1"/>
    <col min="778" max="778" width="3.5703125" style="563" customWidth="1"/>
    <col min="779" max="779" width="5" style="563" customWidth="1"/>
    <col min="780" max="780" width="4" style="563" customWidth="1"/>
    <col min="781" max="782" width="4.5703125" style="563" customWidth="1"/>
    <col min="783" max="783" width="4.42578125" style="563" customWidth="1"/>
    <col min="784" max="784" width="4" style="563" customWidth="1"/>
    <col min="785" max="785" width="3.5703125" style="563" customWidth="1"/>
    <col min="786" max="787" width="4.5703125" style="563" customWidth="1"/>
    <col min="788" max="788" width="4" style="563" customWidth="1"/>
    <col min="789" max="790" width="4.42578125" style="563" customWidth="1"/>
    <col min="791" max="791" width="3.5703125" style="563" customWidth="1"/>
    <col min="792" max="792" width="4.42578125" style="563" customWidth="1"/>
    <col min="793" max="793" width="5.5703125" style="563" customWidth="1"/>
    <col min="794" max="794" width="3.5703125" style="563" customWidth="1"/>
    <col min="795" max="795" width="4" style="563" customWidth="1"/>
    <col min="796" max="796" width="4.5703125" style="563" customWidth="1"/>
    <col min="797" max="799" width="4.42578125" style="563" customWidth="1"/>
    <col min="800" max="801" width="4.5703125" style="563" customWidth="1"/>
    <col min="802" max="802" width="4" style="563" customWidth="1"/>
    <col min="803" max="803" width="4.5703125" style="563" customWidth="1"/>
    <col min="804" max="804" width="6" style="563" customWidth="1"/>
    <col min="805" max="805" width="8.5703125" style="563" customWidth="1"/>
    <col min="806" max="1025" width="11.42578125" style="563"/>
    <col min="1026" max="1026" width="6.42578125" style="563" customWidth="1"/>
    <col min="1027" max="1027" width="47.5703125" style="563" customWidth="1"/>
    <col min="1028" max="1029" width="5" style="563" customWidth="1"/>
    <col min="1030" max="1030" width="5.42578125" style="563" customWidth="1"/>
    <col min="1031" max="1031" width="4.5703125" style="563" customWidth="1"/>
    <col min="1032" max="1033" width="4.42578125" style="563" customWidth="1"/>
    <col min="1034" max="1034" width="3.5703125" style="563" customWidth="1"/>
    <col min="1035" max="1035" width="5" style="563" customWidth="1"/>
    <col min="1036" max="1036" width="4" style="563" customWidth="1"/>
    <col min="1037" max="1038" width="4.5703125" style="563" customWidth="1"/>
    <col min="1039" max="1039" width="4.42578125" style="563" customWidth="1"/>
    <col min="1040" max="1040" width="4" style="563" customWidth="1"/>
    <col min="1041" max="1041" width="3.5703125" style="563" customWidth="1"/>
    <col min="1042" max="1043" width="4.5703125" style="563" customWidth="1"/>
    <col min="1044" max="1044" width="4" style="563" customWidth="1"/>
    <col min="1045" max="1046" width="4.42578125" style="563" customWidth="1"/>
    <col min="1047" max="1047" width="3.5703125" style="563" customWidth="1"/>
    <col min="1048" max="1048" width="4.42578125" style="563" customWidth="1"/>
    <col min="1049" max="1049" width="5.5703125" style="563" customWidth="1"/>
    <col min="1050" max="1050" width="3.5703125" style="563" customWidth="1"/>
    <col min="1051" max="1051" width="4" style="563" customWidth="1"/>
    <col min="1052" max="1052" width="4.5703125" style="563" customWidth="1"/>
    <col min="1053" max="1055" width="4.42578125" style="563" customWidth="1"/>
    <col min="1056" max="1057" width="4.5703125" style="563" customWidth="1"/>
    <col min="1058" max="1058" width="4" style="563" customWidth="1"/>
    <col min="1059" max="1059" width="4.5703125" style="563" customWidth="1"/>
    <col min="1060" max="1060" width="6" style="563" customWidth="1"/>
    <col min="1061" max="1061" width="8.5703125" style="563" customWidth="1"/>
    <col min="1062" max="1281" width="11.42578125" style="563"/>
    <col min="1282" max="1282" width="6.42578125" style="563" customWidth="1"/>
    <col min="1283" max="1283" width="47.5703125" style="563" customWidth="1"/>
    <col min="1284" max="1285" width="5" style="563" customWidth="1"/>
    <col min="1286" max="1286" width="5.42578125" style="563" customWidth="1"/>
    <col min="1287" max="1287" width="4.5703125" style="563" customWidth="1"/>
    <col min="1288" max="1289" width="4.42578125" style="563" customWidth="1"/>
    <col min="1290" max="1290" width="3.5703125" style="563" customWidth="1"/>
    <col min="1291" max="1291" width="5" style="563" customWidth="1"/>
    <col min="1292" max="1292" width="4" style="563" customWidth="1"/>
    <col min="1293" max="1294" width="4.5703125" style="563" customWidth="1"/>
    <col min="1295" max="1295" width="4.42578125" style="563" customWidth="1"/>
    <col min="1296" max="1296" width="4" style="563" customWidth="1"/>
    <col min="1297" max="1297" width="3.5703125" style="563" customWidth="1"/>
    <col min="1298" max="1299" width="4.5703125" style="563" customWidth="1"/>
    <col min="1300" max="1300" width="4" style="563" customWidth="1"/>
    <col min="1301" max="1302" width="4.42578125" style="563" customWidth="1"/>
    <col min="1303" max="1303" width="3.5703125" style="563" customWidth="1"/>
    <col min="1304" max="1304" width="4.42578125" style="563" customWidth="1"/>
    <col min="1305" max="1305" width="5.5703125" style="563" customWidth="1"/>
    <col min="1306" max="1306" width="3.5703125" style="563" customWidth="1"/>
    <col min="1307" max="1307" width="4" style="563" customWidth="1"/>
    <col min="1308" max="1308" width="4.5703125" style="563" customWidth="1"/>
    <col min="1309" max="1311" width="4.42578125" style="563" customWidth="1"/>
    <col min="1312" max="1313" width="4.5703125" style="563" customWidth="1"/>
    <col min="1314" max="1314" width="4" style="563" customWidth="1"/>
    <col min="1315" max="1315" width="4.5703125" style="563" customWidth="1"/>
    <col min="1316" max="1316" width="6" style="563" customWidth="1"/>
    <col min="1317" max="1317" width="8.5703125" style="563" customWidth="1"/>
    <col min="1318" max="1537" width="11.42578125" style="563"/>
    <col min="1538" max="1538" width="6.42578125" style="563" customWidth="1"/>
    <col min="1539" max="1539" width="47.5703125" style="563" customWidth="1"/>
    <col min="1540" max="1541" width="5" style="563" customWidth="1"/>
    <col min="1542" max="1542" width="5.42578125" style="563" customWidth="1"/>
    <col min="1543" max="1543" width="4.5703125" style="563" customWidth="1"/>
    <col min="1544" max="1545" width="4.42578125" style="563" customWidth="1"/>
    <col min="1546" max="1546" width="3.5703125" style="563" customWidth="1"/>
    <col min="1547" max="1547" width="5" style="563" customWidth="1"/>
    <col min="1548" max="1548" width="4" style="563" customWidth="1"/>
    <col min="1549" max="1550" width="4.5703125" style="563" customWidth="1"/>
    <col min="1551" max="1551" width="4.42578125" style="563" customWidth="1"/>
    <col min="1552" max="1552" width="4" style="563" customWidth="1"/>
    <col min="1553" max="1553" width="3.5703125" style="563" customWidth="1"/>
    <col min="1554" max="1555" width="4.5703125" style="563" customWidth="1"/>
    <col min="1556" max="1556" width="4" style="563" customWidth="1"/>
    <col min="1557" max="1558" width="4.42578125" style="563" customWidth="1"/>
    <col min="1559" max="1559" width="3.5703125" style="563" customWidth="1"/>
    <col min="1560" max="1560" width="4.42578125" style="563" customWidth="1"/>
    <col min="1561" max="1561" width="5.5703125" style="563" customWidth="1"/>
    <col min="1562" max="1562" width="3.5703125" style="563" customWidth="1"/>
    <col min="1563" max="1563" width="4" style="563" customWidth="1"/>
    <col min="1564" max="1564" width="4.5703125" style="563" customWidth="1"/>
    <col min="1565" max="1567" width="4.42578125" style="563" customWidth="1"/>
    <col min="1568" max="1569" width="4.5703125" style="563" customWidth="1"/>
    <col min="1570" max="1570" width="4" style="563" customWidth="1"/>
    <col min="1571" max="1571" width="4.5703125" style="563" customWidth="1"/>
    <col min="1572" max="1572" width="6" style="563" customWidth="1"/>
    <col min="1573" max="1573" width="8.5703125" style="563" customWidth="1"/>
    <col min="1574" max="1793" width="11.42578125" style="563"/>
    <col min="1794" max="1794" width="6.42578125" style="563" customWidth="1"/>
    <col min="1795" max="1795" width="47.5703125" style="563" customWidth="1"/>
    <col min="1796" max="1797" width="5" style="563" customWidth="1"/>
    <col min="1798" max="1798" width="5.42578125" style="563" customWidth="1"/>
    <col min="1799" max="1799" width="4.5703125" style="563" customWidth="1"/>
    <col min="1800" max="1801" width="4.42578125" style="563" customWidth="1"/>
    <col min="1802" max="1802" width="3.5703125" style="563" customWidth="1"/>
    <col min="1803" max="1803" width="5" style="563" customWidth="1"/>
    <col min="1804" max="1804" width="4" style="563" customWidth="1"/>
    <col min="1805" max="1806" width="4.5703125" style="563" customWidth="1"/>
    <col min="1807" max="1807" width="4.42578125" style="563" customWidth="1"/>
    <col min="1808" max="1808" width="4" style="563" customWidth="1"/>
    <col min="1809" max="1809" width="3.5703125" style="563" customWidth="1"/>
    <col min="1810" max="1811" width="4.5703125" style="563" customWidth="1"/>
    <col min="1812" max="1812" width="4" style="563" customWidth="1"/>
    <col min="1813" max="1814" width="4.42578125" style="563" customWidth="1"/>
    <col min="1815" max="1815" width="3.5703125" style="563" customWidth="1"/>
    <col min="1816" max="1816" width="4.42578125" style="563" customWidth="1"/>
    <col min="1817" max="1817" width="5.5703125" style="563" customWidth="1"/>
    <col min="1818" max="1818" width="3.5703125" style="563" customWidth="1"/>
    <col min="1819" max="1819" width="4" style="563" customWidth="1"/>
    <col min="1820" max="1820" width="4.5703125" style="563" customWidth="1"/>
    <col min="1821" max="1823" width="4.42578125" style="563" customWidth="1"/>
    <col min="1824" max="1825" width="4.5703125" style="563" customWidth="1"/>
    <col min="1826" max="1826" width="4" style="563" customWidth="1"/>
    <col min="1827" max="1827" width="4.5703125" style="563" customWidth="1"/>
    <col min="1828" max="1828" width="6" style="563" customWidth="1"/>
    <col min="1829" max="1829" width="8.5703125" style="563" customWidth="1"/>
    <col min="1830" max="2049" width="11.42578125" style="563"/>
    <col min="2050" max="2050" width="6.42578125" style="563" customWidth="1"/>
    <col min="2051" max="2051" width="47.5703125" style="563" customWidth="1"/>
    <col min="2052" max="2053" width="5" style="563" customWidth="1"/>
    <col min="2054" max="2054" width="5.42578125" style="563" customWidth="1"/>
    <col min="2055" max="2055" width="4.5703125" style="563" customWidth="1"/>
    <col min="2056" max="2057" width="4.42578125" style="563" customWidth="1"/>
    <col min="2058" max="2058" width="3.5703125" style="563" customWidth="1"/>
    <col min="2059" max="2059" width="5" style="563" customWidth="1"/>
    <col min="2060" max="2060" width="4" style="563" customWidth="1"/>
    <col min="2061" max="2062" width="4.5703125" style="563" customWidth="1"/>
    <col min="2063" max="2063" width="4.42578125" style="563" customWidth="1"/>
    <col min="2064" max="2064" width="4" style="563" customWidth="1"/>
    <col min="2065" max="2065" width="3.5703125" style="563" customWidth="1"/>
    <col min="2066" max="2067" width="4.5703125" style="563" customWidth="1"/>
    <col min="2068" max="2068" width="4" style="563" customWidth="1"/>
    <col min="2069" max="2070" width="4.42578125" style="563" customWidth="1"/>
    <col min="2071" max="2071" width="3.5703125" style="563" customWidth="1"/>
    <col min="2072" max="2072" width="4.42578125" style="563" customWidth="1"/>
    <col min="2073" max="2073" width="5.5703125" style="563" customWidth="1"/>
    <col min="2074" max="2074" width="3.5703125" style="563" customWidth="1"/>
    <col min="2075" max="2075" width="4" style="563" customWidth="1"/>
    <col min="2076" max="2076" width="4.5703125" style="563" customWidth="1"/>
    <col min="2077" max="2079" width="4.42578125" style="563" customWidth="1"/>
    <col min="2080" max="2081" width="4.5703125" style="563" customWidth="1"/>
    <col min="2082" max="2082" width="4" style="563" customWidth="1"/>
    <col min="2083" max="2083" width="4.5703125" style="563" customWidth="1"/>
    <col min="2084" max="2084" width="6" style="563" customWidth="1"/>
    <col min="2085" max="2085" width="8.5703125" style="563" customWidth="1"/>
    <col min="2086" max="2305" width="11.42578125" style="563"/>
    <col min="2306" max="2306" width="6.42578125" style="563" customWidth="1"/>
    <col min="2307" max="2307" width="47.5703125" style="563" customWidth="1"/>
    <col min="2308" max="2309" width="5" style="563" customWidth="1"/>
    <col min="2310" max="2310" width="5.42578125" style="563" customWidth="1"/>
    <col min="2311" max="2311" width="4.5703125" style="563" customWidth="1"/>
    <col min="2312" max="2313" width="4.42578125" style="563" customWidth="1"/>
    <col min="2314" max="2314" width="3.5703125" style="563" customWidth="1"/>
    <col min="2315" max="2315" width="5" style="563" customWidth="1"/>
    <col min="2316" max="2316" width="4" style="563" customWidth="1"/>
    <col min="2317" max="2318" width="4.5703125" style="563" customWidth="1"/>
    <col min="2319" max="2319" width="4.42578125" style="563" customWidth="1"/>
    <col min="2320" max="2320" width="4" style="563" customWidth="1"/>
    <col min="2321" max="2321" width="3.5703125" style="563" customWidth="1"/>
    <col min="2322" max="2323" width="4.5703125" style="563" customWidth="1"/>
    <col min="2324" max="2324" width="4" style="563" customWidth="1"/>
    <col min="2325" max="2326" width="4.42578125" style="563" customWidth="1"/>
    <col min="2327" max="2327" width="3.5703125" style="563" customWidth="1"/>
    <col min="2328" max="2328" width="4.42578125" style="563" customWidth="1"/>
    <col min="2329" max="2329" width="5.5703125" style="563" customWidth="1"/>
    <col min="2330" max="2330" width="3.5703125" style="563" customWidth="1"/>
    <col min="2331" max="2331" width="4" style="563" customWidth="1"/>
    <col min="2332" max="2332" width="4.5703125" style="563" customWidth="1"/>
    <col min="2333" max="2335" width="4.42578125" style="563" customWidth="1"/>
    <col min="2336" max="2337" width="4.5703125" style="563" customWidth="1"/>
    <col min="2338" max="2338" width="4" style="563" customWidth="1"/>
    <col min="2339" max="2339" width="4.5703125" style="563" customWidth="1"/>
    <col min="2340" max="2340" width="6" style="563" customWidth="1"/>
    <col min="2341" max="2341" width="8.5703125" style="563" customWidth="1"/>
    <col min="2342" max="2561" width="11.42578125" style="563"/>
    <col min="2562" max="2562" width="6.42578125" style="563" customWidth="1"/>
    <col min="2563" max="2563" width="47.5703125" style="563" customWidth="1"/>
    <col min="2564" max="2565" width="5" style="563" customWidth="1"/>
    <col min="2566" max="2566" width="5.42578125" style="563" customWidth="1"/>
    <col min="2567" max="2567" width="4.5703125" style="563" customWidth="1"/>
    <col min="2568" max="2569" width="4.42578125" style="563" customWidth="1"/>
    <col min="2570" max="2570" width="3.5703125" style="563" customWidth="1"/>
    <col min="2571" max="2571" width="5" style="563" customWidth="1"/>
    <col min="2572" max="2572" width="4" style="563" customWidth="1"/>
    <col min="2573" max="2574" width="4.5703125" style="563" customWidth="1"/>
    <col min="2575" max="2575" width="4.42578125" style="563" customWidth="1"/>
    <col min="2576" max="2576" width="4" style="563" customWidth="1"/>
    <col min="2577" max="2577" width="3.5703125" style="563" customWidth="1"/>
    <col min="2578" max="2579" width="4.5703125" style="563" customWidth="1"/>
    <col min="2580" max="2580" width="4" style="563" customWidth="1"/>
    <col min="2581" max="2582" width="4.42578125" style="563" customWidth="1"/>
    <col min="2583" max="2583" width="3.5703125" style="563" customWidth="1"/>
    <col min="2584" max="2584" width="4.42578125" style="563" customWidth="1"/>
    <col min="2585" max="2585" width="5.5703125" style="563" customWidth="1"/>
    <col min="2586" max="2586" width="3.5703125" style="563" customWidth="1"/>
    <col min="2587" max="2587" width="4" style="563" customWidth="1"/>
    <col min="2588" max="2588" width="4.5703125" style="563" customWidth="1"/>
    <col min="2589" max="2591" width="4.42578125" style="563" customWidth="1"/>
    <col min="2592" max="2593" width="4.5703125" style="563" customWidth="1"/>
    <col min="2594" max="2594" width="4" style="563" customWidth="1"/>
    <col min="2595" max="2595" width="4.5703125" style="563" customWidth="1"/>
    <col min="2596" max="2596" width="6" style="563" customWidth="1"/>
    <col min="2597" max="2597" width="8.5703125" style="563" customWidth="1"/>
    <col min="2598" max="2817" width="11.42578125" style="563"/>
    <col min="2818" max="2818" width="6.42578125" style="563" customWidth="1"/>
    <col min="2819" max="2819" width="47.5703125" style="563" customWidth="1"/>
    <col min="2820" max="2821" width="5" style="563" customWidth="1"/>
    <col min="2822" max="2822" width="5.42578125" style="563" customWidth="1"/>
    <col min="2823" max="2823" width="4.5703125" style="563" customWidth="1"/>
    <col min="2824" max="2825" width="4.42578125" style="563" customWidth="1"/>
    <col min="2826" max="2826" width="3.5703125" style="563" customWidth="1"/>
    <col min="2827" max="2827" width="5" style="563" customWidth="1"/>
    <col min="2828" max="2828" width="4" style="563" customWidth="1"/>
    <col min="2829" max="2830" width="4.5703125" style="563" customWidth="1"/>
    <col min="2831" max="2831" width="4.42578125" style="563" customWidth="1"/>
    <col min="2832" max="2832" width="4" style="563" customWidth="1"/>
    <col min="2833" max="2833" width="3.5703125" style="563" customWidth="1"/>
    <col min="2834" max="2835" width="4.5703125" style="563" customWidth="1"/>
    <col min="2836" max="2836" width="4" style="563" customWidth="1"/>
    <col min="2837" max="2838" width="4.42578125" style="563" customWidth="1"/>
    <col min="2839" max="2839" width="3.5703125" style="563" customWidth="1"/>
    <col min="2840" max="2840" width="4.42578125" style="563" customWidth="1"/>
    <col min="2841" max="2841" width="5.5703125" style="563" customWidth="1"/>
    <col min="2842" max="2842" width="3.5703125" style="563" customWidth="1"/>
    <col min="2843" max="2843" width="4" style="563" customWidth="1"/>
    <col min="2844" max="2844" width="4.5703125" style="563" customWidth="1"/>
    <col min="2845" max="2847" width="4.42578125" style="563" customWidth="1"/>
    <col min="2848" max="2849" width="4.5703125" style="563" customWidth="1"/>
    <col min="2850" max="2850" width="4" style="563" customWidth="1"/>
    <col min="2851" max="2851" width="4.5703125" style="563" customWidth="1"/>
    <col min="2852" max="2852" width="6" style="563" customWidth="1"/>
    <col min="2853" max="2853" width="8.5703125" style="563" customWidth="1"/>
    <col min="2854" max="3073" width="11.42578125" style="563"/>
    <col min="3074" max="3074" width="6.42578125" style="563" customWidth="1"/>
    <col min="3075" max="3075" width="47.5703125" style="563" customWidth="1"/>
    <col min="3076" max="3077" width="5" style="563" customWidth="1"/>
    <col min="3078" max="3078" width="5.42578125" style="563" customWidth="1"/>
    <col min="3079" max="3079" width="4.5703125" style="563" customWidth="1"/>
    <col min="3080" max="3081" width="4.42578125" style="563" customWidth="1"/>
    <col min="3082" max="3082" width="3.5703125" style="563" customWidth="1"/>
    <col min="3083" max="3083" width="5" style="563" customWidth="1"/>
    <col min="3084" max="3084" width="4" style="563" customWidth="1"/>
    <col min="3085" max="3086" width="4.5703125" style="563" customWidth="1"/>
    <col min="3087" max="3087" width="4.42578125" style="563" customWidth="1"/>
    <col min="3088" max="3088" width="4" style="563" customWidth="1"/>
    <col min="3089" max="3089" width="3.5703125" style="563" customWidth="1"/>
    <col min="3090" max="3091" width="4.5703125" style="563" customWidth="1"/>
    <col min="3092" max="3092" width="4" style="563" customWidth="1"/>
    <col min="3093" max="3094" width="4.42578125" style="563" customWidth="1"/>
    <col min="3095" max="3095" width="3.5703125" style="563" customWidth="1"/>
    <col min="3096" max="3096" width="4.42578125" style="563" customWidth="1"/>
    <col min="3097" max="3097" width="5.5703125" style="563" customWidth="1"/>
    <col min="3098" max="3098" width="3.5703125" style="563" customWidth="1"/>
    <col min="3099" max="3099" width="4" style="563" customWidth="1"/>
    <col min="3100" max="3100" width="4.5703125" style="563" customWidth="1"/>
    <col min="3101" max="3103" width="4.42578125" style="563" customWidth="1"/>
    <col min="3104" max="3105" width="4.5703125" style="563" customWidth="1"/>
    <col min="3106" max="3106" width="4" style="563" customWidth="1"/>
    <col min="3107" max="3107" width="4.5703125" style="563" customWidth="1"/>
    <col min="3108" max="3108" width="6" style="563" customWidth="1"/>
    <col min="3109" max="3109" width="8.5703125" style="563" customWidth="1"/>
    <col min="3110" max="3329" width="11.42578125" style="563"/>
    <col min="3330" max="3330" width="6.42578125" style="563" customWidth="1"/>
    <col min="3331" max="3331" width="47.5703125" style="563" customWidth="1"/>
    <col min="3332" max="3333" width="5" style="563" customWidth="1"/>
    <col min="3334" max="3334" width="5.42578125" style="563" customWidth="1"/>
    <col min="3335" max="3335" width="4.5703125" style="563" customWidth="1"/>
    <col min="3336" max="3337" width="4.42578125" style="563" customWidth="1"/>
    <col min="3338" max="3338" width="3.5703125" style="563" customWidth="1"/>
    <col min="3339" max="3339" width="5" style="563" customWidth="1"/>
    <col min="3340" max="3340" width="4" style="563" customWidth="1"/>
    <col min="3341" max="3342" width="4.5703125" style="563" customWidth="1"/>
    <col min="3343" max="3343" width="4.42578125" style="563" customWidth="1"/>
    <col min="3344" max="3344" width="4" style="563" customWidth="1"/>
    <col min="3345" max="3345" width="3.5703125" style="563" customWidth="1"/>
    <col min="3346" max="3347" width="4.5703125" style="563" customWidth="1"/>
    <col min="3348" max="3348" width="4" style="563" customWidth="1"/>
    <col min="3349" max="3350" width="4.42578125" style="563" customWidth="1"/>
    <col min="3351" max="3351" width="3.5703125" style="563" customWidth="1"/>
    <col min="3352" max="3352" width="4.42578125" style="563" customWidth="1"/>
    <col min="3353" max="3353" width="5.5703125" style="563" customWidth="1"/>
    <col min="3354" max="3354" width="3.5703125" style="563" customWidth="1"/>
    <col min="3355" max="3355" width="4" style="563" customWidth="1"/>
    <col min="3356" max="3356" width="4.5703125" style="563" customWidth="1"/>
    <col min="3357" max="3359" width="4.42578125" style="563" customWidth="1"/>
    <col min="3360" max="3361" width="4.5703125" style="563" customWidth="1"/>
    <col min="3362" max="3362" width="4" style="563" customWidth="1"/>
    <col min="3363" max="3363" width="4.5703125" style="563" customWidth="1"/>
    <col min="3364" max="3364" width="6" style="563" customWidth="1"/>
    <col min="3365" max="3365" width="8.5703125" style="563" customWidth="1"/>
    <col min="3366" max="3585" width="11.42578125" style="563"/>
    <col min="3586" max="3586" width="6.42578125" style="563" customWidth="1"/>
    <col min="3587" max="3587" width="47.5703125" style="563" customWidth="1"/>
    <col min="3588" max="3589" width="5" style="563" customWidth="1"/>
    <col min="3590" max="3590" width="5.42578125" style="563" customWidth="1"/>
    <col min="3591" max="3591" width="4.5703125" style="563" customWidth="1"/>
    <col min="3592" max="3593" width="4.42578125" style="563" customWidth="1"/>
    <col min="3594" max="3594" width="3.5703125" style="563" customWidth="1"/>
    <col min="3595" max="3595" width="5" style="563" customWidth="1"/>
    <col min="3596" max="3596" width="4" style="563" customWidth="1"/>
    <col min="3597" max="3598" width="4.5703125" style="563" customWidth="1"/>
    <col min="3599" max="3599" width="4.42578125" style="563" customWidth="1"/>
    <col min="3600" max="3600" width="4" style="563" customWidth="1"/>
    <col min="3601" max="3601" width="3.5703125" style="563" customWidth="1"/>
    <col min="3602" max="3603" width="4.5703125" style="563" customWidth="1"/>
    <col min="3604" max="3604" width="4" style="563" customWidth="1"/>
    <col min="3605" max="3606" width="4.42578125" style="563" customWidth="1"/>
    <col min="3607" max="3607" width="3.5703125" style="563" customWidth="1"/>
    <col min="3608" max="3608" width="4.42578125" style="563" customWidth="1"/>
    <col min="3609" max="3609" width="5.5703125" style="563" customWidth="1"/>
    <col min="3610" max="3610" width="3.5703125" style="563" customWidth="1"/>
    <col min="3611" max="3611" width="4" style="563" customWidth="1"/>
    <col min="3612" max="3612" width="4.5703125" style="563" customWidth="1"/>
    <col min="3613" max="3615" width="4.42578125" style="563" customWidth="1"/>
    <col min="3616" max="3617" width="4.5703125" style="563" customWidth="1"/>
    <col min="3618" max="3618" width="4" style="563" customWidth="1"/>
    <col min="3619" max="3619" width="4.5703125" style="563" customWidth="1"/>
    <col min="3620" max="3620" width="6" style="563" customWidth="1"/>
    <col min="3621" max="3621" width="8.5703125" style="563" customWidth="1"/>
    <col min="3622" max="3841" width="11.42578125" style="563"/>
    <col min="3842" max="3842" width="6.42578125" style="563" customWidth="1"/>
    <col min="3843" max="3843" width="47.5703125" style="563" customWidth="1"/>
    <col min="3844" max="3845" width="5" style="563" customWidth="1"/>
    <col min="3846" max="3846" width="5.42578125" style="563" customWidth="1"/>
    <col min="3847" max="3847" width="4.5703125" style="563" customWidth="1"/>
    <col min="3848" max="3849" width="4.42578125" style="563" customWidth="1"/>
    <col min="3850" max="3850" width="3.5703125" style="563" customWidth="1"/>
    <col min="3851" max="3851" width="5" style="563" customWidth="1"/>
    <col min="3852" max="3852" width="4" style="563" customWidth="1"/>
    <col min="3853" max="3854" width="4.5703125" style="563" customWidth="1"/>
    <col min="3855" max="3855" width="4.42578125" style="563" customWidth="1"/>
    <col min="3856" max="3856" width="4" style="563" customWidth="1"/>
    <col min="3857" max="3857" width="3.5703125" style="563" customWidth="1"/>
    <col min="3858" max="3859" width="4.5703125" style="563" customWidth="1"/>
    <col min="3860" max="3860" width="4" style="563" customWidth="1"/>
    <col min="3861" max="3862" width="4.42578125" style="563" customWidth="1"/>
    <col min="3863" max="3863" width="3.5703125" style="563" customWidth="1"/>
    <col min="3864" max="3864" width="4.42578125" style="563" customWidth="1"/>
    <col min="3865" max="3865" width="5.5703125" style="563" customWidth="1"/>
    <col min="3866" max="3866" width="3.5703125" style="563" customWidth="1"/>
    <col min="3867" max="3867" width="4" style="563" customWidth="1"/>
    <col min="3868" max="3868" width="4.5703125" style="563" customWidth="1"/>
    <col min="3869" max="3871" width="4.42578125" style="563" customWidth="1"/>
    <col min="3872" max="3873" width="4.5703125" style="563" customWidth="1"/>
    <col min="3874" max="3874" width="4" style="563" customWidth="1"/>
    <col min="3875" max="3875" width="4.5703125" style="563" customWidth="1"/>
    <col min="3876" max="3876" width="6" style="563" customWidth="1"/>
    <col min="3877" max="3877" width="8.5703125" style="563" customWidth="1"/>
    <col min="3878" max="4097" width="11.42578125" style="563"/>
    <col min="4098" max="4098" width="6.42578125" style="563" customWidth="1"/>
    <col min="4099" max="4099" width="47.5703125" style="563" customWidth="1"/>
    <col min="4100" max="4101" width="5" style="563" customWidth="1"/>
    <col min="4102" max="4102" width="5.42578125" style="563" customWidth="1"/>
    <col min="4103" max="4103" width="4.5703125" style="563" customWidth="1"/>
    <col min="4104" max="4105" width="4.42578125" style="563" customWidth="1"/>
    <col min="4106" max="4106" width="3.5703125" style="563" customWidth="1"/>
    <col min="4107" max="4107" width="5" style="563" customWidth="1"/>
    <col min="4108" max="4108" width="4" style="563" customWidth="1"/>
    <col min="4109" max="4110" width="4.5703125" style="563" customWidth="1"/>
    <col min="4111" max="4111" width="4.42578125" style="563" customWidth="1"/>
    <col min="4112" max="4112" width="4" style="563" customWidth="1"/>
    <col min="4113" max="4113" width="3.5703125" style="563" customWidth="1"/>
    <col min="4114" max="4115" width="4.5703125" style="563" customWidth="1"/>
    <col min="4116" max="4116" width="4" style="563" customWidth="1"/>
    <col min="4117" max="4118" width="4.42578125" style="563" customWidth="1"/>
    <col min="4119" max="4119" width="3.5703125" style="563" customWidth="1"/>
    <col min="4120" max="4120" width="4.42578125" style="563" customWidth="1"/>
    <col min="4121" max="4121" width="5.5703125" style="563" customWidth="1"/>
    <col min="4122" max="4122" width="3.5703125" style="563" customWidth="1"/>
    <col min="4123" max="4123" width="4" style="563" customWidth="1"/>
    <col min="4124" max="4124" width="4.5703125" style="563" customWidth="1"/>
    <col min="4125" max="4127" width="4.42578125" style="563" customWidth="1"/>
    <col min="4128" max="4129" width="4.5703125" style="563" customWidth="1"/>
    <col min="4130" max="4130" width="4" style="563" customWidth="1"/>
    <col min="4131" max="4131" width="4.5703125" style="563" customWidth="1"/>
    <col min="4132" max="4132" width="6" style="563" customWidth="1"/>
    <col min="4133" max="4133" width="8.5703125" style="563" customWidth="1"/>
    <col min="4134" max="4353" width="11.42578125" style="563"/>
    <col min="4354" max="4354" width="6.42578125" style="563" customWidth="1"/>
    <col min="4355" max="4355" width="47.5703125" style="563" customWidth="1"/>
    <col min="4356" max="4357" width="5" style="563" customWidth="1"/>
    <col min="4358" max="4358" width="5.42578125" style="563" customWidth="1"/>
    <col min="4359" max="4359" width="4.5703125" style="563" customWidth="1"/>
    <col min="4360" max="4361" width="4.42578125" style="563" customWidth="1"/>
    <col min="4362" max="4362" width="3.5703125" style="563" customWidth="1"/>
    <col min="4363" max="4363" width="5" style="563" customWidth="1"/>
    <col min="4364" max="4364" width="4" style="563" customWidth="1"/>
    <col min="4365" max="4366" width="4.5703125" style="563" customWidth="1"/>
    <col min="4367" max="4367" width="4.42578125" style="563" customWidth="1"/>
    <col min="4368" max="4368" width="4" style="563" customWidth="1"/>
    <col min="4369" max="4369" width="3.5703125" style="563" customWidth="1"/>
    <col min="4370" max="4371" width="4.5703125" style="563" customWidth="1"/>
    <col min="4372" max="4372" width="4" style="563" customWidth="1"/>
    <col min="4373" max="4374" width="4.42578125" style="563" customWidth="1"/>
    <col min="4375" max="4375" width="3.5703125" style="563" customWidth="1"/>
    <col min="4376" max="4376" width="4.42578125" style="563" customWidth="1"/>
    <col min="4377" max="4377" width="5.5703125" style="563" customWidth="1"/>
    <col min="4378" max="4378" width="3.5703125" style="563" customWidth="1"/>
    <col min="4379" max="4379" width="4" style="563" customWidth="1"/>
    <col min="4380" max="4380" width="4.5703125" style="563" customWidth="1"/>
    <col min="4381" max="4383" width="4.42578125" style="563" customWidth="1"/>
    <col min="4384" max="4385" width="4.5703125" style="563" customWidth="1"/>
    <col min="4386" max="4386" width="4" style="563" customWidth="1"/>
    <col min="4387" max="4387" width="4.5703125" style="563" customWidth="1"/>
    <col min="4388" max="4388" width="6" style="563" customWidth="1"/>
    <col min="4389" max="4389" width="8.5703125" style="563" customWidth="1"/>
    <col min="4390" max="4609" width="11.42578125" style="563"/>
    <col min="4610" max="4610" width="6.42578125" style="563" customWidth="1"/>
    <col min="4611" max="4611" width="47.5703125" style="563" customWidth="1"/>
    <col min="4612" max="4613" width="5" style="563" customWidth="1"/>
    <col min="4614" max="4614" width="5.42578125" style="563" customWidth="1"/>
    <col min="4615" max="4615" width="4.5703125" style="563" customWidth="1"/>
    <col min="4616" max="4617" width="4.42578125" style="563" customWidth="1"/>
    <col min="4618" max="4618" width="3.5703125" style="563" customWidth="1"/>
    <col min="4619" max="4619" width="5" style="563" customWidth="1"/>
    <col min="4620" max="4620" width="4" style="563" customWidth="1"/>
    <col min="4621" max="4622" width="4.5703125" style="563" customWidth="1"/>
    <col min="4623" max="4623" width="4.42578125" style="563" customWidth="1"/>
    <col min="4624" max="4624" width="4" style="563" customWidth="1"/>
    <col min="4625" max="4625" width="3.5703125" style="563" customWidth="1"/>
    <col min="4626" max="4627" width="4.5703125" style="563" customWidth="1"/>
    <col min="4628" max="4628" width="4" style="563" customWidth="1"/>
    <col min="4629" max="4630" width="4.42578125" style="563" customWidth="1"/>
    <col min="4631" max="4631" width="3.5703125" style="563" customWidth="1"/>
    <col min="4632" max="4632" width="4.42578125" style="563" customWidth="1"/>
    <col min="4633" max="4633" width="5.5703125" style="563" customWidth="1"/>
    <col min="4634" max="4634" width="3.5703125" style="563" customWidth="1"/>
    <col min="4635" max="4635" width="4" style="563" customWidth="1"/>
    <col min="4636" max="4636" width="4.5703125" style="563" customWidth="1"/>
    <col min="4637" max="4639" width="4.42578125" style="563" customWidth="1"/>
    <col min="4640" max="4641" width="4.5703125" style="563" customWidth="1"/>
    <col min="4642" max="4642" width="4" style="563" customWidth="1"/>
    <col min="4643" max="4643" width="4.5703125" style="563" customWidth="1"/>
    <col min="4644" max="4644" width="6" style="563" customWidth="1"/>
    <col min="4645" max="4645" width="8.5703125" style="563" customWidth="1"/>
    <col min="4646" max="4865" width="11.42578125" style="563"/>
    <col min="4866" max="4866" width="6.42578125" style="563" customWidth="1"/>
    <col min="4867" max="4867" width="47.5703125" style="563" customWidth="1"/>
    <col min="4868" max="4869" width="5" style="563" customWidth="1"/>
    <col min="4870" max="4870" width="5.42578125" style="563" customWidth="1"/>
    <col min="4871" max="4871" width="4.5703125" style="563" customWidth="1"/>
    <col min="4872" max="4873" width="4.42578125" style="563" customWidth="1"/>
    <col min="4874" max="4874" width="3.5703125" style="563" customWidth="1"/>
    <col min="4875" max="4875" width="5" style="563" customWidth="1"/>
    <col min="4876" max="4876" width="4" style="563" customWidth="1"/>
    <col min="4877" max="4878" width="4.5703125" style="563" customWidth="1"/>
    <col min="4879" max="4879" width="4.42578125" style="563" customWidth="1"/>
    <col min="4880" max="4880" width="4" style="563" customWidth="1"/>
    <col min="4881" max="4881" width="3.5703125" style="563" customWidth="1"/>
    <col min="4882" max="4883" width="4.5703125" style="563" customWidth="1"/>
    <col min="4884" max="4884" width="4" style="563" customWidth="1"/>
    <col min="4885" max="4886" width="4.42578125" style="563" customWidth="1"/>
    <col min="4887" max="4887" width="3.5703125" style="563" customWidth="1"/>
    <col min="4888" max="4888" width="4.42578125" style="563" customWidth="1"/>
    <col min="4889" max="4889" width="5.5703125" style="563" customWidth="1"/>
    <col min="4890" max="4890" width="3.5703125" style="563" customWidth="1"/>
    <col min="4891" max="4891" width="4" style="563" customWidth="1"/>
    <col min="4892" max="4892" width="4.5703125" style="563" customWidth="1"/>
    <col min="4893" max="4895" width="4.42578125" style="563" customWidth="1"/>
    <col min="4896" max="4897" width="4.5703125" style="563" customWidth="1"/>
    <col min="4898" max="4898" width="4" style="563" customWidth="1"/>
    <col min="4899" max="4899" width="4.5703125" style="563" customWidth="1"/>
    <col min="4900" max="4900" width="6" style="563" customWidth="1"/>
    <col min="4901" max="4901" width="8.5703125" style="563" customWidth="1"/>
    <col min="4902" max="5121" width="11.42578125" style="563"/>
    <col min="5122" max="5122" width="6.42578125" style="563" customWidth="1"/>
    <col min="5123" max="5123" width="47.5703125" style="563" customWidth="1"/>
    <col min="5124" max="5125" width="5" style="563" customWidth="1"/>
    <col min="5126" max="5126" width="5.42578125" style="563" customWidth="1"/>
    <col min="5127" max="5127" width="4.5703125" style="563" customWidth="1"/>
    <col min="5128" max="5129" width="4.42578125" style="563" customWidth="1"/>
    <col min="5130" max="5130" width="3.5703125" style="563" customWidth="1"/>
    <col min="5131" max="5131" width="5" style="563" customWidth="1"/>
    <col min="5132" max="5132" width="4" style="563" customWidth="1"/>
    <col min="5133" max="5134" width="4.5703125" style="563" customWidth="1"/>
    <col min="5135" max="5135" width="4.42578125" style="563" customWidth="1"/>
    <col min="5136" max="5136" width="4" style="563" customWidth="1"/>
    <col min="5137" max="5137" width="3.5703125" style="563" customWidth="1"/>
    <col min="5138" max="5139" width="4.5703125" style="563" customWidth="1"/>
    <col min="5140" max="5140" width="4" style="563" customWidth="1"/>
    <col min="5141" max="5142" width="4.42578125" style="563" customWidth="1"/>
    <col min="5143" max="5143" width="3.5703125" style="563" customWidth="1"/>
    <col min="5144" max="5144" width="4.42578125" style="563" customWidth="1"/>
    <col min="5145" max="5145" width="5.5703125" style="563" customWidth="1"/>
    <col min="5146" max="5146" width="3.5703125" style="563" customWidth="1"/>
    <col min="5147" max="5147" width="4" style="563" customWidth="1"/>
    <col min="5148" max="5148" width="4.5703125" style="563" customWidth="1"/>
    <col min="5149" max="5151" width="4.42578125" style="563" customWidth="1"/>
    <col min="5152" max="5153" width="4.5703125" style="563" customWidth="1"/>
    <col min="5154" max="5154" width="4" style="563" customWidth="1"/>
    <col min="5155" max="5155" width="4.5703125" style="563" customWidth="1"/>
    <col min="5156" max="5156" width="6" style="563" customWidth="1"/>
    <col min="5157" max="5157" width="8.5703125" style="563" customWidth="1"/>
    <col min="5158" max="5377" width="11.42578125" style="563"/>
    <col min="5378" max="5378" width="6.42578125" style="563" customWidth="1"/>
    <col min="5379" max="5379" width="47.5703125" style="563" customWidth="1"/>
    <col min="5380" max="5381" width="5" style="563" customWidth="1"/>
    <col min="5382" max="5382" width="5.42578125" style="563" customWidth="1"/>
    <col min="5383" max="5383" width="4.5703125" style="563" customWidth="1"/>
    <col min="5384" max="5385" width="4.42578125" style="563" customWidth="1"/>
    <col min="5386" max="5386" width="3.5703125" style="563" customWidth="1"/>
    <col min="5387" max="5387" width="5" style="563" customWidth="1"/>
    <col min="5388" max="5388" width="4" style="563" customWidth="1"/>
    <col min="5389" max="5390" width="4.5703125" style="563" customWidth="1"/>
    <col min="5391" max="5391" width="4.42578125" style="563" customWidth="1"/>
    <col min="5392" max="5392" width="4" style="563" customWidth="1"/>
    <col min="5393" max="5393" width="3.5703125" style="563" customWidth="1"/>
    <col min="5394" max="5395" width="4.5703125" style="563" customWidth="1"/>
    <col min="5396" max="5396" width="4" style="563" customWidth="1"/>
    <col min="5397" max="5398" width="4.42578125" style="563" customWidth="1"/>
    <col min="5399" max="5399" width="3.5703125" style="563" customWidth="1"/>
    <col min="5400" max="5400" width="4.42578125" style="563" customWidth="1"/>
    <col min="5401" max="5401" width="5.5703125" style="563" customWidth="1"/>
    <col min="5402" max="5402" width="3.5703125" style="563" customWidth="1"/>
    <col min="5403" max="5403" width="4" style="563" customWidth="1"/>
    <col min="5404" max="5404" width="4.5703125" style="563" customWidth="1"/>
    <col min="5405" max="5407" width="4.42578125" style="563" customWidth="1"/>
    <col min="5408" max="5409" width="4.5703125" style="563" customWidth="1"/>
    <col min="5410" max="5410" width="4" style="563" customWidth="1"/>
    <col min="5411" max="5411" width="4.5703125" style="563" customWidth="1"/>
    <col min="5412" max="5412" width="6" style="563" customWidth="1"/>
    <col min="5413" max="5413" width="8.5703125" style="563" customWidth="1"/>
    <col min="5414" max="5633" width="11.42578125" style="563"/>
    <col min="5634" max="5634" width="6.42578125" style="563" customWidth="1"/>
    <col min="5635" max="5635" width="47.5703125" style="563" customWidth="1"/>
    <col min="5636" max="5637" width="5" style="563" customWidth="1"/>
    <col min="5638" max="5638" width="5.42578125" style="563" customWidth="1"/>
    <col min="5639" max="5639" width="4.5703125" style="563" customWidth="1"/>
    <col min="5640" max="5641" width="4.42578125" style="563" customWidth="1"/>
    <col min="5642" max="5642" width="3.5703125" style="563" customWidth="1"/>
    <col min="5643" max="5643" width="5" style="563" customWidth="1"/>
    <col min="5644" max="5644" width="4" style="563" customWidth="1"/>
    <col min="5645" max="5646" width="4.5703125" style="563" customWidth="1"/>
    <col min="5647" max="5647" width="4.42578125" style="563" customWidth="1"/>
    <col min="5648" max="5648" width="4" style="563" customWidth="1"/>
    <col min="5649" max="5649" width="3.5703125" style="563" customWidth="1"/>
    <col min="5650" max="5651" width="4.5703125" style="563" customWidth="1"/>
    <col min="5652" max="5652" width="4" style="563" customWidth="1"/>
    <col min="5653" max="5654" width="4.42578125" style="563" customWidth="1"/>
    <col min="5655" max="5655" width="3.5703125" style="563" customWidth="1"/>
    <col min="5656" max="5656" width="4.42578125" style="563" customWidth="1"/>
    <col min="5657" max="5657" width="5.5703125" style="563" customWidth="1"/>
    <col min="5658" max="5658" width="3.5703125" style="563" customWidth="1"/>
    <col min="5659" max="5659" width="4" style="563" customWidth="1"/>
    <col min="5660" max="5660" width="4.5703125" style="563" customWidth="1"/>
    <col min="5661" max="5663" width="4.42578125" style="563" customWidth="1"/>
    <col min="5664" max="5665" width="4.5703125" style="563" customWidth="1"/>
    <col min="5666" max="5666" width="4" style="563" customWidth="1"/>
    <col min="5667" max="5667" width="4.5703125" style="563" customWidth="1"/>
    <col min="5668" max="5668" width="6" style="563" customWidth="1"/>
    <col min="5669" max="5669" width="8.5703125" style="563" customWidth="1"/>
    <col min="5670" max="5889" width="11.42578125" style="563"/>
    <col min="5890" max="5890" width="6.42578125" style="563" customWidth="1"/>
    <col min="5891" max="5891" width="47.5703125" style="563" customWidth="1"/>
    <col min="5892" max="5893" width="5" style="563" customWidth="1"/>
    <col min="5894" max="5894" width="5.42578125" style="563" customWidth="1"/>
    <col min="5895" max="5895" width="4.5703125" style="563" customWidth="1"/>
    <col min="5896" max="5897" width="4.42578125" style="563" customWidth="1"/>
    <col min="5898" max="5898" width="3.5703125" style="563" customWidth="1"/>
    <col min="5899" max="5899" width="5" style="563" customWidth="1"/>
    <col min="5900" max="5900" width="4" style="563" customWidth="1"/>
    <col min="5901" max="5902" width="4.5703125" style="563" customWidth="1"/>
    <col min="5903" max="5903" width="4.42578125" style="563" customWidth="1"/>
    <col min="5904" max="5904" width="4" style="563" customWidth="1"/>
    <col min="5905" max="5905" width="3.5703125" style="563" customWidth="1"/>
    <col min="5906" max="5907" width="4.5703125" style="563" customWidth="1"/>
    <col min="5908" max="5908" width="4" style="563" customWidth="1"/>
    <col min="5909" max="5910" width="4.42578125" style="563" customWidth="1"/>
    <col min="5911" max="5911" width="3.5703125" style="563" customWidth="1"/>
    <col min="5912" max="5912" width="4.42578125" style="563" customWidth="1"/>
    <col min="5913" max="5913" width="5.5703125" style="563" customWidth="1"/>
    <col min="5914" max="5914" width="3.5703125" style="563" customWidth="1"/>
    <col min="5915" max="5915" width="4" style="563" customWidth="1"/>
    <col min="5916" max="5916" width="4.5703125" style="563" customWidth="1"/>
    <col min="5917" max="5919" width="4.42578125" style="563" customWidth="1"/>
    <col min="5920" max="5921" width="4.5703125" style="563" customWidth="1"/>
    <col min="5922" max="5922" width="4" style="563" customWidth="1"/>
    <col min="5923" max="5923" width="4.5703125" style="563" customWidth="1"/>
    <col min="5924" max="5924" width="6" style="563" customWidth="1"/>
    <col min="5925" max="5925" width="8.5703125" style="563" customWidth="1"/>
    <col min="5926" max="6145" width="11.42578125" style="563"/>
    <col min="6146" max="6146" width="6.42578125" style="563" customWidth="1"/>
    <col min="6147" max="6147" width="47.5703125" style="563" customWidth="1"/>
    <col min="6148" max="6149" width="5" style="563" customWidth="1"/>
    <col min="6150" max="6150" width="5.42578125" style="563" customWidth="1"/>
    <col min="6151" max="6151" width="4.5703125" style="563" customWidth="1"/>
    <col min="6152" max="6153" width="4.42578125" style="563" customWidth="1"/>
    <col min="6154" max="6154" width="3.5703125" style="563" customWidth="1"/>
    <col min="6155" max="6155" width="5" style="563" customWidth="1"/>
    <col min="6156" max="6156" width="4" style="563" customWidth="1"/>
    <col min="6157" max="6158" width="4.5703125" style="563" customWidth="1"/>
    <col min="6159" max="6159" width="4.42578125" style="563" customWidth="1"/>
    <col min="6160" max="6160" width="4" style="563" customWidth="1"/>
    <col min="6161" max="6161" width="3.5703125" style="563" customWidth="1"/>
    <col min="6162" max="6163" width="4.5703125" style="563" customWidth="1"/>
    <col min="6164" max="6164" width="4" style="563" customWidth="1"/>
    <col min="6165" max="6166" width="4.42578125" style="563" customWidth="1"/>
    <col min="6167" max="6167" width="3.5703125" style="563" customWidth="1"/>
    <col min="6168" max="6168" width="4.42578125" style="563" customWidth="1"/>
    <col min="6169" max="6169" width="5.5703125" style="563" customWidth="1"/>
    <col min="6170" max="6170" width="3.5703125" style="563" customWidth="1"/>
    <col min="6171" max="6171" width="4" style="563" customWidth="1"/>
    <col min="6172" max="6172" width="4.5703125" style="563" customWidth="1"/>
    <col min="6173" max="6175" width="4.42578125" style="563" customWidth="1"/>
    <col min="6176" max="6177" width="4.5703125" style="563" customWidth="1"/>
    <col min="6178" max="6178" width="4" style="563" customWidth="1"/>
    <col min="6179" max="6179" width="4.5703125" style="563" customWidth="1"/>
    <col min="6180" max="6180" width="6" style="563" customWidth="1"/>
    <col min="6181" max="6181" width="8.5703125" style="563" customWidth="1"/>
    <col min="6182" max="6401" width="11.42578125" style="563"/>
    <col min="6402" max="6402" width="6.42578125" style="563" customWidth="1"/>
    <col min="6403" max="6403" width="47.5703125" style="563" customWidth="1"/>
    <col min="6404" max="6405" width="5" style="563" customWidth="1"/>
    <col min="6406" max="6406" width="5.42578125" style="563" customWidth="1"/>
    <col min="6407" max="6407" width="4.5703125" style="563" customWidth="1"/>
    <col min="6408" max="6409" width="4.42578125" style="563" customWidth="1"/>
    <col min="6410" max="6410" width="3.5703125" style="563" customWidth="1"/>
    <col min="6411" max="6411" width="5" style="563" customWidth="1"/>
    <col min="6412" max="6412" width="4" style="563" customWidth="1"/>
    <col min="6413" max="6414" width="4.5703125" style="563" customWidth="1"/>
    <col min="6415" max="6415" width="4.42578125" style="563" customWidth="1"/>
    <col min="6416" max="6416" width="4" style="563" customWidth="1"/>
    <col min="6417" max="6417" width="3.5703125" style="563" customWidth="1"/>
    <col min="6418" max="6419" width="4.5703125" style="563" customWidth="1"/>
    <col min="6420" max="6420" width="4" style="563" customWidth="1"/>
    <col min="6421" max="6422" width="4.42578125" style="563" customWidth="1"/>
    <col min="6423" max="6423" width="3.5703125" style="563" customWidth="1"/>
    <col min="6424" max="6424" width="4.42578125" style="563" customWidth="1"/>
    <col min="6425" max="6425" width="5.5703125" style="563" customWidth="1"/>
    <col min="6426" max="6426" width="3.5703125" style="563" customWidth="1"/>
    <col min="6427" max="6427" width="4" style="563" customWidth="1"/>
    <col min="6428" max="6428" width="4.5703125" style="563" customWidth="1"/>
    <col min="6429" max="6431" width="4.42578125" style="563" customWidth="1"/>
    <col min="6432" max="6433" width="4.5703125" style="563" customWidth="1"/>
    <col min="6434" max="6434" width="4" style="563" customWidth="1"/>
    <col min="6435" max="6435" width="4.5703125" style="563" customWidth="1"/>
    <col min="6436" max="6436" width="6" style="563" customWidth="1"/>
    <col min="6437" max="6437" width="8.5703125" style="563" customWidth="1"/>
    <col min="6438" max="6657" width="11.42578125" style="563"/>
    <col min="6658" max="6658" width="6.42578125" style="563" customWidth="1"/>
    <col min="6659" max="6659" width="47.5703125" style="563" customWidth="1"/>
    <col min="6660" max="6661" width="5" style="563" customWidth="1"/>
    <col min="6662" max="6662" width="5.42578125" style="563" customWidth="1"/>
    <col min="6663" max="6663" width="4.5703125" style="563" customWidth="1"/>
    <col min="6664" max="6665" width="4.42578125" style="563" customWidth="1"/>
    <col min="6666" max="6666" width="3.5703125" style="563" customWidth="1"/>
    <col min="6667" max="6667" width="5" style="563" customWidth="1"/>
    <col min="6668" max="6668" width="4" style="563" customWidth="1"/>
    <col min="6669" max="6670" width="4.5703125" style="563" customWidth="1"/>
    <col min="6671" max="6671" width="4.42578125" style="563" customWidth="1"/>
    <col min="6672" max="6672" width="4" style="563" customWidth="1"/>
    <col min="6673" max="6673" width="3.5703125" style="563" customWidth="1"/>
    <col min="6674" max="6675" width="4.5703125" style="563" customWidth="1"/>
    <col min="6676" max="6676" width="4" style="563" customWidth="1"/>
    <col min="6677" max="6678" width="4.42578125" style="563" customWidth="1"/>
    <col min="6679" max="6679" width="3.5703125" style="563" customWidth="1"/>
    <col min="6680" max="6680" width="4.42578125" style="563" customWidth="1"/>
    <col min="6681" max="6681" width="5.5703125" style="563" customWidth="1"/>
    <col min="6682" max="6682" width="3.5703125" style="563" customWidth="1"/>
    <col min="6683" max="6683" width="4" style="563" customWidth="1"/>
    <col min="6684" max="6684" width="4.5703125" style="563" customWidth="1"/>
    <col min="6685" max="6687" width="4.42578125" style="563" customWidth="1"/>
    <col min="6688" max="6689" width="4.5703125" style="563" customWidth="1"/>
    <col min="6690" max="6690" width="4" style="563" customWidth="1"/>
    <col min="6691" max="6691" width="4.5703125" style="563" customWidth="1"/>
    <col min="6692" max="6692" width="6" style="563" customWidth="1"/>
    <col min="6693" max="6693" width="8.5703125" style="563" customWidth="1"/>
    <col min="6694" max="6913" width="11.42578125" style="563"/>
    <col min="6914" max="6914" width="6.42578125" style="563" customWidth="1"/>
    <col min="6915" max="6915" width="47.5703125" style="563" customWidth="1"/>
    <col min="6916" max="6917" width="5" style="563" customWidth="1"/>
    <col min="6918" max="6918" width="5.42578125" style="563" customWidth="1"/>
    <col min="6919" max="6919" width="4.5703125" style="563" customWidth="1"/>
    <col min="6920" max="6921" width="4.42578125" style="563" customWidth="1"/>
    <col min="6922" max="6922" width="3.5703125" style="563" customWidth="1"/>
    <col min="6923" max="6923" width="5" style="563" customWidth="1"/>
    <col min="6924" max="6924" width="4" style="563" customWidth="1"/>
    <col min="6925" max="6926" width="4.5703125" style="563" customWidth="1"/>
    <col min="6927" max="6927" width="4.42578125" style="563" customWidth="1"/>
    <col min="6928" max="6928" width="4" style="563" customWidth="1"/>
    <col min="6929" max="6929" width="3.5703125" style="563" customWidth="1"/>
    <col min="6930" max="6931" width="4.5703125" style="563" customWidth="1"/>
    <col min="6932" max="6932" width="4" style="563" customWidth="1"/>
    <col min="6933" max="6934" width="4.42578125" style="563" customWidth="1"/>
    <col min="6935" max="6935" width="3.5703125" style="563" customWidth="1"/>
    <col min="6936" max="6936" width="4.42578125" style="563" customWidth="1"/>
    <col min="6937" max="6937" width="5.5703125" style="563" customWidth="1"/>
    <col min="6938" max="6938" width="3.5703125" style="563" customWidth="1"/>
    <col min="6939" max="6939" width="4" style="563" customWidth="1"/>
    <col min="6940" max="6940" width="4.5703125" style="563" customWidth="1"/>
    <col min="6941" max="6943" width="4.42578125" style="563" customWidth="1"/>
    <col min="6944" max="6945" width="4.5703125" style="563" customWidth="1"/>
    <col min="6946" max="6946" width="4" style="563" customWidth="1"/>
    <col min="6947" max="6947" width="4.5703125" style="563" customWidth="1"/>
    <col min="6948" max="6948" width="6" style="563" customWidth="1"/>
    <col min="6949" max="6949" width="8.5703125" style="563" customWidth="1"/>
    <col min="6950" max="7169" width="11.42578125" style="563"/>
    <col min="7170" max="7170" width="6.42578125" style="563" customWidth="1"/>
    <col min="7171" max="7171" width="47.5703125" style="563" customWidth="1"/>
    <col min="7172" max="7173" width="5" style="563" customWidth="1"/>
    <col min="7174" max="7174" width="5.42578125" style="563" customWidth="1"/>
    <col min="7175" max="7175" width="4.5703125" style="563" customWidth="1"/>
    <col min="7176" max="7177" width="4.42578125" style="563" customWidth="1"/>
    <col min="7178" max="7178" width="3.5703125" style="563" customWidth="1"/>
    <col min="7179" max="7179" width="5" style="563" customWidth="1"/>
    <col min="7180" max="7180" width="4" style="563" customWidth="1"/>
    <col min="7181" max="7182" width="4.5703125" style="563" customWidth="1"/>
    <col min="7183" max="7183" width="4.42578125" style="563" customWidth="1"/>
    <col min="7184" max="7184" width="4" style="563" customWidth="1"/>
    <col min="7185" max="7185" width="3.5703125" style="563" customWidth="1"/>
    <col min="7186" max="7187" width="4.5703125" style="563" customWidth="1"/>
    <col min="7188" max="7188" width="4" style="563" customWidth="1"/>
    <col min="7189" max="7190" width="4.42578125" style="563" customWidth="1"/>
    <col min="7191" max="7191" width="3.5703125" style="563" customWidth="1"/>
    <col min="7192" max="7192" width="4.42578125" style="563" customWidth="1"/>
    <col min="7193" max="7193" width="5.5703125" style="563" customWidth="1"/>
    <col min="7194" max="7194" width="3.5703125" style="563" customWidth="1"/>
    <col min="7195" max="7195" width="4" style="563" customWidth="1"/>
    <col min="7196" max="7196" width="4.5703125" style="563" customWidth="1"/>
    <col min="7197" max="7199" width="4.42578125" style="563" customWidth="1"/>
    <col min="7200" max="7201" width="4.5703125" style="563" customWidth="1"/>
    <col min="7202" max="7202" width="4" style="563" customWidth="1"/>
    <col min="7203" max="7203" width="4.5703125" style="563" customWidth="1"/>
    <col min="7204" max="7204" width="6" style="563" customWidth="1"/>
    <col min="7205" max="7205" width="8.5703125" style="563" customWidth="1"/>
    <col min="7206" max="7425" width="11.42578125" style="563"/>
    <col min="7426" max="7426" width="6.42578125" style="563" customWidth="1"/>
    <col min="7427" max="7427" width="47.5703125" style="563" customWidth="1"/>
    <col min="7428" max="7429" width="5" style="563" customWidth="1"/>
    <col min="7430" max="7430" width="5.42578125" style="563" customWidth="1"/>
    <col min="7431" max="7431" width="4.5703125" style="563" customWidth="1"/>
    <col min="7432" max="7433" width="4.42578125" style="563" customWidth="1"/>
    <col min="7434" max="7434" width="3.5703125" style="563" customWidth="1"/>
    <col min="7435" max="7435" width="5" style="563" customWidth="1"/>
    <col min="7436" max="7436" width="4" style="563" customWidth="1"/>
    <col min="7437" max="7438" width="4.5703125" style="563" customWidth="1"/>
    <col min="7439" max="7439" width="4.42578125" style="563" customWidth="1"/>
    <col min="7440" max="7440" width="4" style="563" customWidth="1"/>
    <col min="7441" max="7441" width="3.5703125" style="563" customWidth="1"/>
    <col min="7442" max="7443" width="4.5703125" style="563" customWidth="1"/>
    <col min="7444" max="7444" width="4" style="563" customWidth="1"/>
    <col min="7445" max="7446" width="4.42578125" style="563" customWidth="1"/>
    <col min="7447" max="7447" width="3.5703125" style="563" customWidth="1"/>
    <col min="7448" max="7448" width="4.42578125" style="563" customWidth="1"/>
    <col min="7449" max="7449" width="5.5703125" style="563" customWidth="1"/>
    <col min="7450" max="7450" width="3.5703125" style="563" customWidth="1"/>
    <col min="7451" max="7451" width="4" style="563" customWidth="1"/>
    <col min="7452" max="7452" width="4.5703125" style="563" customWidth="1"/>
    <col min="7453" max="7455" width="4.42578125" style="563" customWidth="1"/>
    <col min="7456" max="7457" width="4.5703125" style="563" customWidth="1"/>
    <col min="7458" max="7458" width="4" style="563" customWidth="1"/>
    <col min="7459" max="7459" width="4.5703125" style="563" customWidth="1"/>
    <col min="7460" max="7460" width="6" style="563" customWidth="1"/>
    <col min="7461" max="7461" width="8.5703125" style="563" customWidth="1"/>
    <col min="7462" max="7681" width="11.42578125" style="563"/>
    <col min="7682" max="7682" width="6.42578125" style="563" customWidth="1"/>
    <col min="7683" max="7683" width="47.5703125" style="563" customWidth="1"/>
    <col min="7684" max="7685" width="5" style="563" customWidth="1"/>
    <col min="7686" max="7686" width="5.42578125" style="563" customWidth="1"/>
    <col min="7687" max="7687" width="4.5703125" style="563" customWidth="1"/>
    <col min="7688" max="7689" width="4.42578125" style="563" customWidth="1"/>
    <col min="7690" max="7690" width="3.5703125" style="563" customWidth="1"/>
    <col min="7691" max="7691" width="5" style="563" customWidth="1"/>
    <col min="7692" max="7692" width="4" style="563" customWidth="1"/>
    <col min="7693" max="7694" width="4.5703125" style="563" customWidth="1"/>
    <col min="7695" max="7695" width="4.42578125" style="563" customWidth="1"/>
    <col min="7696" max="7696" width="4" style="563" customWidth="1"/>
    <col min="7697" max="7697" width="3.5703125" style="563" customWidth="1"/>
    <col min="7698" max="7699" width="4.5703125" style="563" customWidth="1"/>
    <col min="7700" max="7700" width="4" style="563" customWidth="1"/>
    <col min="7701" max="7702" width="4.42578125" style="563" customWidth="1"/>
    <col min="7703" max="7703" width="3.5703125" style="563" customWidth="1"/>
    <col min="7704" max="7704" width="4.42578125" style="563" customWidth="1"/>
    <col min="7705" max="7705" width="5.5703125" style="563" customWidth="1"/>
    <col min="7706" max="7706" width="3.5703125" style="563" customWidth="1"/>
    <col min="7707" max="7707" width="4" style="563" customWidth="1"/>
    <col min="7708" max="7708" width="4.5703125" style="563" customWidth="1"/>
    <col min="7709" max="7711" width="4.42578125" style="563" customWidth="1"/>
    <col min="7712" max="7713" width="4.5703125" style="563" customWidth="1"/>
    <col min="7714" max="7714" width="4" style="563" customWidth="1"/>
    <col min="7715" max="7715" width="4.5703125" style="563" customWidth="1"/>
    <col min="7716" max="7716" width="6" style="563" customWidth="1"/>
    <col min="7717" max="7717" width="8.5703125" style="563" customWidth="1"/>
    <col min="7718" max="7937" width="11.42578125" style="563"/>
    <col min="7938" max="7938" width="6.42578125" style="563" customWidth="1"/>
    <col min="7939" max="7939" width="47.5703125" style="563" customWidth="1"/>
    <col min="7940" max="7941" width="5" style="563" customWidth="1"/>
    <col min="7942" max="7942" width="5.42578125" style="563" customWidth="1"/>
    <col min="7943" max="7943" width="4.5703125" style="563" customWidth="1"/>
    <col min="7944" max="7945" width="4.42578125" style="563" customWidth="1"/>
    <col min="7946" max="7946" width="3.5703125" style="563" customWidth="1"/>
    <col min="7947" max="7947" width="5" style="563" customWidth="1"/>
    <col min="7948" max="7948" width="4" style="563" customWidth="1"/>
    <col min="7949" max="7950" width="4.5703125" style="563" customWidth="1"/>
    <col min="7951" max="7951" width="4.42578125" style="563" customWidth="1"/>
    <col min="7952" max="7952" width="4" style="563" customWidth="1"/>
    <col min="7953" max="7953" width="3.5703125" style="563" customWidth="1"/>
    <col min="7954" max="7955" width="4.5703125" style="563" customWidth="1"/>
    <col min="7956" max="7956" width="4" style="563" customWidth="1"/>
    <col min="7957" max="7958" width="4.42578125" style="563" customWidth="1"/>
    <col min="7959" max="7959" width="3.5703125" style="563" customWidth="1"/>
    <col min="7960" max="7960" width="4.42578125" style="563" customWidth="1"/>
    <col min="7961" max="7961" width="5.5703125" style="563" customWidth="1"/>
    <col min="7962" max="7962" width="3.5703125" style="563" customWidth="1"/>
    <col min="7963" max="7963" width="4" style="563" customWidth="1"/>
    <col min="7964" max="7964" width="4.5703125" style="563" customWidth="1"/>
    <col min="7965" max="7967" width="4.42578125" style="563" customWidth="1"/>
    <col min="7968" max="7969" width="4.5703125" style="563" customWidth="1"/>
    <col min="7970" max="7970" width="4" style="563" customWidth="1"/>
    <col min="7971" max="7971" width="4.5703125" style="563" customWidth="1"/>
    <col min="7972" max="7972" width="6" style="563" customWidth="1"/>
    <col min="7973" max="7973" width="8.5703125" style="563" customWidth="1"/>
    <col min="7974" max="8193" width="11.42578125" style="563"/>
    <col min="8194" max="8194" width="6.42578125" style="563" customWidth="1"/>
    <col min="8195" max="8195" width="47.5703125" style="563" customWidth="1"/>
    <col min="8196" max="8197" width="5" style="563" customWidth="1"/>
    <col min="8198" max="8198" width="5.42578125" style="563" customWidth="1"/>
    <col min="8199" max="8199" width="4.5703125" style="563" customWidth="1"/>
    <col min="8200" max="8201" width="4.42578125" style="563" customWidth="1"/>
    <col min="8202" max="8202" width="3.5703125" style="563" customWidth="1"/>
    <col min="8203" max="8203" width="5" style="563" customWidth="1"/>
    <col min="8204" max="8204" width="4" style="563" customWidth="1"/>
    <col min="8205" max="8206" width="4.5703125" style="563" customWidth="1"/>
    <col min="8207" max="8207" width="4.42578125" style="563" customWidth="1"/>
    <col min="8208" max="8208" width="4" style="563" customWidth="1"/>
    <col min="8209" max="8209" width="3.5703125" style="563" customWidth="1"/>
    <col min="8210" max="8211" width="4.5703125" style="563" customWidth="1"/>
    <col min="8212" max="8212" width="4" style="563" customWidth="1"/>
    <col min="8213" max="8214" width="4.42578125" style="563" customWidth="1"/>
    <col min="8215" max="8215" width="3.5703125" style="563" customWidth="1"/>
    <col min="8216" max="8216" width="4.42578125" style="563" customWidth="1"/>
    <col min="8217" max="8217" width="5.5703125" style="563" customWidth="1"/>
    <col min="8218" max="8218" width="3.5703125" style="563" customWidth="1"/>
    <col min="8219" max="8219" width="4" style="563" customWidth="1"/>
    <col min="8220" max="8220" width="4.5703125" style="563" customWidth="1"/>
    <col min="8221" max="8223" width="4.42578125" style="563" customWidth="1"/>
    <col min="8224" max="8225" width="4.5703125" style="563" customWidth="1"/>
    <col min="8226" max="8226" width="4" style="563" customWidth="1"/>
    <col min="8227" max="8227" width="4.5703125" style="563" customWidth="1"/>
    <col min="8228" max="8228" width="6" style="563" customWidth="1"/>
    <col min="8229" max="8229" width="8.5703125" style="563" customWidth="1"/>
    <col min="8230" max="8449" width="11.42578125" style="563"/>
    <col min="8450" max="8450" width="6.42578125" style="563" customWidth="1"/>
    <col min="8451" max="8451" width="47.5703125" style="563" customWidth="1"/>
    <col min="8452" max="8453" width="5" style="563" customWidth="1"/>
    <col min="8454" max="8454" width="5.42578125" style="563" customWidth="1"/>
    <col min="8455" max="8455" width="4.5703125" style="563" customWidth="1"/>
    <col min="8456" max="8457" width="4.42578125" style="563" customWidth="1"/>
    <col min="8458" max="8458" width="3.5703125" style="563" customWidth="1"/>
    <col min="8459" max="8459" width="5" style="563" customWidth="1"/>
    <col min="8460" max="8460" width="4" style="563" customWidth="1"/>
    <col min="8461" max="8462" width="4.5703125" style="563" customWidth="1"/>
    <col min="8463" max="8463" width="4.42578125" style="563" customWidth="1"/>
    <col min="8464" max="8464" width="4" style="563" customWidth="1"/>
    <col min="8465" max="8465" width="3.5703125" style="563" customWidth="1"/>
    <col min="8466" max="8467" width="4.5703125" style="563" customWidth="1"/>
    <col min="8468" max="8468" width="4" style="563" customWidth="1"/>
    <col min="8469" max="8470" width="4.42578125" style="563" customWidth="1"/>
    <col min="8471" max="8471" width="3.5703125" style="563" customWidth="1"/>
    <col min="8472" max="8472" width="4.42578125" style="563" customWidth="1"/>
    <col min="8473" max="8473" width="5.5703125" style="563" customWidth="1"/>
    <col min="8474" max="8474" width="3.5703125" style="563" customWidth="1"/>
    <col min="8475" max="8475" width="4" style="563" customWidth="1"/>
    <col min="8476" max="8476" width="4.5703125" style="563" customWidth="1"/>
    <col min="8477" max="8479" width="4.42578125" style="563" customWidth="1"/>
    <col min="8480" max="8481" width="4.5703125" style="563" customWidth="1"/>
    <col min="8482" max="8482" width="4" style="563" customWidth="1"/>
    <col min="8483" max="8483" width="4.5703125" style="563" customWidth="1"/>
    <col min="8484" max="8484" width="6" style="563" customWidth="1"/>
    <col min="8485" max="8485" width="8.5703125" style="563" customWidth="1"/>
    <col min="8486" max="8705" width="11.42578125" style="563"/>
    <col min="8706" max="8706" width="6.42578125" style="563" customWidth="1"/>
    <col min="8707" max="8707" width="47.5703125" style="563" customWidth="1"/>
    <col min="8708" max="8709" width="5" style="563" customWidth="1"/>
    <col min="8710" max="8710" width="5.42578125" style="563" customWidth="1"/>
    <col min="8711" max="8711" width="4.5703125" style="563" customWidth="1"/>
    <col min="8712" max="8713" width="4.42578125" style="563" customWidth="1"/>
    <col min="8714" max="8714" width="3.5703125" style="563" customWidth="1"/>
    <col min="8715" max="8715" width="5" style="563" customWidth="1"/>
    <col min="8716" max="8716" width="4" style="563" customWidth="1"/>
    <col min="8717" max="8718" width="4.5703125" style="563" customWidth="1"/>
    <col min="8719" max="8719" width="4.42578125" style="563" customWidth="1"/>
    <col min="8720" max="8720" width="4" style="563" customWidth="1"/>
    <col min="8721" max="8721" width="3.5703125" style="563" customWidth="1"/>
    <col min="8722" max="8723" width="4.5703125" style="563" customWidth="1"/>
    <col min="8724" max="8724" width="4" style="563" customWidth="1"/>
    <col min="8725" max="8726" width="4.42578125" style="563" customWidth="1"/>
    <col min="8727" max="8727" width="3.5703125" style="563" customWidth="1"/>
    <col min="8728" max="8728" width="4.42578125" style="563" customWidth="1"/>
    <col min="8729" max="8729" width="5.5703125" style="563" customWidth="1"/>
    <col min="8730" max="8730" width="3.5703125" style="563" customWidth="1"/>
    <col min="8731" max="8731" width="4" style="563" customWidth="1"/>
    <col min="8732" max="8732" width="4.5703125" style="563" customWidth="1"/>
    <col min="8733" max="8735" width="4.42578125" style="563" customWidth="1"/>
    <col min="8736" max="8737" width="4.5703125" style="563" customWidth="1"/>
    <col min="8738" max="8738" width="4" style="563" customWidth="1"/>
    <col min="8739" max="8739" width="4.5703125" style="563" customWidth="1"/>
    <col min="8740" max="8740" width="6" style="563" customWidth="1"/>
    <col min="8741" max="8741" width="8.5703125" style="563" customWidth="1"/>
    <col min="8742" max="8961" width="11.42578125" style="563"/>
    <col min="8962" max="8962" width="6.42578125" style="563" customWidth="1"/>
    <col min="8963" max="8963" width="47.5703125" style="563" customWidth="1"/>
    <col min="8964" max="8965" width="5" style="563" customWidth="1"/>
    <col min="8966" max="8966" width="5.42578125" style="563" customWidth="1"/>
    <col min="8967" max="8967" width="4.5703125" style="563" customWidth="1"/>
    <col min="8968" max="8969" width="4.42578125" style="563" customWidth="1"/>
    <col min="8970" max="8970" width="3.5703125" style="563" customWidth="1"/>
    <col min="8971" max="8971" width="5" style="563" customWidth="1"/>
    <col min="8972" max="8972" width="4" style="563" customWidth="1"/>
    <col min="8973" max="8974" width="4.5703125" style="563" customWidth="1"/>
    <col min="8975" max="8975" width="4.42578125" style="563" customWidth="1"/>
    <col min="8976" max="8976" width="4" style="563" customWidth="1"/>
    <col min="8977" max="8977" width="3.5703125" style="563" customWidth="1"/>
    <col min="8978" max="8979" width="4.5703125" style="563" customWidth="1"/>
    <col min="8980" max="8980" width="4" style="563" customWidth="1"/>
    <col min="8981" max="8982" width="4.42578125" style="563" customWidth="1"/>
    <col min="8983" max="8983" width="3.5703125" style="563" customWidth="1"/>
    <col min="8984" max="8984" width="4.42578125" style="563" customWidth="1"/>
    <col min="8985" max="8985" width="5.5703125" style="563" customWidth="1"/>
    <col min="8986" max="8986" width="3.5703125" style="563" customWidth="1"/>
    <col min="8987" max="8987" width="4" style="563" customWidth="1"/>
    <col min="8988" max="8988" width="4.5703125" style="563" customWidth="1"/>
    <col min="8989" max="8991" width="4.42578125" style="563" customWidth="1"/>
    <col min="8992" max="8993" width="4.5703125" style="563" customWidth="1"/>
    <col min="8994" max="8994" width="4" style="563" customWidth="1"/>
    <col min="8995" max="8995" width="4.5703125" style="563" customWidth="1"/>
    <col min="8996" max="8996" width="6" style="563" customWidth="1"/>
    <col min="8997" max="8997" width="8.5703125" style="563" customWidth="1"/>
    <col min="8998" max="9217" width="11.42578125" style="563"/>
    <col min="9218" max="9218" width="6.42578125" style="563" customWidth="1"/>
    <col min="9219" max="9219" width="47.5703125" style="563" customWidth="1"/>
    <col min="9220" max="9221" width="5" style="563" customWidth="1"/>
    <col min="9222" max="9222" width="5.42578125" style="563" customWidth="1"/>
    <col min="9223" max="9223" width="4.5703125" style="563" customWidth="1"/>
    <col min="9224" max="9225" width="4.42578125" style="563" customWidth="1"/>
    <col min="9226" max="9226" width="3.5703125" style="563" customWidth="1"/>
    <col min="9227" max="9227" width="5" style="563" customWidth="1"/>
    <col min="9228" max="9228" width="4" style="563" customWidth="1"/>
    <col min="9229" max="9230" width="4.5703125" style="563" customWidth="1"/>
    <col min="9231" max="9231" width="4.42578125" style="563" customWidth="1"/>
    <col min="9232" max="9232" width="4" style="563" customWidth="1"/>
    <col min="9233" max="9233" width="3.5703125" style="563" customWidth="1"/>
    <col min="9234" max="9235" width="4.5703125" style="563" customWidth="1"/>
    <col min="9236" max="9236" width="4" style="563" customWidth="1"/>
    <col min="9237" max="9238" width="4.42578125" style="563" customWidth="1"/>
    <col min="9239" max="9239" width="3.5703125" style="563" customWidth="1"/>
    <col min="9240" max="9240" width="4.42578125" style="563" customWidth="1"/>
    <col min="9241" max="9241" width="5.5703125" style="563" customWidth="1"/>
    <col min="9242" max="9242" width="3.5703125" style="563" customWidth="1"/>
    <col min="9243" max="9243" width="4" style="563" customWidth="1"/>
    <col min="9244" max="9244" width="4.5703125" style="563" customWidth="1"/>
    <col min="9245" max="9247" width="4.42578125" style="563" customWidth="1"/>
    <col min="9248" max="9249" width="4.5703125" style="563" customWidth="1"/>
    <col min="9250" max="9250" width="4" style="563" customWidth="1"/>
    <col min="9251" max="9251" width="4.5703125" style="563" customWidth="1"/>
    <col min="9252" max="9252" width="6" style="563" customWidth="1"/>
    <col min="9253" max="9253" width="8.5703125" style="563" customWidth="1"/>
    <col min="9254" max="9473" width="11.42578125" style="563"/>
    <col min="9474" max="9474" width="6.42578125" style="563" customWidth="1"/>
    <col min="9475" max="9475" width="47.5703125" style="563" customWidth="1"/>
    <col min="9476" max="9477" width="5" style="563" customWidth="1"/>
    <col min="9478" max="9478" width="5.42578125" style="563" customWidth="1"/>
    <col min="9479" max="9479" width="4.5703125" style="563" customWidth="1"/>
    <col min="9480" max="9481" width="4.42578125" style="563" customWidth="1"/>
    <col min="9482" max="9482" width="3.5703125" style="563" customWidth="1"/>
    <col min="9483" max="9483" width="5" style="563" customWidth="1"/>
    <col min="9484" max="9484" width="4" style="563" customWidth="1"/>
    <col min="9485" max="9486" width="4.5703125" style="563" customWidth="1"/>
    <col min="9487" max="9487" width="4.42578125" style="563" customWidth="1"/>
    <col min="9488" max="9488" width="4" style="563" customWidth="1"/>
    <col min="9489" max="9489" width="3.5703125" style="563" customWidth="1"/>
    <col min="9490" max="9491" width="4.5703125" style="563" customWidth="1"/>
    <col min="9492" max="9492" width="4" style="563" customWidth="1"/>
    <col min="9493" max="9494" width="4.42578125" style="563" customWidth="1"/>
    <col min="9495" max="9495" width="3.5703125" style="563" customWidth="1"/>
    <col min="9496" max="9496" width="4.42578125" style="563" customWidth="1"/>
    <col min="9497" max="9497" width="5.5703125" style="563" customWidth="1"/>
    <col min="9498" max="9498" width="3.5703125" style="563" customWidth="1"/>
    <col min="9499" max="9499" width="4" style="563" customWidth="1"/>
    <col min="9500" max="9500" width="4.5703125" style="563" customWidth="1"/>
    <col min="9501" max="9503" width="4.42578125" style="563" customWidth="1"/>
    <col min="9504" max="9505" width="4.5703125" style="563" customWidth="1"/>
    <col min="9506" max="9506" width="4" style="563" customWidth="1"/>
    <col min="9507" max="9507" width="4.5703125" style="563" customWidth="1"/>
    <col min="9508" max="9508" width="6" style="563" customWidth="1"/>
    <col min="9509" max="9509" width="8.5703125" style="563" customWidth="1"/>
    <col min="9510" max="9729" width="11.42578125" style="563"/>
    <col min="9730" max="9730" width="6.42578125" style="563" customWidth="1"/>
    <col min="9731" max="9731" width="47.5703125" style="563" customWidth="1"/>
    <col min="9732" max="9733" width="5" style="563" customWidth="1"/>
    <col min="9734" max="9734" width="5.42578125" style="563" customWidth="1"/>
    <col min="9735" max="9735" width="4.5703125" style="563" customWidth="1"/>
    <col min="9736" max="9737" width="4.42578125" style="563" customWidth="1"/>
    <col min="9738" max="9738" width="3.5703125" style="563" customWidth="1"/>
    <col min="9739" max="9739" width="5" style="563" customWidth="1"/>
    <col min="9740" max="9740" width="4" style="563" customWidth="1"/>
    <col min="9741" max="9742" width="4.5703125" style="563" customWidth="1"/>
    <col min="9743" max="9743" width="4.42578125" style="563" customWidth="1"/>
    <col min="9744" max="9744" width="4" style="563" customWidth="1"/>
    <col min="9745" max="9745" width="3.5703125" style="563" customWidth="1"/>
    <col min="9746" max="9747" width="4.5703125" style="563" customWidth="1"/>
    <col min="9748" max="9748" width="4" style="563" customWidth="1"/>
    <col min="9749" max="9750" width="4.42578125" style="563" customWidth="1"/>
    <col min="9751" max="9751" width="3.5703125" style="563" customWidth="1"/>
    <col min="9752" max="9752" width="4.42578125" style="563" customWidth="1"/>
    <col min="9753" max="9753" width="5.5703125" style="563" customWidth="1"/>
    <col min="9754" max="9754" width="3.5703125" style="563" customWidth="1"/>
    <col min="9755" max="9755" width="4" style="563" customWidth="1"/>
    <col min="9756" max="9756" width="4.5703125" style="563" customWidth="1"/>
    <col min="9757" max="9759" width="4.42578125" style="563" customWidth="1"/>
    <col min="9760" max="9761" width="4.5703125" style="563" customWidth="1"/>
    <col min="9762" max="9762" width="4" style="563" customWidth="1"/>
    <col min="9763" max="9763" width="4.5703125" style="563" customWidth="1"/>
    <col min="9764" max="9764" width="6" style="563" customWidth="1"/>
    <col min="9765" max="9765" width="8.5703125" style="563" customWidth="1"/>
    <col min="9766" max="9985" width="11.42578125" style="563"/>
    <col min="9986" max="9986" width="6.42578125" style="563" customWidth="1"/>
    <col min="9987" max="9987" width="47.5703125" style="563" customWidth="1"/>
    <col min="9988" max="9989" width="5" style="563" customWidth="1"/>
    <col min="9990" max="9990" width="5.42578125" style="563" customWidth="1"/>
    <col min="9991" max="9991" width="4.5703125" style="563" customWidth="1"/>
    <col min="9992" max="9993" width="4.42578125" style="563" customWidth="1"/>
    <col min="9994" max="9994" width="3.5703125" style="563" customWidth="1"/>
    <col min="9995" max="9995" width="5" style="563" customWidth="1"/>
    <col min="9996" max="9996" width="4" style="563" customWidth="1"/>
    <col min="9997" max="9998" width="4.5703125" style="563" customWidth="1"/>
    <col min="9999" max="9999" width="4.42578125" style="563" customWidth="1"/>
    <col min="10000" max="10000" width="4" style="563" customWidth="1"/>
    <col min="10001" max="10001" width="3.5703125" style="563" customWidth="1"/>
    <col min="10002" max="10003" width="4.5703125" style="563" customWidth="1"/>
    <col min="10004" max="10004" width="4" style="563" customWidth="1"/>
    <col min="10005" max="10006" width="4.42578125" style="563" customWidth="1"/>
    <col min="10007" max="10007" width="3.5703125" style="563" customWidth="1"/>
    <col min="10008" max="10008" width="4.42578125" style="563" customWidth="1"/>
    <col min="10009" max="10009" width="5.5703125" style="563" customWidth="1"/>
    <col min="10010" max="10010" width="3.5703125" style="563" customWidth="1"/>
    <col min="10011" max="10011" width="4" style="563" customWidth="1"/>
    <col min="10012" max="10012" width="4.5703125" style="563" customWidth="1"/>
    <col min="10013" max="10015" width="4.42578125" style="563" customWidth="1"/>
    <col min="10016" max="10017" width="4.5703125" style="563" customWidth="1"/>
    <col min="10018" max="10018" width="4" style="563" customWidth="1"/>
    <col min="10019" max="10019" width="4.5703125" style="563" customWidth="1"/>
    <col min="10020" max="10020" width="6" style="563" customWidth="1"/>
    <col min="10021" max="10021" width="8.5703125" style="563" customWidth="1"/>
    <col min="10022" max="10241" width="11.42578125" style="563"/>
    <col min="10242" max="10242" width="6.42578125" style="563" customWidth="1"/>
    <col min="10243" max="10243" width="47.5703125" style="563" customWidth="1"/>
    <col min="10244" max="10245" width="5" style="563" customWidth="1"/>
    <col min="10246" max="10246" width="5.42578125" style="563" customWidth="1"/>
    <col min="10247" max="10247" width="4.5703125" style="563" customWidth="1"/>
    <col min="10248" max="10249" width="4.42578125" style="563" customWidth="1"/>
    <col min="10250" max="10250" width="3.5703125" style="563" customWidth="1"/>
    <col min="10251" max="10251" width="5" style="563" customWidth="1"/>
    <col min="10252" max="10252" width="4" style="563" customWidth="1"/>
    <col min="10253" max="10254" width="4.5703125" style="563" customWidth="1"/>
    <col min="10255" max="10255" width="4.42578125" style="563" customWidth="1"/>
    <col min="10256" max="10256" width="4" style="563" customWidth="1"/>
    <col min="10257" max="10257" width="3.5703125" style="563" customWidth="1"/>
    <col min="10258" max="10259" width="4.5703125" style="563" customWidth="1"/>
    <col min="10260" max="10260" width="4" style="563" customWidth="1"/>
    <col min="10261" max="10262" width="4.42578125" style="563" customWidth="1"/>
    <col min="10263" max="10263" width="3.5703125" style="563" customWidth="1"/>
    <col min="10264" max="10264" width="4.42578125" style="563" customWidth="1"/>
    <col min="10265" max="10265" width="5.5703125" style="563" customWidth="1"/>
    <col min="10266" max="10266" width="3.5703125" style="563" customWidth="1"/>
    <col min="10267" max="10267" width="4" style="563" customWidth="1"/>
    <col min="10268" max="10268" width="4.5703125" style="563" customWidth="1"/>
    <col min="10269" max="10271" width="4.42578125" style="563" customWidth="1"/>
    <col min="10272" max="10273" width="4.5703125" style="563" customWidth="1"/>
    <col min="10274" max="10274" width="4" style="563" customWidth="1"/>
    <col min="10275" max="10275" width="4.5703125" style="563" customWidth="1"/>
    <col min="10276" max="10276" width="6" style="563" customWidth="1"/>
    <col min="10277" max="10277" width="8.5703125" style="563" customWidth="1"/>
    <col min="10278" max="10497" width="11.42578125" style="563"/>
    <col min="10498" max="10498" width="6.42578125" style="563" customWidth="1"/>
    <col min="10499" max="10499" width="47.5703125" style="563" customWidth="1"/>
    <col min="10500" max="10501" width="5" style="563" customWidth="1"/>
    <col min="10502" max="10502" width="5.42578125" style="563" customWidth="1"/>
    <col min="10503" max="10503" width="4.5703125" style="563" customWidth="1"/>
    <col min="10504" max="10505" width="4.42578125" style="563" customWidth="1"/>
    <col min="10506" max="10506" width="3.5703125" style="563" customWidth="1"/>
    <col min="10507" max="10507" width="5" style="563" customWidth="1"/>
    <col min="10508" max="10508" width="4" style="563" customWidth="1"/>
    <col min="10509" max="10510" width="4.5703125" style="563" customWidth="1"/>
    <col min="10511" max="10511" width="4.42578125" style="563" customWidth="1"/>
    <col min="10512" max="10512" width="4" style="563" customWidth="1"/>
    <col min="10513" max="10513" width="3.5703125" style="563" customWidth="1"/>
    <col min="10514" max="10515" width="4.5703125" style="563" customWidth="1"/>
    <col min="10516" max="10516" width="4" style="563" customWidth="1"/>
    <col min="10517" max="10518" width="4.42578125" style="563" customWidth="1"/>
    <col min="10519" max="10519" width="3.5703125" style="563" customWidth="1"/>
    <col min="10520" max="10520" width="4.42578125" style="563" customWidth="1"/>
    <col min="10521" max="10521" width="5.5703125" style="563" customWidth="1"/>
    <col min="10522" max="10522" width="3.5703125" style="563" customWidth="1"/>
    <col min="10523" max="10523" width="4" style="563" customWidth="1"/>
    <col min="10524" max="10524" width="4.5703125" style="563" customWidth="1"/>
    <col min="10525" max="10527" width="4.42578125" style="563" customWidth="1"/>
    <col min="10528" max="10529" width="4.5703125" style="563" customWidth="1"/>
    <col min="10530" max="10530" width="4" style="563" customWidth="1"/>
    <col min="10531" max="10531" width="4.5703125" style="563" customWidth="1"/>
    <col min="10532" max="10532" width="6" style="563" customWidth="1"/>
    <col min="10533" max="10533" width="8.5703125" style="563" customWidth="1"/>
    <col min="10534" max="10753" width="11.42578125" style="563"/>
    <col min="10754" max="10754" width="6.42578125" style="563" customWidth="1"/>
    <col min="10755" max="10755" width="47.5703125" style="563" customWidth="1"/>
    <col min="10756" max="10757" width="5" style="563" customWidth="1"/>
    <col min="10758" max="10758" width="5.42578125" style="563" customWidth="1"/>
    <col min="10759" max="10759" width="4.5703125" style="563" customWidth="1"/>
    <col min="10760" max="10761" width="4.42578125" style="563" customWidth="1"/>
    <col min="10762" max="10762" width="3.5703125" style="563" customWidth="1"/>
    <col min="10763" max="10763" width="5" style="563" customWidth="1"/>
    <col min="10764" max="10764" width="4" style="563" customWidth="1"/>
    <col min="10765" max="10766" width="4.5703125" style="563" customWidth="1"/>
    <col min="10767" max="10767" width="4.42578125" style="563" customWidth="1"/>
    <col min="10768" max="10768" width="4" style="563" customWidth="1"/>
    <col min="10769" max="10769" width="3.5703125" style="563" customWidth="1"/>
    <col min="10770" max="10771" width="4.5703125" style="563" customWidth="1"/>
    <col min="10772" max="10772" width="4" style="563" customWidth="1"/>
    <col min="10773" max="10774" width="4.42578125" style="563" customWidth="1"/>
    <col min="10775" max="10775" width="3.5703125" style="563" customWidth="1"/>
    <col min="10776" max="10776" width="4.42578125" style="563" customWidth="1"/>
    <col min="10777" max="10777" width="5.5703125" style="563" customWidth="1"/>
    <col min="10778" max="10778" width="3.5703125" style="563" customWidth="1"/>
    <col min="10779" max="10779" width="4" style="563" customWidth="1"/>
    <col min="10780" max="10780" width="4.5703125" style="563" customWidth="1"/>
    <col min="10781" max="10783" width="4.42578125" style="563" customWidth="1"/>
    <col min="10784" max="10785" width="4.5703125" style="563" customWidth="1"/>
    <col min="10786" max="10786" width="4" style="563" customWidth="1"/>
    <col min="10787" max="10787" width="4.5703125" style="563" customWidth="1"/>
    <col min="10788" max="10788" width="6" style="563" customWidth="1"/>
    <col min="10789" max="10789" width="8.5703125" style="563" customWidth="1"/>
    <col min="10790" max="11009" width="11.42578125" style="563"/>
    <col min="11010" max="11010" width="6.42578125" style="563" customWidth="1"/>
    <col min="11011" max="11011" width="47.5703125" style="563" customWidth="1"/>
    <col min="11012" max="11013" width="5" style="563" customWidth="1"/>
    <col min="11014" max="11014" width="5.42578125" style="563" customWidth="1"/>
    <col min="11015" max="11015" width="4.5703125" style="563" customWidth="1"/>
    <col min="11016" max="11017" width="4.42578125" style="563" customWidth="1"/>
    <col min="11018" max="11018" width="3.5703125" style="563" customWidth="1"/>
    <col min="11019" max="11019" width="5" style="563" customWidth="1"/>
    <col min="11020" max="11020" width="4" style="563" customWidth="1"/>
    <col min="11021" max="11022" width="4.5703125" style="563" customWidth="1"/>
    <col min="11023" max="11023" width="4.42578125" style="563" customWidth="1"/>
    <col min="11024" max="11024" width="4" style="563" customWidth="1"/>
    <col min="11025" max="11025" width="3.5703125" style="563" customWidth="1"/>
    <col min="11026" max="11027" width="4.5703125" style="563" customWidth="1"/>
    <col min="11028" max="11028" width="4" style="563" customWidth="1"/>
    <col min="11029" max="11030" width="4.42578125" style="563" customWidth="1"/>
    <col min="11031" max="11031" width="3.5703125" style="563" customWidth="1"/>
    <col min="11032" max="11032" width="4.42578125" style="563" customWidth="1"/>
    <col min="11033" max="11033" width="5.5703125" style="563" customWidth="1"/>
    <col min="11034" max="11034" width="3.5703125" style="563" customWidth="1"/>
    <col min="11035" max="11035" width="4" style="563" customWidth="1"/>
    <col min="11036" max="11036" width="4.5703125" style="563" customWidth="1"/>
    <col min="11037" max="11039" width="4.42578125" style="563" customWidth="1"/>
    <col min="11040" max="11041" width="4.5703125" style="563" customWidth="1"/>
    <col min="11042" max="11042" width="4" style="563" customWidth="1"/>
    <col min="11043" max="11043" width="4.5703125" style="563" customWidth="1"/>
    <col min="11044" max="11044" width="6" style="563" customWidth="1"/>
    <col min="11045" max="11045" width="8.5703125" style="563" customWidth="1"/>
    <col min="11046" max="11265" width="11.42578125" style="563"/>
    <col min="11266" max="11266" width="6.42578125" style="563" customWidth="1"/>
    <col min="11267" max="11267" width="47.5703125" style="563" customWidth="1"/>
    <col min="11268" max="11269" width="5" style="563" customWidth="1"/>
    <col min="11270" max="11270" width="5.42578125" style="563" customWidth="1"/>
    <col min="11271" max="11271" width="4.5703125" style="563" customWidth="1"/>
    <col min="11272" max="11273" width="4.42578125" style="563" customWidth="1"/>
    <col min="11274" max="11274" width="3.5703125" style="563" customWidth="1"/>
    <col min="11275" max="11275" width="5" style="563" customWidth="1"/>
    <col min="11276" max="11276" width="4" style="563" customWidth="1"/>
    <col min="11277" max="11278" width="4.5703125" style="563" customWidth="1"/>
    <col min="11279" max="11279" width="4.42578125" style="563" customWidth="1"/>
    <col min="11280" max="11280" width="4" style="563" customWidth="1"/>
    <col min="11281" max="11281" width="3.5703125" style="563" customWidth="1"/>
    <col min="11282" max="11283" width="4.5703125" style="563" customWidth="1"/>
    <col min="11284" max="11284" width="4" style="563" customWidth="1"/>
    <col min="11285" max="11286" width="4.42578125" style="563" customWidth="1"/>
    <col min="11287" max="11287" width="3.5703125" style="563" customWidth="1"/>
    <col min="11288" max="11288" width="4.42578125" style="563" customWidth="1"/>
    <col min="11289" max="11289" width="5.5703125" style="563" customWidth="1"/>
    <col min="11290" max="11290" width="3.5703125" style="563" customWidth="1"/>
    <col min="11291" max="11291" width="4" style="563" customWidth="1"/>
    <col min="11292" max="11292" width="4.5703125" style="563" customWidth="1"/>
    <col min="11293" max="11295" width="4.42578125" style="563" customWidth="1"/>
    <col min="11296" max="11297" width="4.5703125" style="563" customWidth="1"/>
    <col min="11298" max="11298" width="4" style="563" customWidth="1"/>
    <col min="11299" max="11299" width="4.5703125" style="563" customWidth="1"/>
    <col min="11300" max="11300" width="6" style="563" customWidth="1"/>
    <col min="11301" max="11301" width="8.5703125" style="563" customWidth="1"/>
    <col min="11302" max="11521" width="11.42578125" style="563"/>
    <col min="11522" max="11522" width="6.42578125" style="563" customWidth="1"/>
    <col min="11523" max="11523" width="47.5703125" style="563" customWidth="1"/>
    <col min="11524" max="11525" width="5" style="563" customWidth="1"/>
    <col min="11526" max="11526" width="5.42578125" style="563" customWidth="1"/>
    <col min="11527" max="11527" width="4.5703125" style="563" customWidth="1"/>
    <col min="11528" max="11529" width="4.42578125" style="563" customWidth="1"/>
    <col min="11530" max="11530" width="3.5703125" style="563" customWidth="1"/>
    <col min="11531" max="11531" width="5" style="563" customWidth="1"/>
    <col min="11532" max="11532" width="4" style="563" customWidth="1"/>
    <col min="11533" max="11534" width="4.5703125" style="563" customWidth="1"/>
    <col min="11535" max="11535" width="4.42578125" style="563" customWidth="1"/>
    <col min="11536" max="11536" width="4" style="563" customWidth="1"/>
    <col min="11537" max="11537" width="3.5703125" style="563" customWidth="1"/>
    <col min="11538" max="11539" width="4.5703125" style="563" customWidth="1"/>
    <col min="11540" max="11540" width="4" style="563" customWidth="1"/>
    <col min="11541" max="11542" width="4.42578125" style="563" customWidth="1"/>
    <col min="11543" max="11543" width="3.5703125" style="563" customWidth="1"/>
    <col min="11544" max="11544" width="4.42578125" style="563" customWidth="1"/>
    <col min="11545" max="11545" width="5.5703125" style="563" customWidth="1"/>
    <col min="11546" max="11546" width="3.5703125" style="563" customWidth="1"/>
    <col min="11547" max="11547" width="4" style="563" customWidth="1"/>
    <col min="11548" max="11548" width="4.5703125" style="563" customWidth="1"/>
    <col min="11549" max="11551" width="4.42578125" style="563" customWidth="1"/>
    <col min="11552" max="11553" width="4.5703125" style="563" customWidth="1"/>
    <col min="11554" max="11554" width="4" style="563" customWidth="1"/>
    <col min="11555" max="11555" width="4.5703125" style="563" customWidth="1"/>
    <col min="11556" max="11556" width="6" style="563" customWidth="1"/>
    <col min="11557" max="11557" width="8.5703125" style="563" customWidth="1"/>
    <col min="11558" max="11777" width="11.42578125" style="563"/>
    <col min="11778" max="11778" width="6.42578125" style="563" customWidth="1"/>
    <col min="11779" max="11779" width="47.5703125" style="563" customWidth="1"/>
    <col min="11780" max="11781" width="5" style="563" customWidth="1"/>
    <col min="11782" max="11782" width="5.42578125" style="563" customWidth="1"/>
    <col min="11783" max="11783" width="4.5703125" style="563" customWidth="1"/>
    <col min="11784" max="11785" width="4.42578125" style="563" customWidth="1"/>
    <col min="11786" max="11786" width="3.5703125" style="563" customWidth="1"/>
    <col min="11787" max="11787" width="5" style="563" customWidth="1"/>
    <col min="11788" max="11788" width="4" style="563" customWidth="1"/>
    <col min="11789" max="11790" width="4.5703125" style="563" customWidth="1"/>
    <col min="11791" max="11791" width="4.42578125" style="563" customWidth="1"/>
    <col min="11792" max="11792" width="4" style="563" customWidth="1"/>
    <col min="11793" max="11793" width="3.5703125" style="563" customWidth="1"/>
    <col min="11794" max="11795" width="4.5703125" style="563" customWidth="1"/>
    <col min="11796" max="11796" width="4" style="563" customWidth="1"/>
    <col min="11797" max="11798" width="4.42578125" style="563" customWidth="1"/>
    <col min="11799" max="11799" width="3.5703125" style="563" customWidth="1"/>
    <col min="11800" max="11800" width="4.42578125" style="563" customWidth="1"/>
    <col min="11801" max="11801" width="5.5703125" style="563" customWidth="1"/>
    <col min="11802" max="11802" width="3.5703125" style="563" customWidth="1"/>
    <col min="11803" max="11803" width="4" style="563" customWidth="1"/>
    <col min="11804" max="11804" width="4.5703125" style="563" customWidth="1"/>
    <col min="11805" max="11807" width="4.42578125" style="563" customWidth="1"/>
    <col min="11808" max="11809" width="4.5703125" style="563" customWidth="1"/>
    <col min="11810" max="11810" width="4" style="563" customWidth="1"/>
    <col min="11811" max="11811" width="4.5703125" style="563" customWidth="1"/>
    <col min="11812" max="11812" width="6" style="563" customWidth="1"/>
    <col min="11813" max="11813" width="8.5703125" style="563" customWidth="1"/>
    <col min="11814" max="12033" width="11.42578125" style="563"/>
    <col min="12034" max="12034" width="6.42578125" style="563" customWidth="1"/>
    <col min="12035" max="12035" width="47.5703125" style="563" customWidth="1"/>
    <col min="12036" max="12037" width="5" style="563" customWidth="1"/>
    <col min="12038" max="12038" width="5.42578125" style="563" customWidth="1"/>
    <col min="12039" max="12039" width="4.5703125" style="563" customWidth="1"/>
    <col min="12040" max="12041" width="4.42578125" style="563" customWidth="1"/>
    <col min="12042" max="12042" width="3.5703125" style="563" customWidth="1"/>
    <col min="12043" max="12043" width="5" style="563" customWidth="1"/>
    <col min="12044" max="12044" width="4" style="563" customWidth="1"/>
    <col min="12045" max="12046" width="4.5703125" style="563" customWidth="1"/>
    <col min="12047" max="12047" width="4.42578125" style="563" customWidth="1"/>
    <col min="12048" max="12048" width="4" style="563" customWidth="1"/>
    <col min="12049" max="12049" width="3.5703125" style="563" customWidth="1"/>
    <col min="12050" max="12051" width="4.5703125" style="563" customWidth="1"/>
    <col min="12052" max="12052" width="4" style="563" customWidth="1"/>
    <col min="12053" max="12054" width="4.42578125" style="563" customWidth="1"/>
    <col min="12055" max="12055" width="3.5703125" style="563" customWidth="1"/>
    <col min="12056" max="12056" width="4.42578125" style="563" customWidth="1"/>
    <col min="12057" max="12057" width="5.5703125" style="563" customWidth="1"/>
    <col min="12058" max="12058" width="3.5703125" style="563" customWidth="1"/>
    <col min="12059" max="12059" width="4" style="563" customWidth="1"/>
    <col min="12060" max="12060" width="4.5703125" style="563" customWidth="1"/>
    <col min="12061" max="12063" width="4.42578125" style="563" customWidth="1"/>
    <col min="12064" max="12065" width="4.5703125" style="563" customWidth="1"/>
    <col min="12066" max="12066" width="4" style="563" customWidth="1"/>
    <col min="12067" max="12067" width="4.5703125" style="563" customWidth="1"/>
    <col min="12068" max="12068" width="6" style="563" customWidth="1"/>
    <col min="12069" max="12069" width="8.5703125" style="563" customWidth="1"/>
    <col min="12070" max="12289" width="11.42578125" style="563"/>
    <col min="12290" max="12290" width="6.42578125" style="563" customWidth="1"/>
    <col min="12291" max="12291" width="47.5703125" style="563" customWidth="1"/>
    <col min="12292" max="12293" width="5" style="563" customWidth="1"/>
    <col min="12294" max="12294" width="5.42578125" style="563" customWidth="1"/>
    <col min="12295" max="12295" width="4.5703125" style="563" customWidth="1"/>
    <col min="12296" max="12297" width="4.42578125" style="563" customWidth="1"/>
    <col min="12298" max="12298" width="3.5703125" style="563" customWidth="1"/>
    <col min="12299" max="12299" width="5" style="563" customWidth="1"/>
    <col min="12300" max="12300" width="4" style="563" customWidth="1"/>
    <col min="12301" max="12302" width="4.5703125" style="563" customWidth="1"/>
    <col min="12303" max="12303" width="4.42578125" style="563" customWidth="1"/>
    <col min="12304" max="12304" width="4" style="563" customWidth="1"/>
    <col min="12305" max="12305" width="3.5703125" style="563" customWidth="1"/>
    <col min="12306" max="12307" width="4.5703125" style="563" customWidth="1"/>
    <col min="12308" max="12308" width="4" style="563" customWidth="1"/>
    <col min="12309" max="12310" width="4.42578125" style="563" customWidth="1"/>
    <col min="12311" max="12311" width="3.5703125" style="563" customWidth="1"/>
    <col min="12312" max="12312" width="4.42578125" style="563" customWidth="1"/>
    <col min="12313" max="12313" width="5.5703125" style="563" customWidth="1"/>
    <col min="12314" max="12314" width="3.5703125" style="563" customWidth="1"/>
    <col min="12315" max="12315" width="4" style="563" customWidth="1"/>
    <col min="12316" max="12316" width="4.5703125" style="563" customWidth="1"/>
    <col min="12317" max="12319" width="4.42578125" style="563" customWidth="1"/>
    <col min="12320" max="12321" width="4.5703125" style="563" customWidth="1"/>
    <col min="12322" max="12322" width="4" style="563" customWidth="1"/>
    <col min="12323" max="12323" width="4.5703125" style="563" customWidth="1"/>
    <col min="12324" max="12324" width="6" style="563" customWidth="1"/>
    <col min="12325" max="12325" width="8.5703125" style="563" customWidth="1"/>
    <col min="12326" max="12545" width="11.42578125" style="563"/>
    <col min="12546" max="12546" width="6.42578125" style="563" customWidth="1"/>
    <col min="12547" max="12547" width="47.5703125" style="563" customWidth="1"/>
    <col min="12548" max="12549" width="5" style="563" customWidth="1"/>
    <col min="12550" max="12550" width="5.42578125" style="563" customWidth="1"/>
    <col min="12551" max="12551" width="4.5703125" style="563" customWidth="1"/>
    <col min="12552" max="12553" width="4.42578125" style="563" customWidth="1"/>
    <col min="12554" max="12554" width="3.5703125" style="563" customWidth="1"/>
    <col min="12555" max="12555" width="5" style="563" customWidth="1"/>
    <col min="12556" max="12556" width="4" style="563" customWidth="1"/>
    <col min="12557" max="12558" width="4.5703125" style="563" customWidth="1"/>
    <col min="12559" max="12559" width="4.42578125" style="563" customWidth="1"/>
    <col min="12560" max="12560" width="4" style="563" customWidth="1"/>
    <col min="12561" max="12561" width="3.5703125" style="563" customWidth="1"/>
    <col min="12562" max="12563" width="4.5703125" style="563" customWidth="1"/>
    <col min="12564" max="12564" width="4" style="563" customWidth="1"/>
    <col min="12565" max="12566" width="4.42578125" style="563" customWidth="1"/>
    <col min="12567" max="12567" width="3.5703125" style="563" customWidth="1"/>
    <col min="12568" max="12568" width="4.42578125" style="563" customWidth="1"/>
    <col min="12569" max="12569" width="5.5703125" style="563" customWidth="1"/>
    <col min="12570" max="12570" width="3.5703125" style="563" customWidth="1"/>
    <col min="12571" max="12571" width="4" style="563" customWidth="1"/>
    <col min="12572" max="12572" width="4.5703125" style="563" customWidth="1"/>
    <col min="12573" max="12575" width="4.42578125" style="563" customWidth="1"/>
    <col min="12576" max="12577" width="4.5703125" style="563" customWidth="1"/>
    <col min="12578" max="12578" width="4" style="563" customWidth="1"/>
    <col min="12579" max="12579" width="4.5703125" style="563" customWidth="1"/>
    <col min="12580" max="12580" width="6" style="563" customWidth="1"/>
    <col min="12581" max="12581" width="8.5703125" style="563" customWidth="1"/>
    <col min="12582" max="12801" width="11.42578125" style="563"/>
    <col min="12802" max="12802" width="6.42578125" style="563" customWidth="1"/>
    <col min="12803" max="12803" width="47.5703125" style="563" customWidth="1"/>
    <col min="12804" max="12805" width="5" style="563" customWidth="1"/>
    <col min="12806" max="12806" width="5.42578125" style="563" customWidth="1"/>
    <col min="12807" max="12807" width="4.5703125" style="563" customWidth="1"/>
    <col min="12808" max="12809" width="4.42578125" style="563" customWidth="1"/>
    <col min="12810" max="12810" width="3.5703125" style="563" customWidth="1"/>
    <col min="12811" max="12811" width="5" style="563" customWidth="1"/>
    <col min="12812" max="12812" width="4" style="563" customWidth="1"/>
    <col min="12813" max="12814" width="4.5703125" style="563" customWidth="1"/>
    <col min="12815" max="12815" width="4.42578125" style="563" customWidth="1"/>
    <col min="12816" max="12816" width="4" style="563" customWidth="1"/>
    <col min="12817" max="12817" width="3.5703125" style="563" customWidth="1"/>
    <col min="12818" max="12819" width="4.5703125" style="563" customWidth="1"/>
    <col min="12820" max="12820" width="4" style="563" customWidth="1"/>
    <col min="12821" max="12822" width="4.42578125" style="563" customWidth="1"/>
    <col min="12823" max="12823" width="3.5703125" style="563" customWidth="1"/>
    <col min="12824" max="12824" width="4.42578125" style="563" customWidth="1"/>
    <col min="12825" max="12825" width="5.5703125" style="563" customWidth="1"/>
    <col min="12826" max="12826" width="3.5703125" style="563" customWidth="1"/>
    <col min="12827" max="12827" width="4" style="563" customWidth="1"/>
    <col min="12828" max="12828" width="4.5703125" style="563" customWidth="1"/>
    <col min="12829" max="12831" width="4.42578125" style="563" customWidth="1"/>
    <col min="12832" max="12833" width="4.5703125" style="563" customWidth="1"/>
    <col min="12834" max="12834" width="4" style="563" customWidth="1"/>
    <col min="12835" max="12835" width="4.5703125" style="563" customWidth="1"/>
    <col min="12836" max="12836" width="6" style="563" customWidth="1"/>
    <col min="12837" max="12837" width="8.5703125" style="563" customWidth="1"/>
    <col min="12838" max="13057" width="11.42578125" style="563"/>
    <col min="13058" max="13058" width="6.42578125" style="563" customWidth="1"/>
    <col min="13059" max="13059" width="47.5703125" style="563" customWidth="1"/>
    <col min="13060" max="13061" width="5" style="563" customWidth="1"/>
    <col min="13062" max="13062" width="5.42578125" style="563" customWidth="1"/>
    <col min="13063" max="13063" width="4.5703125" style="563" customWidth="1"/>
    <col min="13064" max="13065" width="4.42578125" style="563" customWidth="1"/>
    <col min="13066" max="13066" width="3.5703125" style="563" customWidth="1"/>
    <col min="13067" max="13067" width="5" style="563" customWidth="1"/>
    <col min="13068" max="13068" width="4" style="563" customWidth="1"/>
    <col min="13069" max="13070" width="4.5703125" style="563" customWidth="1"/>
    <col min="13071" max="13071" width="4.42578125" style="563" customWidth="1"/>
    <col min="13072" max="13072" width="4" style="563" customWidth="1"/>
    <col min="13073" max="13073" width="3.5703125" style="563" customWidth="1"/>
    <col min="13074" max="13075" width="4.5703125" style="563" customWidth="1"/>
    <col min="13076" max="13076" width="4" style="563" customWidth="1"/>
    <col min="13077" max="13078" width="4.42578125" style="563" customWidth="1"/>
    <col min="13079" max="13079" width="3.5703125" style="563" customWidth="1"/>
    <col min="13080" max="13080" width="4.42578125" style="563" customWidth="1"/>
    <col min="13081" max="13081" width="5.5703125" style="563" customWidth="1"/>
    <col min="13082" max="13082" width="3.5703125" style="563" customWidth="1"/>
    <col min="13083" max="13083" width="4" style="563" customWidth="1"/>
    <col min="13084" max="13084" width="4.5703125" style="563" customWidth="1"/>
    <col min="13085" max="13087" width="4.42578125" style="563" customWidth="1"/>
    <col min="13088" max="13089" width="4.5703125" style="563" customWidth="1"/>
    <col min="13090" max="13090" width="4" style="563" customWidth="1"/>
    <col min="13091" max="13091" width="4.5703125" style="563" customWidth="1"/>
    <col min="13092" max="13092" width="6" style="563" customWidth="1"/>
    <col min="13093" max="13093" width="8.5703125" style="563" customWidth="1"/>
    <col min="13094" max="13313" width="11.42578125" style="563"/>
    <col min="13314" max="13314" width="6.42578125" style="563" customWidth="1"/>
    <col min="13315" max="13315" width="47.5703125" style="563" customWidth="1"/>
    <col min="13316" max="13317" width="5" style="563" customWidth="1"/>
    <col min="13318" max="13318" width="5.42578125" style="563" customWidth="1"/>
    <col min="13319" max="13319" width="4.5703125" style="563" customWidth="1"/>
    <col min="13320" max="13321" width="4.42578125" style="563" customWidth="1"/>
    <col min="13322" max="13322" width="3.5703125" style="563" customWidth="1"/>
    <col min="13323" max="13323" width="5" style="563" customWidth="1"/>
    <col min="13324" max="13324" width="4" style="563" customWidth="1"/>
    <col min="13325" max="13326" width="4.5703125" style="563" customWidth="1"/>
    <col min="13327" max="13327" width="4.42578125" style="563" customWidth="1"/>
    <col min="13328" max="13328" width="4" style="563" customWidth="1"/>
    <col min="13329" max="13329" width="3.5703125" style="563" customWidth="1"/>
    <col min="13330" max="13331" width="4.5703125" style="563" customWidth="1"/>
    <col min="13332" max="13332" width="4" style="563" customWidth="1"/>
    <col min="13333" max="13334" width="4.42578125" style="563" customWidth="1"/>
    <col min="13335" max="13335" width="3.5703125" style="563" customWidth="1"/>
    <col min="13336" max="13336" width="4.42578125" style="563" customWidth="1"/>
    <col min="13337" max="13337" width="5.5703125" style="563" customWidth="1"/>
    <col min="13338" max="13338" width="3.5703125" style="563" customWidth="1"/>
    <col min="13339" max="13339" width="4" style="563" customWidth="1"/>
    <col min="13340" max="13340" width="4.5703125" style="563" customWidth="1"/>
    <col min="13341" max="13343" width="4.42578125" style="563" customWidth="1"/>
    <col min="13344" max="13345" width="4.5703125" style="563" customWidth="1"/>
    <col min="13346" max="13346" width="4" style="563" customWidth="1"/>
    <col min="13347" max="13347" width="4.5703125" style="563" customWidth="1"/>
    <col min="13348" max="13348" width="6" style="563" customWidth="1"/>
    <col min="13349" max="13349" width="8.5703125" style="563" customWidth="1"/>
    <col min="13350" max="13569" width="11.42578125" style="563"/>
    <col min="13570" max="13570" width="6.42578125" style="563" customWidth="1"/>
    <col min="13571" max="13571" width="47.5703125" style="563" customWidth="1"/>
    <col min="13572" max="13573" width="5" style="563" customWidth="1"/>
    <col min="13574" max="13574" width="5.42578125" style="563" customWidth="1"/>
    <col min="13575" max="13575" width="4.5703125" style="563" customWidth="1"/>
    <col min="13576" max="13577" width="4.42578125" style="563" customWidth="1"/>
    <col min="13578" max="13578" width="3.5703125" style="563" customWidth="1"/>
    <col min="13579" max="13579" width="5" style="563" customWidth="1"/>
    <col min="13580" max="13580" width="4" style="563" customWidth="1"/>
    <col min="13581" max="13582" width="4.5703125" style="563" customWidth="1"/>
    <col min="13583" max="13583" width="4.42578125" style="563" customWidth="1"/>
    <col min="13584" max="13584" width="4" style="563" customWidth="1"/>
    <col min="13585" max="13585" width="3.5703125" style="563" customWidth="1"/>
    <col min="13586" max="13587" width="4.5703125" style="563" customWidth="1"/>
    <col min="13588" max="13588" width="4" style="563" customWidth="1"/>
    <col min="13589" max="13590" width="4.42578125" style="563" customWidth="1"/>
    <col min="13591" max="13591" width="3.5703125" style="563" customWidth="1"/>
    <col min="13592" max="13592" width="4.42578125" style="563" customWidth="1"/>
    <col min="13593" max="13593" width="5.5703125" style="563" customWidth="1"/>
    <col min="13594" max="13594" width="3.5703125" style="563" customWidth="1"/>
    <col min="13595" max="13595" width="4" style="563" customWidth="1"/>
    <col min="13596" max="13596" width="4.5703125" style="563" customWidth="1"/>
    <col min="13597" max="13599" width="4.42578125" style="563" customWidth="1"/>
    <col min="13600" max="13601" width="4.5703125" style="563" customWidth="1"/>
    <col min="13602" max="13602" width="4" style="563" customWidth="1"/>
    <col min="13603" max="13603" width="4.5703125" style="563" customWidth="1"/>
    <col min="13604" max="13604" width="6" style="563" customWidth="1"/>
    <col min="13605" max="13605" width="8.5703125" style="563" customWidth="1"/>
    <col min="13606" max="13825" width="11.42578125" style="563"/>
    <col min="13826" max="13826" width="6.42578125" style="563" customWidth="1"/>
    <col min="13827" max="13827" width="47.5703125" style="563" customWidth="1"/>
    <col min="13828" max="13829" width="5" style="563" customWidth="1"/>
    <col min="13830" max="13830" width="5.42578125" style="563" customWidth="1"/>
    <col min="13831" max="13831" width="4.5703125" style="563" customWidth="1"/>
    <col min="13832" max="13833" width="4.42578125" style="563" customWidth="1"/>
    <col min="13834" max="13834" width="3.5703125" style="563" customWidth="1"/>
    <col min="13835" max="13835" width="5" style="563" customWidth="1"/>
    <col min="13836" max="13836" width="4" style="563" customWidth="1"/>
    <col min="13837" max="13838" width="4.5703125" style="563" customWidth="1"/>
    <col min="13839" max="13839" width="4.42578125" style="563" customWidth="1"/>
    <col min="13840" max="13840" width="4" style="563" customWidth="1"/>
    <col min="13841" max="13841" width="3.5703125" style="563" customWidth="1"/>
    <col min="13842" max="13843" width="4.5703125" style="563" customWidth="1"/>
    <col min="13844" max="13844" width="4" style="563" customWidth="1"/>
    <col min="13845" max="13846" width="4.42578125" style="563" customWidth="1"/>
    <col min="13847" max="13847" width="3.5703125" style="563" customWidth="1"/>
    <col min="13848" max="13848" width="4.42578125" style="563" customWidth="1"/>
    <col min="13849" max="13849" width="5.5703125" style="563" customWidth="1"/>
    <col min="13850" max="13850" width="3.5703125" style="563" customWidth="1"/>
    <col min="13851" max="13851" width="4" style="563" customWidth="1"/>
    <col min="13852" max="13852" width="4.5703125" style="563" customWidth="1"/>
    <col min="13853" max="13855" width="4.42578125" style="563" customWidth="1"/>
    <col min="13856" max="13857" width="4.5703125" style="563" customWidth="1"/>
    <col min="13858" max="13858" width="4" style="563" customWidth="1"/>
    <col min="13859" max="13859" width="4.5703125" style="563" customWidth="1"/>
    <col min="13860" max="13860" width="6" style="563" customWidth="1"/>
    <col min="13861" max="13861" width="8.5703125" style="563" customWidth="1"/>
    <col min="13862" max="14081" width="11.42578125" style="563"/>
    <col min="14082" max="14082" width="6.42578125" style="563" customWidth="1"/>
    <col min="14083" max="14083" width="47.5703125" style="563" customWidth="1"/>
    <col min="14084" max="14085" width="5" style="563" customWidth="1"/>
    <col min="14086" max="14086" width="5.42578125" style="563" customWidth="1"/>
    <col min="14087" max="14087" width="4.5703125" style="563" customWidth="1"/>
    <col min="14088" max="14089" width="4.42578125" style="563" customWidth="1"/>
    <col min="14090" max="14090" width="3.5703125" style="563" customWidth="1"/>
    <col min="14091" max="14091" width="5" style="563" customWidth="1"/>
    <col min="14092" max="14092" width="4" style="563" customWidth="1"/>
    <col min="14093" max="14094" width="4.5703125" style="563" customWidth="1"/>
    <col min="14095" max="14095" width="4.42578125" style="563" customWidth="1"/>
    <col min="14096" max="14096" width="4" style="563" customWidth="1"/>
    <col min="14097" max="14097" width="3.5703125" style="563" customWidth="1"/>
    <col min="14098" max="14099" width="4.5703125" style="563" customWidth="1"/>
    <col min="14100" max="14100" width="4" style="563" customWidth="1"/>
    <col min="14101" max="14102" width="4.42578125" style="563" customWidth="1"/>
    <col min="14103" max="14103" width="3.5703125" style="563" customWidth="1"/>
    <col min="14104" max="14104" width="4.42578125" style="563" customWidth="1"/>
    <col min="14105" max="14105" width="5.5703125" style="563" customWidth="1"/>
    <col min="14106" max="14106" width="3.5703125" style="563" customWidth="1"/>
    <col min="14107" max="14107" width="4" style="563" customWidth="1"/>
    <col min="14108" max="14108" width="4.5703125" style="563" customWidth="1"/>
    <col min="14109" max="14111" width="4.42578125" style="563" customWidth="1"/>
    <col min="14112" max="14113" width="4.5703125" style="563" customWidth="1"/>
    <col min="14114" max="14114" width="4" style="563" customWidth="1"/>
    <col min="14115" max="14115" width="4.5703125" style="563" customWidth="1"/>
    <col min="14116" max="14116" width="6" style="563" customWidth="1"/>
    <col min="14117" max="14117" width="8.5703125" style="563" customWidth="1"/>
    <col min="14118" max="14337" width="11.42578125" style="563"/>
    <col min="14338" max="14338" width="6.42578125" style="563" customWidth="1"/>
    <col min="14339" max="14339" width="47.5703125" style="563" customWidth="1"/>
    <col min="14340" max="14341" width="5" style="563" customWidth="1"/>
    <col min="14342" max="14342" width="5.42578125" style="563" customWidth="1"/>
    <col min="14343" max="14343" width="4.5703125" style="563" customWidth="1"/>
    <col min="14344" max="14345" width="4.42578125" style="563" customWidth="1"/>
    <col min="14346" max="14346" width="3.5703125" style="563" customWidth="1"/>
    <col min="14347" max="14347" width="5" style="563" customWidth="1"/>
    <col min="14348" max="14348" width="4" style="563" customWidth="1"/>
    <col min="14349" max="14350" width="4.5703125" style="563" customWidth="1"/>
    <col min="14351" max="14351" width="4.42578125" style="563" customWidth="1"/>
    <col min="14352" max="14352" width="4" style="563" customWidth="1"/>
    <col min="14353" max="14353" width="3.5703125" style="563" customWidth="1"/>
    <col min="14354" max="14355" width="4.5703125" style="563" customWidth="1"/>
    <col min="14356" max="14356" width="4" style="563" customWidth="1"/>
    <col min="14357" max="14358" width="4.42578125" style="563" customWidth="1"/>
    <col min="14359" max="14359" width="3.5703125" style="563" customWidth="1"/>
    <col min="14360" max="14360" width="4.42578125" style="563" customWidth="1"/>
    <col min="14361" max="14361" width="5.5703125" style="563" customWidth="1"/>
    <col min="14362" max="14362" width="3.5703125" style="563" customWidth="1"/>
    <col min="14363" max="14363" width="4" style="563" customWidth="1"/>
    <col min="14364" max="14364" width="4.5703125" style="563" customWidth="1"/>
    <col min="14365" max="14367" width="4.42578125" style="563" customWidth="1"/>
    <col min="14368" max="14369" width="4.5703125" style="563" customWidth="1"/>
    <col min="14370" max="14370" width="4" style="563" customWidth="1"/>
    <col min="14371" max="14371" width="4.5703125" style="563" customWidth="1"/>
    <col min="14372" max="14372" width="6" style="563" customWidth="1"/>
    <col min="14373" max="14373" width="8.5703125" style="563" customWidth="1"/>
    <col min="14374" max="14593" width="11.42578125" style="563"/>
    <col min="14594" max="14594" width="6.42578125" style="563" customWidth="1"/>
    <col min="14595" max="14595" width="47.5703125" style="563" customWidth="1"/>
    <col min="14596" max="14597" width="5" style="563" customWidth="1"/>
    <col min="14598" max="14598" width="5.42578125" style="563" customWidth="1"/>
    <col min="14599" max="14599" width="4.5703125" style="563" customWidth="1"/>
    <col min="14600" max="14601" width="4.42578125" style="563" customWidth="1"/>
    <col min="14602" max="14602" width="3.5703125" style="563" customWidth="1"/>
    <col min="14603" max="14603" width="5" style="563" customWidth="1"/>
    <col min="14604" max="14604" width="4" style="563" customWidth="1"/>
    <col min="14605" max="14606" width="4.5703125" style="563" customWidth="1"/>
    <col min="14607" max="14607" width="4.42578125" style="563" customWidth="1"/>
    <col min="14608" max="14608" width="4" style="563" customWidth="1"/>
    <col min="14609" max="14609" width="3.5703125" style="563" customWidth="1"/>
    <col min="14610" max="14611" width="4.5703125" style="563" customWidth="1"/>
    <col min="14612" max="14612" width="4" style="563" customWidth="1"/>
    <col min="14613" max="14614" width="4.42578125" style="563" customWidth="1"/>
    <col min="14615" max="14615" width="3.5703125" style="563" customWidth="1"/>
    <col min="14616" max="14616" width="4.42578125" style="563" customWidth="1"/>
    <col min="14617" max="14617" width="5.5703125" style="563" customWidth="1"/>
    <col min="14618" max="14618" width="3.5703125" style="563" customWidth="1"/>
    <col min="14619" max="14619" width="4" style="563" customWidth="1"/>
    <col min="14620" max="14620" width="4.5703125" style="563" customWidth="1"/>
    <col min="14621" max="14623" width="4.42578125" style="563" customWidth="1"/>
    <col min="14624" max="14625" width="4.5703125" style="563" customWidth="1"/>
    <col min="14626" max="14626" width="4" style="563" customWidth="1"/>
    <col min="14627" max="14627" width="4.5703125" style="563" customWidth="1"/>
    <col min="14628" max="14628" width="6" style="563" customWidth="1"/>
    <col min="14629" max="14629" width="8.5703125" style="563" customWidth="1"/>
    <col min="14630" max="14849" width="11.42578125" style="563"/>
    <col min="14850" max="14850" width="6.42578125" style="563" customWidth="1"/>
    <col min="14851" max="14851" width="47.5703125" style="563" customWidth="1"/>
    <col min="14852" max="14853" width="5" style="563" customWidth="1"/>
    <col min="14854" max="14854" width="5.42578125" style="563" customWidth="1"/>
    <col min="14855" max="14855" width="4.5703125" style="563" customWidth="1"/>
    <col min="14856" max="14857" width="4.42578125" style="563" customWidth="1"/>
    <col min="14858" max="14858" width="3.5703125" style="563" customWidth="1"/>
    <col min="14859" max="14859" width="5" style="563" customWidth="1"/>
    <col min="14860" max="14860" width="4" style="563" customWidth="1"/>
    <col min="14861" max="14862" width="4.5703125" style="563" customWidth="1"/>
    <col min="14863" max="14863" width="4.42578125" style="563" customWidth="1"/>
    <col min="14864" max="14864" width="4" style="563" customWidth="1"/>
    <col min="14865" max="14865" width="3.5703125" style="563" customWidth="1"/>
    <col min="14866" max="14867" width="4.5703125" style="563" customWidth="1"/>
    <col min="14868" max="14868" width="4" style="563" customWidth="1"/>
    <col min="14869" max="14870" width="4.42578125" style="563" customWidth="1"/>
    <col min="14871" max="14871" width="3.5703125" style="563" customWidth="1"/>
    <col min="14872" max="14872" width="4.42578125" style="563" customWidth="1"/>
    <col min="14873" max="14873" width="5.5703125" style="563" customWidth="1"/>
    <col min="14874" max="14874" width="3.5703125" style="563" customWidth="1"/>
    <col min="14875" max="14875" width="4" style="563" customWidth="1"/>
    <col min="14876" max="14876" width="4.5703125" style="563" customWidth="1"/>
    <col min="14877" max="14879" width="4.42578125" style="563" customWidth="1"/>
    <col min="14880" max="14881" width="4.5703125" style="563" customWidth="1"/>
    <col min="14882" max="14882" width="4" style="563" customWidth="1"/>
    <col min="14883" max="14883" width="4.5703125" style="563" customWidth="1"/>
    <col min="14884" max="14884" width="6" style="563" customWidth="1"/>
    <col min="14885" max="14885" width="8.5703125" style="563" customWidth="1"/>
    <col min="14886" max="15105" width="11.42578125" style="563"/>
    <col min="15106" max="15106" width="6.42578125" style="563" customWidth="1"/>
    <col min="15107" max="15107" width="47.5703125" style="563" customWidth="1"/>
    <col min="15108" max="15109" width="5" style="563" customWidth="1"/>
    <col min="15110" max="15110" width="5.42578125" style="563" customWidth="1"/>
    <col min="15111" max="15111" width="4.5703125" style="563" customWidth="1"/>
    <col min="15112" max="15113" width="4.42578125" style="563" customWidth="1"/>
    <col min="15114" max="15114" width="3.5703125" style="563" customWidth="1"/>
    <col min="15115" max="15115" width="5" style="563" customWidth="1"/>
    <col min="15116" max="15116" width="4" style="563" customWidth="1"/>
    <col min="15117" max="15118" width="4.5703125" style="563" customWidth="1"/>
    <col min="15119" max="15119" width="4.42578125" style="563" customWidth="1"/>
    <col min="15120" max="15120" width="4" style="563" customWidth="1"/>
    <col min="15121" max="15121" width="3.5703125" style="563" customWidth="1"/>
    <col min="15122" max="15123" width="4.5703125" style="563" customWidth="1"/>
    <col min="15124" max="15124" width="4" style="563" customWidth="1"/>
    <col min="15125" max="15126" width="4.42578125" style="563" customWidth="1"/>
    <col min="15127" max="15127" width="3.5703125" style="563" customWidth="1"/>
    <col min="15128" max="15128" width="4.42578125" style="563" customWidth="1"/>
    <col min="15129" max="15129" width="5.5703125" style="563" customWidth="1"/>
    <col min="15130" max="15130" width="3.5703125" style="563" customWidth="1"/>
    <col min="15131" max="15131" width="4" style="563" customWidth="1"/>
    <col min="15132" max="15132" width="4.5703125" style="563" customWidth="1"/>
    <col min="15133" max="15135" width="4.42578125" style="563" customWidth="1"/>
    <col min="15136" max="15137" width="4.5703125" style="563" customWidth="1"/>
    <col min="15138" max="15138" width="4" style="563" customWidth="1"/>
    <col min="15139" max="15139" width="4.5703125" style="563" customWidth="1"/>
    <col min="15140" max="15140" width="6" style="563" customWidth="1"/>
    <col min="15141" max="15141" width="8.5703125" style="563" customWidth="1"/>
    <col min="15142" max="15361" width="11.42578125" style="563"/>
    <col min="15362" max="15362" width="6.42578125" style="563" customWidth="1"/>
    <col min="15363" max="15363" width="47.5703125" style="563" customWidth="1"/>
    <col min="15364" max="15365" width="5" style="563" customWidth="1"/>
    <col min="15366" max="15366" width="5.42578125" style="563" customWidth="1"/>
    <col min="15367" max="15367" width="4.5703125" style="563" customWidth="1"/>
    <col min="15368" max="15369" width="4.42578125" style="563" customWidth="1"/>
    <col min="15370" max="15370" width="3.5703125" style="563" customWidth="1"/>
    <col min="15371" max="15371" width="5" style="563" customWidth="1"/>
    <col min="15372" max="15372" width="4" style="563" customWidth="1"/>
    <col min="15373" max="15374" width="4.5703125" style="563" customWidth="1"/>
    <col min="15375" max="15375" width="4.42578125" style="563" customWidth="1"/>
    <col min="15376" max="15376" width="4" style="563" customWidth="1"/>
    <col min="15377" max="15377" width="3.5703125" style="563" customWidth="1"/>
    <col min="15378" max="15379" width="4.5703125" style="563" customWidth="1"/>
    <col min="15380" max="15380" width="4" style="563" customWidth="1"/>
    <col min="15381" max="15382" width="4.42578125" style="563" customWidth="1"/>
    <col min="15383" max="15383" width="3.5703125" style="563" customWidth="1"/>
    <col min="15384" max="15384" width="4.42578125" style="563" customWidth="1"/>
    <col min="15385" max="15385" width="5.5703125" style="563" customWidth="1"/>
    <col min="15386" max="15386" width="3.5703125" style="563" customWidth="1"/>
    <col min="15387" max="15387" width="4" style="563" customWidth="1"/>
    <col min="15388" max="15388" width="4.5703125" style="563" customWidth="1"/>
    <col min="15389" max="15391" width="4.42578125" style="563" customWidth="1"/>
    <col min="15392" max="15393" width="4.5703125" style="563" customWidth="1"/>
    <col min="15394" max="15394" width="4" style="563" customWidth="1"/>
    <col min="15395" max="15395" width="4.5703125" style="563" customWidth="1"/>
    <col min="15396" max="15396" width="6" style="563" customWidth="1"/>
    <col min="15397" max="15397" width="8.5703125" style="563" customWidth="1"/>
    <col min="15398" max="15617" width="11.42578125" style="563"/>
    <col min="15618" max="15618" width="6.42578125" style="563" customWidth="1"/>
    <col min="15619" max="15619" width="47.5703125" style="563" customWidth="1"/>
    <col min="15620" max="15621" width="5" style="563" customWidth="1"/>
    <col min="15622" max="15622" width="5.42578125" style="563" customWidth="1"/>
    <col min="15623" max="15623" width="4.5703125" style="563" customWidth="1"/>
    <col min="15624" max="15625" width="4.42578125" style="563" customWidth="1"/>
    <col min="15626" max="15626" width="3.5703125" style="563" customWidth="1"/>
    <col min="15627" max="15627" width="5" style="563" customWidth="1"/>
    <col min="15628" max="15628" width="4" style="563" customWidth="1"/>
    <col min="15629" max="15630" width="4.5703125" style="563" customWidth="1"/>
    <col min="15631" max="15631" width="4.42578125" style="563" customWidth="1"/>
    <col min="15632" max="15632" width="4" style="563" customWidth="1"/>
    <col min="15633" max="15633" width="3.5703125" style="563" customWidth="1"/>
    <col min="15634" max="15635" width="4.5703125" style="563" customWidth="1"/>
    <col min="15636" max="15636" width="4" style="563" customWidth="1"/>
    <col min="15637" max="15638" width="4.42578125" style="563" customWidth="1"/>
    <col min="15639" max="15639" width="3.5703125" style="563" customWidth="1"/>
    <col min="15640" max="15640" width="4.42578125" style="563" customWidth="1"/>
    <col min="15641" max="15641" width="5.5703125" style="563" customWidth="1"/>
    <col min="15642" max="15642" width="3.5703125" style="563" customWidth="1"/>
    <col min="15643" max="15643" width="4" style="563" customWidth="1"/>
    <col min="15644" max="15644" width="4.5703125" style="563" customWidth="1"/>
    <col min="15645" max="15647" width="4.42578125" style="563" customWidth="1"/>
    <col min="15648" max="15649" width="4.5703125" style="563" customWidth="1"/>
    <col min="15650" max="15650" width="4" style="563" customWidth="1"/>
    <col min="15651" max="15651" width="4.5703125" style="563" customWidth="1"/>
    <col min="15652" max="15652" width="6" style="563" customWidth="1"/>
    <col min="15653" max="15653" width="8.5703125" style="563" customWidth="1"/>
    <col min="15654" max="15873" width="11.42578125" style="563"/>
    <col min="15874" max="15874" width="6.42578125" style="563" customWidth="1"/>
    <col min="15875" max="15875" width="47.5703125" style="563" customWidth="1"/>
    <col min="15876" max="15877" width="5" style="563" customWidth="1"/>
    <col min="15878" max="15878" width="5.42578125" style="563" customWidth="1"/>
    <col min="15879" max="15879" width="4.5703125" style="563" customWidth="1"/>
    <col min="15880" max="15881" width="4.42578125" style="563" customWidth="1"/>
    <col min="15882" max="15882" width="3.5703125" style="563" customWidth="1"/>
    <col min="15883" max="15883" width="5" style="563" customWidth="1"/>
    <col min="15884" max="15884" width="4" style="563" customWidth="1"/>
    <col min="15885" max="15886" width="4.5703125" style="563" customWidth="1"/>
    <col min="15887" max="15887" width="4.42578125" style="563" customWidth="1"/>
    <col min="15888" max="15888" width="4" style="563" customWidth="1"/>
    <col min="15889" max="15889" width="3.5703125" style="563" customWidth="1"/>
    <col min="15890" max="15891" width="4.5703125" style="563" customWidth="1"/>
    <col min="15892" max="15892" width="4" style="563" customWidth="1"/>
    <col min="15893" max="15894" width="4.42578125" style="563" customWidth="1"/>
    <col min="15895" max="15895" width="3.5703125" style="563" customWidth="1"/>
    <col min="15896" max="15896" width="4.42578125" style="563" customWidth="1"/>
    <col min="15897" max="15897" width="5.5703125" style="563" customWidth="1"/>
    <col min="15898" max="15898" width="3.5703125" style="563" customWidth="1"/>
    <col min="15899" max="15899" width="4" style="563" customWidth="1"/>
    <col min="15900" max="15900" width="4.5703125" style="563" customWidth="1"/>
    <col min="15901" max="15903" width="4.42578125" style="563" customWidth="1"/>
    <col min="15904" max="15905" width="4.5703125" style="563" customWidth="1"/>
    <col min="15906" max="15906" width="4" style="563" customWidth="1"/>
    <col min="15907" max="15907" width="4.5703125" style="563" customWidth="1"/>
    <col min="15908" max="15908" width="6" style="563" customWidth="1"/>
    <col min="15909" max="15909" width="8.5703125" style="563" customWidth="1"/>
    <col min="15910" max="16129" width="11.42578125" style="563"/>
    <col min="16130" max="16130" width="6.42578125" style="563" customWidth="1"/>
    <col min="16131" max="16131" width="47.5703125" style="563" customWidth="1"/>
    <col min="16132" max="16133" width="5" style="563" customWidth="1"/>
    <col min="16134" max="16134" width="5.42578125" style="563" customWidth="1"/>
    <col min="16135" max="16135" width="4.5703125" style="563" customWidth="1"/>
    <col min="16136" max="16137" width="4.42578125" style="563" customWidth="1"/>
    <col min="16138" max="16138" width="3.5703125" style="563" customWidth="1"/>
    <col min="16139" max="16139" width="5" style="563" customWidth="1"/>
    <col min="16140" max="16140" width="4" style="563" customWidth="1"/>
    <col min="16141" max="16142" width="4.5703125" style="563" customWidth="1"/>
    <col min="16143" max="16143" width="4.42578125" style="563" customWidth="1"/>
    <col min="16144" max="16144" width="4" style="563" customWidth="1"/>
    <col min="16145" max="16145" width="3.5703125" style="563" customWidth="1"/>
    <col min="16146" max="16147" width="4.5703125" style="563" customWidth="1"/>
    <col min="16148" max="16148" width="4" style="563" customWidth="1"/>
    <col min="16149" max="16150" width="4.42578125" style="563" customWidth="1"/>
    <col min="16151" max="16151" width="3.5703125" style="563" customWidth="1"/>
    <col min="16152" max="16152" width="4.42578125" style="563" customWidth="1"/>
    <col min="16153" max="16153" width="5.5703125" style="563" customWidth="1"/>
    <col min="16154" max="16154" width="3.5703125" style="563" customWidth="1"/>
    <col min="16155" max="16155" width="4" style="563" customWidth="1"/>
    <col min="16156" max="16156" width="4.5703125" style="563" customWidth="1"/>
    <col min="16157" max="16159" width="4.42578125" style="563" customWidth="1"/>
    <col min="16160" max="16161" width="4.5703125" style="563" customWidth="1"/>
    <col min="16162" max="16162" width="4" style="563" customWidth="1"/>
    <col min="16163" max="16163" width="4.5703125" style="563" customWidth="1"/>
    <col min="16164" max="16164" width="6" style="563" customWidth="1"/>
    <col min="16165" max="16165" width="8.5703125" style="563" customWidth="1"/>
    <col min="16166" max="16384" width="11.42578125" style="563"/>
  </cols>
  <sheetData>
    <row r="1" spans="1:40">
      <c r="A1" s="2571" t="s">
        <v>283</v>
      </c>
      <c r="B1" s="2571"/>
      <c r="C1" s="2571"/>
      <c r="D1" s="2571"/>
      <c r="E1" s="2571"/>
      <c r="F1" s="2571"/>
      <c r="G1" s="2571"/>
      <c r="H1" s="2571"/>
      <c r="I1" s="2571"/>
      <c r="J1" s="2571"/>
      <c r="K1" s="2571"/>
      <c r="AD1" s="564"/>
      <c r="AG1" s="564"/>
    </row>
    <row r="2" spans="1:40">
      <c r="A2" s="2572" t="s">
        <v>1801</v>
      </c>
      <c r="B2" s="2572"/>
      <c r="C2" s="2572"/>
      <c r="D2" s="2572"/>
      <c r="E2" s="2572"/>
      <c r="F2" s="2572"/>
      <c r="G2" s="2572"/>
      <c r="H2" s="2572"/>
      <c r="I2" s="2572"/>
      <c r="J2" s="2572"/>
      <c r="K2" s="2572"/>
      <c r="AD2" s="564"/>
      <c r="AG2" s="564"/>
    </row>
    <row r="3" spans="1:40">
      <c r="A3" s="621"/>
      <c r="G3" s="563">
        <v>7</v>
      </c>
      <c r="AD3" s="564"/>
      <c r="AG3" s="564"/>
    </row>
    <row r="4" spans="1:40">
      <c r="A4" s="623"/>
      <c r="B4" s="2573" t="s">
        <v>1799</v>
      </c>
      <c r="C4" s="2573"/>
      <c r="D4" s="2573"/>
      <c r="E4" s="2573"/>
      <c r="F4" s="2573"/>
      <c r="G4" s="2573"/>
      <c r="H4" s="2573"/>
      <c r="I4" s="2573"/>
      <c r="J4" s="2573"/>
      <c r="K4" s="2573"/>
      <c r="AD4" s="564"/>
      <c r="AG4" s="564"/>
    </row>
    <row r="5" spans="1:40" ht="12.75" customHeight="1">
      <c r="A5" s="623"/>
      <c r="B5" s="2574" t="e">
        <v>#REF!</v>
      </c>
      <c r="C5" s="2575"/>
      <c r="D5" s="2575"/>
      <c r="E5" s="2575"/>
      <c r="F5" s="2575"/>
      <c r="G5" s="2575"/>
      <c r="H5" s="2575"/>
      <c r="I5" s="2575"/>
      <c r="J5" s="2575"/>
      <c r="K5" s="2575"/>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2154</v>
      </c>
      <c r="E8" s="971" t="s">
        <v>2155</v>
      </c>
      <c r="F8" s="971" t="s">
        <v>2156</v>
      </c>
      <c r="G8" s="971" t="s">
        <v>2157</v>
      </c>
      <c r="H8" s="971" t="s">
        <v>2158</v>
      </c>
      <c r="I8" s="971" t="s">
        <v>2159</v>
      </c>
      <c r="J8" s="971" t="s">
        <v>2160</v>
      </c>
      <c r="K8" s="1109" t="s">
        <v>2154</v>
      </c>
      <c r="L8" s="971" t="s">
        <v>2155</v>
      </c>
      <c r="M8" s="971" t="s">
        <v>2156</v>
      </c>
      <c r="N8" s="971" t="s">
        <v>2157</v>
      </c>
      <c r="O8" s="971" t="s">
        <v>2158</v>
      </c>
      <c r="P8" s="971" t="s">
        <v>2159</v>
      </c>
      <c r="Q8" s="971" t="s">
        <v>2160</v>
      </c>
      <c r="R8" s="1109" t="s">
        <v>2154</v>
      </c>
      <c r="S8" s="971" t="s">
        <v>2155</v>
      </c>
      <c r="T8" s="971" t="s">
        <v>2156</v>
      </c>
      <c r="U8" s="971" t="s">
        <v>2157</v>
      </c>
      <c r="V8" s="971" t="s">
        <v>2158</v>
      </c>
      <c r="W8" s="971" t="s">
        <v>2159</v>
      </c>
      <c r="X8" s="971" t="s">
        <v>2160</v>
      </c>
      <c r="Y8" s="1109" t="s">
        <v>2154</v>
      </c>
      <c r="Z8" s="971" t="s">
        <v>2155</v>
      </c>
      <c r="AA8" s="971" t="s">
        <v>2156</v>
      </c>
      <c r="AB8" s="971" t="s">
        <v>2157</v>
      </c>
      <c r="AC8" s="971" t="s">
        <v>2158</v>
      </c>
      <c r="AD8" s="971" t="s">
        <v>2159</v>
      </c>
      <c r="AE8" s="971" t="s">
        <v>2160</v>
      </c>
      <c r="AF8" s="1109" t="s">
        <v>2154</v>
      </c>
      <c r="AG8" s="971" t="s">
        <v>2155</v>
      </c>
      <c r="AH8" s="971" t="s">
        <v>2156</v>
      </c>
      <c r="AI8" s="971"/>
      <c r="AJ8" s="602"/>
    </row>
    <row r="9" spans="1:40" ht="13.5" thickBot="1">
      <c r="A9" s="2576" t="s">
        <v>285</v>
      </c>
      <c r="B9" s="2576"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358</v>
      </c>
      <c r="AJ9" s="1127"/>
      <c r="AK9" s="756" t="s">
        <v>26</v>
      </c>
      <c r="AL9" s="755" t="s">
        <v>1821</v>
      </c>
      <c r="AM9" s="755" t="s">
        <v>1820</v>
      </c>
      <c r="AN9" s="572" t="s">
        <v>25</v>
      </c>
    </row>
    <row r="10" spans="1:40" ht="13.5" thickBot="1">
      <c r="A10" s="2577"/>
      <c r="B10" s="2577"/>
      <c r="C10" s="993" t="s">
        <v>73</v>
      </c>
      <c r="D10" s="831" t="s">
        <v>304</v>
      </c>
      <c r="E10" s="574" t="s">
        <v>304</v>
      </c>
      <c r="F10" s="574" t="s">
        <v>304</v>
      </c>
      <c r="G10" s="574" t="s">
        <v>304</v>
      </c>
      <c r="H10" s="574" t="s">
        <v>304</v>
      </c>
      <c r="I10" s="574" t="s">
        <v>304</v>
      </c>
      <c r="J10" s="574" t="s">
        <v>304</v>
      </c>
      <c r="K10" s="831" t="s">
        <v>304</v>
      </c>
      <c r="L10" s="574" t="s">
        <v>304</v>
      </c>
      <c r="M10" s="574" t="s">
        <v>304</v>
      </c>
      <c r="N10" s="574" t="s">
        <v>304</v>
      </c>
      <c r="O10" s="574" t="s">
        <v>304</v>
      </c>
      <c r="P10" s="574" t="s">
        <v>304</v>
      </c>
      <c r="Q10" s="574" t="s">
        <v>304</v>
      </c>
      <c r="R10" s="831" t="s">
        <v>304</v>
      </c>
      <c r="S10" s="574" t="s">
        <v>304</v>
      </c>
      <c r="T10" s="574" t="s">
        <v>304</v>
      </c>
      <c r="U10" s="574" t="s">
        <v>304</v>
      </c>
      <c r="V10" s="574" t="s">
        <v>304</v>
      </c>
      <c r="W10" s="574" t="s">
        <v>304</v>
      </c>
      <c r="X10" s="574" t="s">
        <v>304</v>
      </c>
      <c r="Y10" s="831" t="s">
        <v>304</v>
      </c>
      <c r="Z10" s="574" t="s">
        <v>304</v>
      </c>
      <c r="AA10" s="574" t="s">
        <v>304</v>
      </c>
      <c r="AB10" s="574" t="s">
        <v>304</v>
      </c>
      <c r="AC10" s="574" t="s">
        <v>304</v>
      </c>
      <c r="AD10" s="574" t="s">
        <v>304</v>
      </c>
      <c r="AE10" s="575" t="s">
        <v>304</v>
      </c>
      <c r="AF10" s="831" t="s">
        <v>304</v>
      </c>
      <c r="AG10" s="1066" t="s">
        <v>304</v>
      </c>
      <c r="AH10" s="574" t="s">
        <v>304</v>
      </c>
      <c r="AI10" s="576" t="s">
        <v>287</v>
      </c>
      <c r="AJ10" s="1128"/>
      <c r="AK10" s="752" t="s">
        <v>287</v>
      </c>
      <c r="AL10" s="755"/>
      <c r="AM10" s="755"/>
      <c r="AN10" s="572"/>
    </row>
    <row r="11" spans="1:40" s="585" customFormat="1">
      <c r="A11" s="612" t="s">
        <v>33</v>
      </c>
      <c r="B11" s="612" t="s">
        <v>1131</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1132</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536</v>
      </c>
      <c r="B13" s="615" t="s">
        <v>1133</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1454</v>
      </c>
      <c r="AN13" s="753">
        <v>0.7</v>
      </c>
    </row>
    <row r="14" spans="1:40" s="566" customFormat="1">
      <c r="A14" s="610" t="s">
        <v>537</v>
      </c>
      <c r="B14" s="610" t="s">
        <v>1134</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1454</v>
      </c>
      <c r="AN14" s="753">
        <v>0.5</v>
      </c>
    </row>
    <row r="15" spans="1:40" s="566" customFormat="1">
      <c r="A15" s="610" t="s">
        <v>538</v>
      </c>
      <c r="B15" s="610" t="s">
        <v>1918</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1454</v>
      </c>
      <c r="AN15" s="753">
        <v>0.75</v>
      </c>
    </row>
    <row r="16" spans="1:40" s="566" customFormat="1">
      <c r="A16" s="498" t="s">
        <v>550</v>
      </c>
      <c r="B16" s="614" t="s">
        <v>1146</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555</v>
      </c>
      <c r="B17" s="616" t="s">
        <v>1151</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1454</v>
      </c>
      <c r="AN17" s="753">
        <v>0.75</v>
      </c>
    </row>
    <row r="18" spans="1:40" s="585" customFormat="1" ht="13.5" thickBot="1">
      <c r="A18" s="610" t="s">
        <v>556</v>
      </c>
      <c r="B18" s="616" t="s">
        <v>1152</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1454</v>
      </c>
      <c r="AN18" s="753">
        <v>0.75</v>
      </c>
    </row>
    <row r="19" spans="1:40" s="939" customFormat="1">
      <c r="A19" s="1058" t="s">
        <v>42</v>
      </c>
      <c r="B19" s="1058" t="s">
        <v>1153</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1154</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557</v>
      </c>
      <c r="B22" s="610" t="s">
        <v>1155</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1459</v>
      </c>
      <c r="AN22" s="753">
        <v>14.69</v>
      </c>
    </row>
    <row r="23" spans="1:40" s="585" customFormat="1" ht="11.25" customHeight="1">
      <c r="A23" s="610" t="s">
        <v>561</v>
      </c>
      <c r="B23" s="610" t="s">
        <v>1159</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1463</v>
      </c>
      <c r="AN23" s="753">
        <v>11.999999999999998</v>
      </c>
    </row>
    <row r="24" spans="1:40" s="566" customFormat="1" ht="11.25" customHeight="1">
      <c r="A24" s="613" t="s">
        <v>563</v>
      </c>
      <c r="B24" s="613" t="s">
        <v>1161</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564</v>
      </c>
      <c r="B25" s="610" t="s">
        <v>1162</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1464</v>
      </c>
      <c r="AN25" s="753">
        <v>7.7</v>
      </c>
    </row>
    <row r="26" spans="1:40" s="566" customFormat="1">
      <c r="A26" s="610" t="s">
        <v>566</v>
      </c>
      <c r="B26" s="610" t="s">
        <v>1164</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1466</v>
      </c>
      <c r="AN26" s="753">
        <v>0</v>
      </c>
    </row>
    <row r="27" spans="1:40" s="566" customFormat="1">
      <c r="A27" s="610" t="s">
        <v>567</v>
      </c>
      <c r="B27" s="610" t="s">
        <v>1165</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1467</v>
      </c>
      <c r="AN27" s="753">
        <v>0.37</v>
      </c>
    </row>
    <row r="28" spans="1:40" s="566" customFormat="1">
      <c r="A28" s="610" t="s">
        <v>568</v>
      </c>
      <c r="B28" s="610" t="s">
        <v>1166</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1468</v>
      </c>
      <c r="AN28" s="753">
        <v>19.329999999999998</v>
      </c>
    </row>
    <row r="29" spans="1:40" s="566" customFormat="1">
      <c r="A29" s="613" t="s">
        <v>570</v>
      </c>
      <c r="B29" s="613" t="s">
        <v>1168</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582</v>
      </c>
      <c r="B30" s="610" t="s">
        <v>1180</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583</v>
      </c>
      <c r="B31" s="610" t="s">
        <v>1181</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1477</v>
      </c>
      <c r="AN31" s="753">
        <v>0</v>
      </c>
    </row>
    <row r="32" spans="1:40" s="566" customFormat="1">
      <c r="A32" s="610" t="s">
        <v>584</v>
      </c>
      <c r="B32" s="610" t="s">
        <v>1182</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1478</v>
      </c>
      <c r="AN32" s="753">
        <v>0</v>
      </c>
    </row>
    <row r="33" spans="1:41" s="566" customFormat="1" ht="13.5">
      <c r="A33" s="610" t="s">
        <v>585</v>
      </c>
      <c r="B33" s="610" t="s">
        <v>1183</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1479</v>
      </c>
      <c r="AN33" s="753">
        <v>0</v>
      </c>
      <c r="AO33" s="566">
        <v>521.74</v>
      </c>
    </row>
    <row r="34" spans="1:41" s="566" customFormat="1">
      <c r="A34" s="610" t="s">
        <v>595</v>
      </c>
      <c r="B34" s="610" t="s">
        <v>1193</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596</v>
      </c>
      <c r="B35" s="610" t="s">
        <v>1194</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1487</v>
      </c>
      <c r="AN35" s="753">
        <v>1.2</v>
      </c>
    </row>
    <row r="36" spans="1:41" s="566" customFormat="1">
      <c r="A36" s="610" t="s">
        <v>597</v>
      </c>
      <c r="B36" s="610" t="s">
        <v>1195</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1488</v>
      </c>
      <c r="AN36" s="753">
        <v>16</v>
      </c>
    </row>
    <row r="37" spans="1:41" s="566" customFormat="1">
      <c r="A37" s="610" t="s">
        <v>598</v>
      </c>
      <c r="B37" s="610" t="s">
        <v>1196</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1489</v>
      </c>
      <c r="AN37" s="753">
        <v>79.5</v>
      </c>
    </row>
    <row r="38" spans="1:41" s="566" customFormat="1">
      <c r="A38" s="613" t="s">
        <v>601</v>
      </c>
      <c r="B38" s="613" t="s">
        <v>1199</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602</v>
      </c>
      <c r="B39" s="610" t="s">
        <v>1200</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1491</v>
      </c>
      <c r="AN39" s="753">
        <v>0</v>
      </c>
    </row>
    <row r="40" spans="1:41" s="585" customFormat="1">
      <c r="A40" s="610" t="s">
        <v>603</v>
      </c>
      <c r="B40" s="610" t="s">
        <v>225</v>
      </c>
      <c r="C40" s="536" t="s">
        <v>1449</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1492</v>
      </c>
      <c r="AN40" s="753">
        <v>11</v>
      </c>
    </row>
    <row r="41" spans="1:41" s="824" customFormat="1">
      <c r="A41" s="910" t="s">
        <v>44</v>
      </c>
      <c r="B41" s="911" t="s">
        <v>1201</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606</v>
      </c>
      <c r="B43" s="610" t="s">
        <v>1157</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1495</v>
      </c>
      <c r="AN43" s="753">
        <v>3.370000000000001</v>
      </c>
    </row>
    <row r="44" spans="1:41" s="566" customFormat="1">
      <c r="A44" s="610" t="s">
        <v>607</v>
      </c>
      <c r="B44" s="610" t="s">
        <v>1158</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1496</v>
      </c>
      <c r="AN44" s="753">
        <v>6</v>
      </c>
    </row>
    <row r="45" spans="1:41" s="566" customFormat="1">
      <c r="A45" s="610" t="s">
        <v>608</v>
      </c>
      <c r="B45" s="610" t="s">
        <v>1159</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1497</v>
      </c>
      <c r="AN45" s="753">
        <v>0</v>
      </c>
    </row>
    <row r="46" spans="1:41" s="566" customFormat="1">
      <c r="A46" s="613" t="s">
        <v>55</v>
      </c>
      <c r="B46" s="613" t="s">
        <v>1161</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612</v>
      </c>
      <c r="B47" s="610" t="s">
        <v>1204</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1500</v>
      </c>
      <c r="AN47" s="753">
        <v>2.5300000000000002</v>
      </c>
    </row>
    <row r="48" spans="1:41" s="566" customFormat="1">
      <c r="A48" s="610" t="s">
        <v>613</v>
      </c>
      <c r="B48" s="610" t="s">
        <v>1166</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1501</v>
      </c>
      <c r="AN48" s="753">
        <v>94.56</v>
      </c>
    </row>
    <row r="49" spans="1:40" s="566" customFormat="1">
      <c r="A49" s="613" t="s">
        <v>615</v>
      </c>
      <c r="B49" s="613" t="s">
        <v>1168</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627</v>
      </c>
      <c r="B50" s="610" t="s">
        <v>1180</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629</v>
      </c>
      <c r="B51" s="610" t="s">
        <v>1182</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1511</v>
      </c>
      <c r="AN51" s="753">
        <v>33.28</v>
      </c>
    </row>
    <row r="52" spans="1:40" s="566" customFormat="1">
      <c r="A52" s="610" t="s">
        <v>630</v>
      </c>
      <c r="B52" s="610" t="s">
        <v>1183</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1512</v>
      </c>
      <c r="AN52" s="753">
        <v>275.86000000000007</v>
      </c>
    </row>
    <row r="53" spans="1:40" s="566" customFormat="1">
      <c r="A53" s="613" t="s">
        <v>644</v>
      </c>
      <c r="B53" s="613" t="s">
        <v>1197</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645</v>
      </c>
      <c r="B54" s="610" t="s">
        <v>1198</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1522</v>
      </c>
      <c r="AN54" s="753">
        <v>158.4</v>
      </c>
    </row>
    <row r="55" spans="1:40" s="585" customFormat="1">
      <c r="A55" s="613" t="s">
        <v>646</v>
      </c>
      <c r="B55" s="613" t="s">
        <v>1199</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647</v>
      </c>
      <c r="B56" s="610" t="s">
        <v>1200</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1523</v>
      </c>
      <c r="AN56" s="753">
        <v>0</v>
      </c>
    </row>
    <row r="57" spans="1:40" s="566" customFormat="1">
      <c r="A57" s="610" t="s">
        <v>648</v>
      </c>
      <c r="B57" s="610" t="s">
        <v>225</v>
      </c>
      <c r="C57" s="536" t="s">
        <v>1449</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1492</v>
      </c>
      <c r="AN57" s="753">
        <v>11</v>
      </c>
    </row>
    <row r="58" spans="1:40" s="824" customFormat="1">
      <c r="A58" s="910" t="s">
        <v>52</v>
      </c>
      <c r="B58" s="911" t="s">
        <v>1208</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652</v>
      </c>
      <c r="B60" s="610" t="s">
        <v>1158</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1527</v>
      </c>
      <c r="AN60" s="753">
        <v>71.989999999999995</v>
      </c>
    </row>
    <row r="61" spans="1:40" s="566" customFormat="1">
      <c r="A61" s="613" t="s">
        <v>660</v>
      </c>
      <c r="B61" s="613" t="s">
        <v>1168</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672</v>
      </c>
      <c r="B62" s="610" t="s">
        <v>1180</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673</v>
      </c>
      <c r="B63" s="610" t="s">
        <v>1181</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1541</v>
      </c>
      <c r="AN63" s="753">
        <v>0.85999999999999988</v>
      </c>
    </row>
    <row r="64" spans="1:40" s="566" customFormat="1">
      <c r="A64" s="610" t="s">
        <v>674</v>
      </c>
      <c r="B64" s="610" t="s">
        <v>1182</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1542</v>
      </c>
      <c r="AN64" s="753">
        <v>11.16</v>
      </c>
    </row>
    <row r="65" spans="1:40" s="566" customFormat="1" ht="13.5">
      <c r="A65" s="610" t="s">
        <v>675</v>
      </c>
      <c r="B65" s="610" t="s">
        <v>1183</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1543</v>
      </c>
      <c r="AN65" s="753">
        <v>48.449999999999989</v>
      </c>
    </row>
    <row r="66" spans="1:40" s="566" customFormat="1">
      <c r="A66" s="613" t="s">
        <v>691</v>
      </c>
      <c r="B66" s="613" t="s">
        <v>1199</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692</v>
      </c>
      <c r="B67" s="610" t="s">
        <v>1200</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1554</v>
      </c>
      <c r="AN67" s="753">
        <v>0</v>
      </c>
    </row>
    <row r="68" spans="1:40" s="566" customFormat="1">
      <c r="A68" s="610" t="s">
        <v>693</v>
      </c>
      <c r="B68" s="610" t="s">
        <v>225</v>
      </c>
      <c r="C68" s="620" t="s">
        <v>1449</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1492</v>
      </c>
      <c r="AN68" s="753">
        <v>12</v>
      </c>
    </row>
    <row r="69" spans="1:40" s="566" customFormat="1">
      <c r="A69" s="910" t="s">
        <v>515</v>
      </c>
      <c r="B69" s="911" t="s">
        <v>1209</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516</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694</v>
      </c>
      <c r="B71" s="610" t="s">
        <v>1155</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1555</v>
      </c>
      <c r="AN71" s="753">
        <v>33.08</v>
      </c>
    </row>
    <row r="72" spans="1:40" s="566" customFormat="1">
      <c r="A72" s="610" t="s">
        <v>697</v>
      </c>
      <c r="B72" s="610" t="s">
        <v>1158</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1558</v>
      </c>
      <c r="AN72" s="753">
        <v>0</v>
      </c>
    </row>
    <row r="73" spans="1:40" s="566" customFormat="1">
      <c r="A73" s="610" t="s">
        <v>698</v>
      </c>
      <c r="B73" s="610" t="s">
        <v>1159</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1559</v>
      </c>
      <c r="AN73" s="753">
        <v>33.620000000000005</v>
      </c>
    </row>
    <row r="74" spans="1:40" s="566" customFormat="1">
      <c r="A74" s="613" t="s">
        <v>700</v>
      </c>
      <c r="B74" s="613" t="s">
        <v>1161</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702</v>
      </c>
      <c r="B75" s="610" t="s">
        <v>1202</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1561</v>
      </c>
      <c r="AN75" s="753">
        <v>14.579999999999998</v>
      </c>
    </row>
    <row r="76" spans="1:40" s="566" customFormat="1">
      <c r="A76" s="610" t="s">
        <v>703</v>
      </c>
      <c r="B76" s="610" t="s">
        <v>1203</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1562</v>
      </c>
      <c r="AN76" s="753">
        <v>2.3400000000000003</v>
      </c>
    </row>
    <row r="77" spans="1:40" s="566" customFormat="1">
      <c r="A77" s="610" t="s">
        <v>704</v>
      </c>
      <c r="B77" s="610" t="s">
        <v>1204</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1563</v>
      </c>
      <c r="AN77" s="753">
        <v>1.4700000000000002</v>
      </c>
    </row>
    <row r="78" spans="1:40" s="566" customFormat="1">
      <c r="A78" s="610" t="s">
        <v>705</v>
      </c>
      <c r="B78" s="610" t="s">
        <v>1166</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1564</v>
      </c>
      <c r="AN78" s="753">
        <v>40.35</v>
      </c>
    </row>
    <row r="79" spans="1:40" s="566" customFormat="1">
      <c r="A79" s="613" t="s">
        <v>707</v>
      </c>
      <c r="B79" s="613" t="s">
        <v>1168</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719</v>
      </c>
      <c r="B80" s="610" t="s">
        <v>1180</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720</v>
      </c>
      <c r="B81" s="610" t="s">
        <v>1181</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1477</v>
      </c>
      <c r="AN81" s="753">
        <v>0</v>
      </c>
    </row>
    <row r="82" spans="1:40" s="566" customFormat="1">
      <c r="A82" s="610" t="s">
        <v>721</v>
      </c>
      <c r="B82" s="610" t="s">
        <v>1182</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1478</v>
      </c>
      <c r="AN82" s="753">
        <v>0</v>
      </c>
    </row>
    <row r="83" spans="1:40" s="566" customFormat="1">
      <c r="A83" s="610" t="s">
        <v>722</v>
      </c>
      <c r="B83" s="610" t="s">
        <v>1183</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1479</v>
      </c>
      <c r="AN83" s="753">
        <v>0</v>
      </c>
    </row>
    <row r="84" spans="1:40" s="566" customFormat="1">
      <c r="A84" s="610" t="s">
        <v>732</v>
      </c>
      <c r="B84" s="610" t="s">
        <v>1193</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733</v>
      </c>
      <c r="B85" s="610" t="s">
        <v>1194</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1577</v>
      </c>
      <c r="AN85" s="753">
        <v>0.27</v>
      </c>
    </row>
    <row r="86" spans="1:40" s="566" customFormat="1">
      <c r="A86" s="610" t="s">
        <v>734</v>
      </c>
      <c r="B86" s="610" t="s">
        <v>1195</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1578</v>
      </c>
      <c r="AN86" s="753">
        <v>1.58</v>
      </c>
    </row>
    <row r="87" spans="1:40" s="566" customFormat="1">
      <c r="A87" s="610" t="s">
        <v>735</v>
      </c>
      <c r="B87" s="610" t="s">
        <v>1196</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1579</v>
      </c>
      <c r="AN87" s="753">
        <v>38.61999999999999</v>
      </c>
    </row>
    <row r="88" spans="1:40" s="566" customFormat="1">
      <c r="A88" s="613" t="s">
        <v>738</v>
      </c>
      <c r="B88" s="613" t="s">
        <v>1199</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739</v>
      </c>
      <c r="B89" s="610" t="s">
        <v>1200</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1581</v>
      </c>
      <c r="AN89" s="753">
        <v>0</v>
      </c>
    </row>
    <row r="90" spans="1:40" s="566" customFormat="1">
      <c r="A90" s="610" t="s">
        <v>740</v>
      </c>
      <c r="B90" s="610" t="s">
        <v>225</v>
      </c>
      <c r="C90" s="620" t="s">
        <v>1449</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1492</v>
      </c>
      <c r="AN90" s="753">
        <v>10</v>
      </c>
    </row>
    <row r="91" spans="1:40" s="824" customFormat="1">
      <c r="A91" s="910" t="s">
        <v>741</v>
      </c>
      <c r="B91" s="911" t="s">
        <v>1210</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742</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743</v>
      </c>
      <c r="B93" s="610" t="s">
        <v>1211</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1582</v>
      </c>
      <c r="AN93" s="753">
        <v>222.58999999999997</v>
      </c>
    </row>
    <row r="94" spans="1:40" s="566" customFormat="1">
      <c r="A94" s="613" t="s">
        <v>747</v>
      </c>
      <c r="B94" s="613" t="s">
        <v>1168</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752</v>
      </c>
      <c r="B95" s="610" t="s">
        <v>1184</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753</v>
      </c>
      <c r="B96" s="610" t="s">
        <v>1185</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1588</v>
      </c>
      <c r="AN96" s="753">
        <v>3.8500000000000005</v>
      </c>
    </row>
    <row r="97" spans="1:40" s="566" customFormat="1">
      <c r="A97" s="610" t="s">
        <v>754</v>
      </c>
      <c r="B97" s="610" t="s">
        <v>1186</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1589</v>
      </c>
      <c r="AN97" s="753">
        <v>47.11</v>
      </c>
    </row>
    <row r="98" spans="1:40" s="566" customFormat="1">
      <c r="A98" s="610" t="s">
        <v>755</v>
      </c>
      <c r="B98" s="610" t="s">
        <v>1187</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1590</v>
      </c>
      <c r="AN98" s="753">
        <v>454.28</v>
      </c>
    </row>
    <row r="99" spans="1:40" s="824" customFormat="1">
      <c r="A99" s="910" t="s">
        <v>762</v>
      </c>
      <c r="B99" s="911" t="s">
        <v>1216</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763</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764</v>
      </c>
      <c r="B101" s="610" t="s">
        <v>1211</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1595</v>
      </c>
      <c r="AN101" s="753">
        <v>226.54</v>
      </c>
    </row>
    <row r="102" spans="1:40" s="566" customFormat="1">
      <c r="A102" s="613" t="s">
        <v>766</v>
      </c>
      <c r="B102" s="613" t="s">
        <v>1217</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767</v>
      </c>
      <c r="B103" s="610" t="s">
        <v>1218</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1597</v>
      </c>
      <c r="AN103" s="753">
        <v>177.07</v>
      </c>
    </row>
    <row r="104" spans="1:40" s="566" customFormat="1">
      <c r="A104" s="610" t="s">
        <v>768</v>
      </c>
      <c r="B104" s="610" t="s">
        <v>1219</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1598</v>
      </c>
      <c r="AN104" s="753">
        <v>458.33000000000004</v>
      </c>
    </row>
    <row r="105" spans="1:40" s="566" customFormat="1">
      <c r="A105" s="610" t="s">
        <v>769</v>
      </c>
      <c r="B105" s="610" t="s">
        <v>1220</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1599</v>
      </c>
      <c r="AN105" s="753">
        <v>12136.369999999999</v>
      </c>
    </row>
    <row r="106" spans="1:40" s="566" customFormat="1">
      <c r="A106" s="613" t="s">
        <v>770</v>
      </c>
      <c r="B106" s="613" t="s">
        <v>1199</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771</v>
      </c>
      <c r="B107" s="610" t="s">
        <v>1221</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1600</v>
      </c>
      <c r="AN107" s="753">
        <v>97.93</v>
      </c>
    </row>
    <row r="108" spans="1:40" s="566" customFormat="1">
      <c r="A108" s="610" t="s">
        <v>772</v>
      </c>
      <c r="B108" s="610" t="s">
        <v>225</v>
      </c>
      <c r="C108" s="620" t="s">
        <v>1449</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1601</v>
      </c>
      <c r="AN108" s="753">
        <v>23</v>
      </c>
    </row>
    <row r="109" spans="1:40" s="566" customFormat="1">
      <c r="A109" s="910" t="s">
        <v>773</v>
      </c>
      <c r="B109" s="911" t="s">
        <v>1222</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774</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775</v>
      </c>
      <c r="B111" s="610" t="s">
        <v>1211</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1602</v>
      </c>
      <c r="AN111" s="753">
        <v>8.75</v>
      </c>
    </row>
    <row r="112" spans="1:40" s="566" customFormat="1">
      <c r="A112" s="910" t="s">
        <v>780</v>
      </c>
      <c r="B112" s="911" t="s">
        <v>1224</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781</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5" thickBot="1">
      <c r="A114" s="610" t="s">
        <v>782</v>
      </c>
      <c r="B114" s="610" t="s">
        <v>1225</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1606</v>
      </c>
      <c r="AN114" s="753">
        <v>0</v>
      </c>
    </row>
    <row r="115" spans="1:40" s="939" customFormat="1">
      <c r="A115" s="1058" t="s">
        <v>45</v>
      </c>
      <c r="B115" s="1058" t="s">
        <v>1233</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1234</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1235</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800</v>
      </c>
      <c r="B118" s="610" t="s">
        <v>1236</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1618</v>
      </c>
      <c r="AN118" s="753">
        <v>46.47</v>
      </c>
    </row>
    <row r="119" spans="1:40" s="566" customFormat="1">
      <c r="A119" s="610" t="s">
        <v>801</v>
      </c>
      <c r="B119" s="610" t="s">
        <v>1237</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1619</v>
      </c>
      <c r="AN119" s="753">
        <v>4.0300000000000011</v>
      </c>
    </row>
    <row r="120" spans="1:40" s="566" customFormat="1">
      <c r="A120" s="613" t="s">
        <v>50</v>
      </c>
      <c r="B120" s="613" t="s">
        <v>1238</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802</v>
      </c>
      <c r="B121" s="610" t="s">
        <v>1239</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1620</v>
      </c>
      <c r="AN121" s="753">
        <v>0</v>
      </c>
    </row>
    <row r="122" spans="1:40" s="566" customFormat="1">
      <c r="A122" s="610" t="s">
        <v>804</v>
      </c>
      <c r="B122" s="610" t="s">
        <v>1241</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1622</v>
      </c>
      <c r="AN122" s="753">
        <v>0</v>
      </c>
    </row>
    <row r="123" spans="1:40" s="566" customFormat="1">
      <c r="A123" s="610" t="s">
        <v>805</v>
      </c>
      <c r="B123" s="610" t="s">
        <v>1242</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1623</v>
      </c>
      <c r="AN123" s="753">
        <v>0</v>
      </c>
    </row>
    <row r="124" spans="1:40" s="566" customFormat="1">
      <c r="A124" s="610" t="s">
        <v>807</v>
      </c>
      <c r="B124" s="610" t="s">
        <v>1244</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1625</v>
      </c>
      <c r="AN124" s="753">
        <v>44.14</v>
      </c>
    </row>
    <row r="125" spans="1:40" s="566" customFormat="1">
      <c r="A125" s="610" t="s">
        <v>808</v>
      </c>
      <c r="B125" s="610" t="s">
        <v>1245</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1626</v>
      </c>
      <c r="AN125" s="753">
        <v>0</v>
      </c>
    </row>
    <row r="126" spans="1:40" s="566" customFormat="1">
      <c r="A126" s="498" t="s">
        <v>474</v>
      </c>
      <c r="B126" s="614" t="s">
        <v>1283</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475</v>
      </c>
      <c r="B127" s="613" t="s">
        <v>1235</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841</v>
      </c>
      <c r="B128" s="610" t="s">
        <v>1236</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1645</v>
      </c>
      <c r="AN128" s="753">
        <v>49.350000000000009</v>
      </c>
    </row>
    <row r="129" spans="1:40" s="566" customFormat="1">
      <c r="A129" s="613" t="s">
        <v>476</v>
      </c>
      <c r="B129" s="613" t="s">
        <v>1238</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843</v>
      </c>
      <c r="B130" s="610" t="s">
        <v>1239</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1647</v>
      </c>
      <c r="AN130" s="753">
        <v>21.72</v>
      </c>
    </row>
    <row r="131" spans="1:40" s="566" customFormat="1">
      <c r="A131" s="610" t="s">
        <v>845</v>
      </c>
      <c r="B131" s="610" t="s">
        <v>1241</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1649</v>
      </c>
      <c r="AN131" s="753">
        <v>5.6900000000000013</v>
      </c>
    </row>
    <row r="132" spans="1:40" s="566" customFormat="1">
      <c r="A132" s="610" t="s">
        <v>846</v>
      </c>
      <c r="B132" s="610" t="s">
        <v>1242</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1650</v>
      </c>
      <c r="AN132" s="753">
        <v>1.6400000000000006</v>
      </c>
    </row>
    <row r="133" spans="1:40" s="566" customFormat="1">
      <c r="A133" s="610" t="s">
        <v>848</v>
      </c>
      <c r="B133" s="610" t="s">
        <v>1244</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1652</v>
      </c>
      <c r="AN133" s="753">
        <v>79.8</v>
      </c>
    </row>
    <row r="134" spans="1:40" s="566" customFormat="1">
      <c r="A134" s="610" t="s">
        <v>849</v>
      </c>
      <c r="B134" s="610" t="s">
        <v>1245</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1653</v>
      </c>
      <c r="AN134" s="753">
        <v>18.200000000000017</v>
      </c>
    </row>
    <row r="135" spans="1:40" s="566" customFormat="1">
      <c r="A135" s="613" t="s">
        <v>477</v>
      </c>
      <c r="B135" s="613" t="s">
        <v>1246</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850</v>
      </c>
      <c r="B136" s="610" t="s">
        <v>1247</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1654</v>
      </c>
      <c r="AN136" s="753">
        <v>47.620000000000005</v>
      </c>
    </row>
    <row r="137" spans="1:40" s="566" customFormat="1">
      <c r="A137" s="498" t="s">
        <v>483</v>
      </c>
      <c r="B137" s="614" t="s">
        <v>1154</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484</v>
      </c>
      <c r="B138" s="613" t="s">
        <v>1235</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886</v>
      </c>
      <c r="B139" s="610" t="s">
        <v>1236</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1676</v>
      </c>
      <c r="AN139" s="753">
        <v>13.21</v>
      </c>
    </row>
    <row r="140" spans="1:40" s="566" customFormat="1">
      <c r="A140" s="613" t="s">
        <v>485</v>
      </c>
      <c r="B140" s="613" t="s">
        <v>1238</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891</v>
      </c>
      <c r="B141" s="610" t="s">
        <v>1242</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1680</v>
      </c>
      <c r="AN141" s="753">
        <v>21.57</v>
      </c>
    </row>
    <row r="142" spans="1:40" s="566" customFormat="1">
      <c r="A142" s="613" t="s">
        <v>486</v>
      </c>
      <c r="B142" s="613" t="s">
        <v>1246</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895</v>
      </c>
      <c r="B143" s="610" t="s">
        <v>1247</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1684</v>
      </c>
      <c r="AN143" s="753">
        <v>10.160000000000004</v>
      </c>
    </row>
    <row r="144" spans="1:40" s="566" customFormat="1">
      <c r="A144" s="498" t="s">
        <v>517</v>
      </c>
      <c r="B144" s="614" t="s">
        <v>1296</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518</v>
      </c>
      <c r="B145" s="613" t="s">
        <v>1235</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519</v>
      </c>
      <c r="B146" s="610" t="s">
        <v>1236</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1702</v>
      </c>
      <c r="AN146" s="753">
        <v>15.669999999999995</v>
      </c>
    </row>
    <row r="147" spans="1:40" s="566" customFormat="1">
      <c r="A147" s="613" t="s">
        <v>523</v>
      </c>
      <c r="B147" s="613" t="s">
        <v>1246</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524</v>
      </c>
      <c r="B148" s="610" t="s">
        <v>1247</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1711</v>
      </c>
      <c r="AN148" s="753">
        <v>26.120000000000005</v>
      </c>
    </row>
  </sheetData>
  <mergeCells count="6">
    <mergeCell ref="A1:K1"/>
    <mergeCell ref="A2:K2"/>
    <mergeCell ref="B4:K4"/>
    <mergeCell ref="B5:K5"/>
    <mergeCell ref="A9:A10"/>
    <mergeCell ref="B9:B10"/>
  </mergeCells>
  <conditionalFormatting sqref="AA65">
    <cfRule type="cellIs" dxfId="37" priority="3" operator="lessThan">
      <formula>0</formula>
    </cfRule>
    <cfRule type="cellIs" dxfId="36" priority="4" operator="lessThan">
      <formula>0</formula>
    </cfRule>
  </conditionalFormatting>
  <conditionalFormatting sqref="AB33">
    <cfRule type="cellIs" dxfId="35" priority="1" operator="lessThan">
      <formula>0</formula>
    </cfRule>
    <cfRule type="cellIs" dxfId="3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2578125" defaultRowHeight="12.75"/>
  <cols>
    <col min="1" max="1" width="10.42578125" style="624" customWidth="1"/>
    <col min="2" max="2" width="99.42578125" style="622" customWidth="1"/>
    <col min="3" max="3" width="5" style="565" customWidth="1"/>
    <col min="4" max="4" width="9.42578125" style="566" customWidth="1"/>
    <col min="5" max="5" width="9.42578125" style="563" customWidth="1"/>
    <col min="6" max="6" width="11.42578125" style="563"/>
    <col min="7" max="7" width="14.42578125" style="563" customWidth="1"/>
    <col min="8" max="225" width="11.42578125" style="563"/>
    <col min="226" max="226" width="6.42578125" style="563" customWidth="1"/>
    <col min="227" max="227" width="47.5703125" style="563" customWidth="1"/>
    <col min="228" max="229" width="5" style="563" customWidth="1"/>
    <col min="230" max="230" width="5.42578125" style="563" customWidth="1"/>
    <col min="231" max="231" width="4.5703125" style="563" customWidth="1"/>
    <col min="232" max="233" width="4.42578125" style="563" customWidth="1"/>
    <col min="234" max="234" width="3.5703125" style="563" customWidth="1"/>
    <col min="235" max="235" width="5" style="563" customWidth="1"/>
    <col min="236" max="236" width="4" style="563" customWidth="1"/>
    <col min="237" max="238" width="4.5703125" style="563" customWidth="1"/>
    <col min="239" max="239" width="4.42578125" style="563" customWidth="1"/>
    <col min="240" max="240" width="4" style="563" customWidth="1"/>
    <col min="241" max="241" width="3.5703125" style="563" customWidth="1"/>
    <col min="242" max="243" width="4.5703125" style="563" customWidth="1"/>
    <col min="244" max="244" width="4" style="563" customWidth="1"/>
    <col min="245" max="246" width="4.42578125" style="563" customWidth="1"/>
    <col min="247" max="247" width="3.5703125" style="563" customWidth="1"/>
    <col min="248" max="248" width="4.42578125" style="563" customWidth="1"/>
    <col min="249" max="249" width="5.5703125" style="563" customWidth="1"/>
    <col min="250" max="250" width="3.5703125" style="563" customWidth="1"/>
    <col min="251" max="251" width="4" style="563" customWidth="1"/>
    <col min="252" max="252" width="4.5703125" style="563" customWidth="1"/>
    <col min="253" max="255" width="4.42578125" style="563" customWidth="1"/>
    <col min="256" max="257" width="4.5703125" style="563" customWidth="1"/>
    <col min="258" max="258" width="4" style="563" customWidth="1"/>
    <col min="259" max="259" width="4.5703125" style="563" customWidth="1"/>
    <col min="260" max="260" width="6" style="563" customWidth="1"/>
    <col min="261" max="261" width="8.5703125" style="563" customWidth="1"/>
    <col min="262" max="481" width="11.42578125" style="563"/>
    <col min="482" max="482" width="6.42578125" style="563" customWidth="1"/>
    <col min="483" max="483" width="47.5703125" style="563" customWidth="1"/>
    <col min="484" max="485" width="5" style="563" customWidth="1"/>
    <col min="486" max="486" width="5.42578125" style="563" customWidth="1"/>
    <col min="487" max="487" width="4.5703125" style="563" customWidth="1"/>
    <col min="488" max="489" width="4.42578125" style="563" customWidth="1"/>
    <col min="490" max="490" width="3.5703125" style="563" customWidth="1"/>
    <col min="491" max="491" width="5" style="563" customWidth="1"/>
    <col min="492" max="492" width="4" style="563" customWidth="1"/>
    <col min="493" max="494" width="4.5703125" style="563" customWidth="1"/>
    <col min="495" max="495" width="4.42578125" style="563" customWidth="1"/>
    <col min="496" max="496" width="4" style="563" customWidth="1"/>
    <col min="497" max="497" width="3.5703125" style="563" customWidth="1"/>
    <col min="498" max="499" width="4.5703125" style="563" customWidth="1"/>
    <col min="500" max="500" width="4" style="563" customWidth="1"/>
    <col min="501" max="502" width="4.42578125" style="563" customWidth="1"/>
    <col min="503" max="503" width="3.5703125" style="563" customWidth="1"/>
    <col min="504" max="504" width="4.42578125" style="563" customWidth="1"/>
    <col min="505" max="505" width="5.5703125" style="563" customWidth="1"/>
    <col min="506" max="506" width="3.5703125" style="563" customWidth="1"/>
    <col min="507" max="507" width="4" style="563" customWidth="1"/>
    <col min="508" max="508" width="4.5703125" style="563" customWidth="1"/>
    <col min="509" max="511" width="4.42578125" style="563" customWidth="1"/>
    <col min="512" max="513" width="4.5703125" style="563" customWidth="1"/>
    <col min="514" max="514" width="4" style="563" customWidth="1"/>
    <col min="515" max="515" width="4.5703125" style="563" customWidth="1"/>
    <col min="516" max="516" width="6" style="563" customWidth="1"/>
    <col min="517" max="517" width="8.5703125" style="563" customWidth="1"/>
    <col min="518" max="737" width="11.42578125" style="563"/>
    <col min="738" max="738" width="6.42578125" style="563" customWidth="1"/>
    <col min="739" max="739" width="47.5703125" style="563" customWidth="1"/>
    <col min="740" max="741" width="5" style="563" customWidth="1"/>
    <col min="742" max="742" width="5.42578125" style="563" customWidth="1"/>
    <col min="743" max="743" width="4.5703125" style="563" customWidth="1"/>
    <col min="744" max="745" width="4.42578125" style="563" customWidth="1"/>
    <col min="746" max="746" width="3.5703125" style="563" customWidth="1"/>
    <col min="747" max="747" width="5" style="563" customWidth="1"/>
    <col min="748" max="748" width="4" style="563" customWidth="1"/>
    <col min="749" max="750" width="4.5703125" style="563" customWidth="1"/>
    <col min="751" max="751" width="4.42578125" style="563" customWidth="1"/>
    <col min="752" max="752" width="4" style="563" customWidth="1"/>
    <col min="753" max="753" width="3.5703125" style="563" customWidth="1"/>
    <col min="754" max="755" width="4.5703125" style="563" customWidth="1"/>
    <col min="756" max="756" width="4" style="563" customWidth="1"/>
    <col min="757" max="758" width="4.42578125" style="563" customWidth="1"/>
    <col min="759" max="759" width="3.5703125" style="563" customWidth="1"/>
    <col min="760" max="760" width="4.42578125" style="563" customWidth="1"/>
    <col min="761" max="761" width="5.5703125" style="563" customWidth="1"/>
    <col min="762" max="762" width="3.5703125" style="563" customWidth="1"/>
    <col min="763" max="763" width="4" style="563" customWidth="1"/>
    <col min="764" max="764" width="4.5703125" style="563" customWidth="1"/>
    <col min="765" max="767" width="4.42578125" style="563" customWidth="1"/>
    <col min="768" max="769" width="4.5703125" style="563" customWidth="1"/>
    <col min="770" max="770" width="4" style="563" customWidth="1"/>
    <col min="771" max="771" width="4.5703125" style="563" customWidth="1"/>
    <col min="772" max="772" width="6" style="563" customWidth="1"/>
    <col min="773" max="773" width="8.5703125" style="563" customWidth="1"/>
    <col min="774" max="993" width="11.42578125" style="563"/>
    <col min="994" max="994" width="6.42578125" style="563" customWidth="1"/>
    <col min="995" max="995" width="47.5703125" style="563" customWidth="1"/>
    <col min="996" max="997" width="5" style="563" customWidth="1"/>
    <col min="998" max="998" width="5.42578125" style="563" customWidth="1"/>
    <col min="999" max="999" width="4.5703125" style="563" customWidth="1"/>
    <col min="1000" max="1001" width="4.42578125" style="563" customWidth="1"/>
    <col min="1002" max="1002" width="3.5703125" style="563" customWidth="1"/>
    <col min="1003" max="1003" width="5" style="563" customWidth="1"/>
    <col min="1004" max="1004" width="4" style="563" customWidth="1"/>
    <col min="1005" max="1006" width="4.5703125" style="563" customWidth="1"/>
    <col min="1007" max="1007" width="4.42578125" style="563" customWidth="1"/>
    <col min="1008" max="1008" width="4" style="563" customWidth="1"/>
    <col min="1009" max="1009" width="3.5703125" style="563" customWidth="1"/>
    <col min="1010" max="1011" width="4.5703125" style="563" customWidth="1"/>
    <col min="1012" max="1012" width="4" style="563" customWidth="1"/>
    <col min="1013" max="1014" width="4.42578125" style="563" customWidth="1"/>
    <col min="1015" max="1015" width="3.5703125" style="563" customWidth="1"/>
    <col min="1016" max="1016" width="4.42578125" style="563" customWidth="1"/>
    <col min="1017" max="1017" width="5.5703125" style="563" customWidth="1"/>
    <col min="1018" max="1018" width="3.5703125" style="563" customWidth="1"/>
    <col min="1019" max="1019" width="4" style="563" customWidth="1"/>
    <col min="1020" max="1020" width="4.5703125" style="563" customWidth="1"/>
    <col min="1021" max="1023" width="4.42578125" style="563" customWidth="1"/>
    <col min="1024" max="1025" width="4.5703125" style="563" customWidth="1"/>
    <col min="1026" max="1026" width="4" style="563" customWidth="1"/>
    <col min="1027" max="1027" width="4.5703125" style="563" customWidth="1"/>
    <col min="1028" max="1028" width="6" style="563" customWidth="1"/>
    <col min="1029" max="1029" width="8.5703125" style="563" customWidth="1"/>
    <col min="1030" max="1249" width="11.42578125" style="563"/>
    <col min="1250" max="1250" width="6.42578125" style="563" customWidth="1"/>
    <col min="1251" max="1251" width="47.5703125" style="563" customWidth="1"/>
    <col min="1252" max="1253" width="5" style="563" customWidth="1"/>
    <col min="1254" max="1254" width="5.42578125" style="563" customWidth="1"/>
    <col min="1255" max="1255" width="4.5703125" style="563" customWidth="1"/>
    <col min="1256" max="1257" width="4.42578125" style="563" customWidth="1"/>
    <col min="1258" max="1258" width="3.5703125" style="563" customWidth="1"/>
    <col min="1259" max="1259" width="5" style="563" customWidth="1"/>
    <col min="1260" max="1260" width="4" style="563" customWidth="1"/>
    <col min="1261" max="1262" width="4.5703125" style="563" customWidth="1"/>
    <col min="1263" max="1263" width="4.42578125" style="563" customWidth="1"/>
    <col min="1264" max="1264" width="4" style="563" customWidth="1"/>
    <col min="1265" max="1265" width="3.5703125" style="563" customWidth="1"/>
    <col min="1266" max="1267" width="4.5703125" style="563" customWidth="1"/>
    <col min="1268" max="1268" width="4" style="563" customWidth="1"/>
    <col min="1269" max="1270" width="4.42578125" style="563" customWidth="1"/>
    <col min="1271" max="1271" width="3.5703125" style="563" customWidth="1"/>
    <col min="1272" max="1272" width="4.42578125" style="563" customWidth="1"/>
    <col min="1273" max="1273" width="5.5703125" style="563" customWidth="1"/>
    <col min="1274" max="1274" width="3.5703125" style="563" customWidth="1"/>
    <col min="1275" max="1275" width="4" style="563" customWidth="1"/>
    <col min="1276" max="1276" width="4.5703125" style="563" customWidth="1"/>
    <col min="1277" max="1279" width="4.42578125" style="563" customWidth="1"/>
    <col min="1280" max="1281" width="4.5703125" style="563" customWidth="1"/>
    <col min="1282" max="1282" width="4" style="563" customWidth="1"/>
    <col min="1283" max="1283" width="4.5703125" style="563" customWidth="1"/>
    <col min="1284" max="1284" width="6" style="563" customWidth="1"/>
    <col min="1285" max="1285" width="8.5703125" style="563" customWidth="1"/>
    <col min="1286" max="1505" width="11.42578125" style="563"/>
    <col min="1506" max="1506" width="6.42578125" style="563" customWidth="1"/>
    <col min="1507" max="1507" width="47.5703125" style="563" customWidth="1"/>
    <col min="1508" max="1509" width="5" style="563" customWidth="1"/>
    <col min="1510" max="1510" width="5.42578125" style="563" customWidth="1"/>
    <col min="1511" max="1511" width="4.5703125" style="563" customWidth="1"/>
    <col min="1512" max="1513" width="4.42578125" style="563" customWidth="1"/>
    <col min="1514" max="1514" width="3.5703125" style="563" customWidth="1"/>
    <col min="1515" max="1515" width="5" style="563" customWidth="1"/>
    <col min="1516" max="1516" width="4" style="563" customWidth="1"/>
    <col min="1517" max="1518" width="4.5703125" style="563" customWidth="1"/>
    <col min="1519" max="1519" width="4.42578125" style="563" customWidth="1"/>
    <col min="1520" max="1520" width="4" style="563" customWidth="1"/>
    <col min="1521" max="1521" width="3.5703125" style="563" customWidth="1"/>
    <col min="1522" max="1523" width="4.5703125" style="563" customWidth="1"/>
    <col min="1524" max="1524" width="4" style="563" customWidth="1"/>
    <col min="1525" max="1526" width="4.42578125" style="563" customWidth="1"/>
    <col min="1527" max="1527" width="3.5703125" style="563" customWidth="1"/>
    <col min="1528" max="1528" width="4.42578125" style="563" customWidth="1"/>
    <col min="1529" max="1529" width="5.5703125" style="563" customWidth="1"/>
    <col min="1530" max="1530" width="3.5703125" style="563" customWidth="1"/>
    <col min="1531" max="1531" width="4" style="563" customWidth="1"/>
    <col min="1532" max="1532" width="4.5703125" style="563" customWidth="1"/>
    <col min="1533" max="1535" width="4.42578125" style="563" customWidth="1"/>
    <col min="1536" max="1537" width="4.5703125" style="563" customWidth="1"/>
    <col min="1538" max="1538" width="4" style="563" customWidth="1"/>
    <col min="1539" max="1539" width="4.5703125" style="563" customWidth="1"/>
    <col min="1540" max="1540" width="6" style="563" customWidth="1"/>
    <col min="1541" max="1541" width="8.5703125" style="563" customWidth="1"/>
    <col min="1542" max="1761" width="11.42578125" style="563"/>
    <col min="1762" max="1762" width="6.42578125" style="563" customWidth="1"/>
    <col min="1763" max="1763" width="47.5703125" style="563" customWidth="1"/>
    <col min="1764" max="1765" width="5" style="563" customWidth="1"/>
    <col min="1766" max="1766" width="5.42578125" style="563" customWidth="1"/>
    <col min="1767" max="1767" width="4.5703125" style="563" customWidth="1"/>
    <col min="1768" max="1769" width="4.42578125" style="563" customWidth="1"/>
    <col min="1770" max="1770" width="3.5703125" style="563" customWidth="1"/>
    <col min="1771" max="1771" width="5" style="563" customWidth="1"/>
    <col min="1772" max="1772" width="4" style="563" customWidth="1"/>
    <col min="1773" max="1774" width="4.5703125" style="563" customWidth="1"/>
    <col min="1775" max="1775" width="4.42578125" style="563" customWidth="1"/>
    <col min="1776" max="1776" width="4" style="563" customWidth="1"/>
    <col min="1777" max="1777" width="3.5703125" style="563" customWidth="1"/>
    <col min="1778" max="1779" width="4.5703125" style="563" customWidth="1"/>
    <col min="1780" max="1780" width="4" style="563" customWidth="1"/>
    <col min="1781" max="1782" width="4.42578125" style="563" customWidth="1"/>
    <col min="1783" max="1783" width="3.5703125" style="563" customWidth="1"/>
    <col min="1784" max="1784" width="4.42578125" style="563" customWidth="1"/>
    <col min="1785" max="1785" width="5.5703125" style="563" customWidth="1"/>
    <col min="1786" max="1786" width="3.5703125" style="563" customWidth="1"/>
    <col min="1787" max="1787" width="4" style="563" customWidth="1"/>
    <col min="1788" max="1788" width="4.5703125" style="563" customWidth="1"/>
    <col min="1789" max="1791" width="4.42578125" style="563" customWidth="1"/>
    <col min="1792" max="1793" width="4.5703125" style="563" customWidth="1"/>
    <col min="1794" max="1794" width="4" style="563" customWidth="1"/>
    <col min="1795" max="1795" width="4.5703125" style="563" customWidth="1"/>
    <col min="1796" max="1796" width="6" style="563" customWidth="1"/>
    <col min="1797" max="1797" width="8.5703125" style="563" customWidth="1"/>
    <col min="1798" max="2017" width="11.42578125" style="563"/>
    <col min="2018" max="2018" width="6.42578125" style="563" customWidth="1"/>
    <col min="2019" max="2019" width="47.5703125" style="563" customWidth="1"/>
    <col min="2020" max="2021" width="5" style="563" customWidth="1"/>
    <col min="2022" max="2022" width="5.42578125" style="563" customWidth="1"/>
    <col min="2023" max="2023" width="4.5703125" style="563" customWidth="1"/>
    <col min="2024" max="2025" width="4.42578125" style="563" customWidth="1"/>
    <col min="2026" max="2026" width="3.5703125" style="563" customWidth="1"/>
    <col min="2027" max="2027" width="5" style="563" customWidth="1"/>
    <col min="2028" max="2028" width="4" style="563" customWidth="1"/>
    <col min="2029" max="2030" width="4.5703125" style="563" customWidth="1"/>
    <col min="2031" max="2031" width="4.42578125" style="563" customWidth="1"/>
    <col min="2032" max="2032" width="4" style="563" customWidth="1"/>
    <col min="2033" max="2033" width="3.5703125" style="563" customWidth="1"/>
    <col min="2034" max="2035" width="4.5703125" style="563" customWidth="1"/>
    <col min="2036" max="2036" width="4" style="563" customWidth="1"/>
    <col min="2037" max="2038" width="4.42578125" style="563" customWidth="1"/>
    <col min="2039" max="2039" width="3.5703125" style="563" customWidth="1"/>
    <col min="2040" max="2040" width="4.42578125" style="563" customWidth="1"/>
    <col min="2041" max="2041" width="5.5703125" style="563" customWidth="1"/>
    <col min="2042" max="2042" width="3.5703125" style="563" customWidth="1"/>
    <col min="2043" max="2043" width="4" style="563" customWidth="1"/>
    <col min="2044" max="2044" width="4.5703125" style="563" customWidth="1"/>
    <col min="2045" max="2047" width="4.42578125" style="563" customWidth="1"/>
    <col min="2048" max="2049" width="4.5703125" style="563" customWidth="1"/>
    <col min="2050" max="2050" width="4" style="563" customWidth="1"/>
    <col min="2051" max="2051" width="4.5703125" style="563" customWidth="1"/>
    <col min="2052" max="2052" width="6" style="563" customWidth="1"/>
    <col min="2053" max="2053" width="8.5703125" style="563" customWidth="1"/>
    <col min="2054" max="2273" width="11.42578125" style="563"/>
    <col min="2274" max="2274" width="6.42578125" style="563" customWidth="1"/>
    <col min="2275" max="2275" width="47.5703125" style="563" customWidth="1"/>
    <col min="2276" max="2277" width="5" style="563" customWidth="1"/>
    <col min="2278" max="2278" width="5.42578125" style="563" customWidth="1"/>
    <col min="2279" max="2279" width="4.5703125" style="563" customWidth="1"/>
    <col min="2280" max="2281" width="4.42578125" style="563" customWidth="1"/>
    <col min="2282" max="2282" width="3.5703125" style="563" customWidth="1"/>
    <col min="2283" max="2283" width="5" style="563" customWidth="1"/>
    <col min="2284" max="2284" width="4" style="563" customWidth="1"/>
    <col min="2285" max="2286" width="4.5703125" style="563" customWidth="1"/>
    <col min="2287" max="2287" width="4.42578125" style="563" customWidth="1"/>
    <col min="2288" max="2288" width="4" style="563" customWidth="1"/>
    <col min="2289" max="2289" width="3.5703125" style="563" customWidth="1"/>
    <col min="2290" max="2291" width="4.5703125" style="563" customWidth="1"/>
    <col min="2292" max="2292" width="4" style="563" customWidth="1"/>
    <col min="2293" max="2294" width="4.42578125" style="563" customWidth="1"/>
    <col min="2295" max="2295" width="3.5703125" style="563" customWidth="1"/>
    <col min="2296" max="2296" width="4.42578125" style="563" customWidth="1"/>
    <col min="2297" max="2297" width="5.5703125" style="563" customWidth="1"/>
    <col min="2298" max="2298" width="3.5703125" style="563" customWidth="1"/>
    <col min="2299" max="2299" width="4" style="563" customWidth="1"/>
    <col min="2300" max="2300" width="4.5703125" style="563" customWidth="1"/>
    <col min="2301" max="2303" width="4.42578125" style="563" customWidth="1"/>
    <col min="2304" max="2305" width="4.5703125" style="563" customWidth="1"/>
    <col min="2306" max="2306" width="4" style="563" customWidth="1"/>
    <col min="2307" max="2307" width="4.5703125" style="563" customWidth="1"/>
    <col min="2308" max="2308" width="6" style="563" customWidth="1"/>
    <col min="2309" max="2309" width="8.5703125" style="563" customWidth="1"/>
    <col min="2310" max="2529" width="11.42578125" style="563"/>
    <col min="2530" max="2530" width="6.42578125" style="563" customWidth="1"/>
    <col min="2531" max="2531" width="47.5703125" style="563" customWidth="1"/>
    <col min="2532" max="2533" width="5" style="563" customWidth="1"/>
    <col min="2534" max="2534" width="5.42578125" style="563" customWidth="1"/>
    <col min="2535" max="2535" width="4.5703125" style="563" customWidth="1"/>
    <col min="2536" max="2537" width="4.42578125" style="563" customWidth="1"/>
    <col min="2538" max="2538" width="3.5703125" style="563" customWidth="1"/>
    <col min="2539" max="2539" width="5" style="563" customWidth="1"/>
    <col min="2540" max="2540" width="4" style="563" customWidth="1"/>
    <col min="2541" max="2542" width="4.5703125" style="563" customWidth="1"/>
    <col min="2543" max="2543" width="4.42578125" style="563" customWidth="1"/>
    <col min="2544" max="2544" width="4" style="563" customWidth="1"/>
    <col min="2545" max="2545" width="3.5703125" style="563" customWidth="1"/>
    <col min="2546" max="2547" width="4.5703125" style="563" customWidth="1"/>
    <col min="2548" max="2548" width="4" style="563" customWidth="1"/>
    <col min="2549" max="2550" width="4.42578125" style="563" customWidth="1"/>
    <col min="2551" max="2551" width="3.5703125" style="563" customWidth="1"/>
    <col min="2552" max="2552" width="4.42578125" style="563" customWidth="1"/>
    <col min="2553" max="2553" width="5.5703125" style="563" customWidth="1"/>
    <col min="2554" max="2554" width="3.5703125" style="563" customWidth="1"/>
    <col min="2555" max="2555" width="4" style="563" customWidth="1"/>
    <col min="2556" max="2556" width="4.5703125" style="563" customWidth="1"/>
    <col min="2557" max="2559" width="4.42578125" style="563" customWidth="1"/>
    <col min="2560" max="2561" width="4.5703125" style="563" customWidth="1"/>
    <col min="2562" max="2562" width="4" style="563" customWidth="1"/>
    <col min="2563" max="2563" width="4.5703125" style="563" customWidth="1"/>
    <col min="2564" max="2564" width="6" style="563" customWidth="1"/>
    <col min="2565" max="2565" width="8.5703125" style="563" customWidth="1"/>
    <col min="2566" max="2785" width="11.42578125" style="563"/>
    <col min="2786" max="2786" width="6.42578125" style="563" customWidth="1"/>
    <col min="2787" max="2787" width="47.5703125" style="563" customWidth="1"/>
    <col min="2788" max="2789" width="5" style="563" customWidth="1"/>
    <col min="2790" max="2790" width="5.42578125" style="563" customWidth="1"/>
    <col min="2791" max="2791" width="4.5703125" style="563" customWidth="1"/>
    <col min="2792" max="2793" width="4.42578125" style="563" customWidth="1"/>
    <col min="2794" max="2794" width="3.5703125" style="563" customWidth="1"/>
    <col min="2795" max="2795" width="5" style="563" customWidth="1"/>
    <col min="2796" max="2796" width="4" style="563" customWidth="1"/>
    <col min="2797" max="2798" width="4.5703125" style="563" customWidth="1"/>
    <col min="2799" max="2799" width="4.42578125" style="563" customWidth="1"/>
    <col min="2800" max="2800" width="4" style="563" customWidth="1"/>
    <col min="2801" max="2801" width="3.5703125" style="563" customWidth="1"/>
    <col min="2802" max="2803" width="4.5703125" style="563" customWidth="1"/>
    <col min="2804" max="2804" width="4" style="563" customWidth="1"/>
    <col min="2805" max="2806" width="4.42578125" style="563" customWidth="1"/>
    <col min="2807" max="2807" width="3.5703125" style="563" customWidth="1"/>
    <col min="2808" max="2808" width="4.42578125" style="563" customWidth="1"/>
    <col min="2809" max="2809" width="5.5703125" style="563" customWidth="1"/>
    <col min="2810" max="2810" width="3.5703125" style="563" customWidth="1"/>
    <col min="2811" max="2811" width="4" style="563" customWidth="1"/>
    <col min="2812" max="2812" width="4.5703125" style="563" customWidth="1"/>
    <col min="2813" max="2815" width="4.42578125" style="563" customWidth="1"/>
    <col min="2816" max="2817" width="4.5703125" style="563" customWidth="1"/>
    <col min="2818" max="2818" width="4" style="563" customWidth="1"/>
    <col min="2819" max="2819" width="4.5703125" style="563" customWidth="1"/>
    <col min="2820" max="2820" width="6" style="563" customWidth="1"/>
    <col min="2821" max="2821" width="8.5703125" style="563" customWidth="1"/>
    <col min="2822" max="3041" width="11.42578125" style="563"/>
    <col min="3042" max="3042" width="6.42578125" style="563" customWidth="1"/>
    <col min="3043" max="3043" width="47.5703125" style="563" customWidth="1"/>
    <col min="3044" max="3045" width="5" style="563" customWidth="1"/>
    <col min="3046" max="3046" width="5.42578125" style="563" customWidth="1"/>
    <col min="3047" max="3047" width="4.5703125" style="563" customWidth="1"/>
    <col min="3048" max="3049" width="4.42578125" style="563" customWidth="1"/>
    <col min="3050" max="3050" width="3.5703125" style="563" customWidth="1"/>
    <col min="3051" max="3051" width="5" style="563" customWidth="1"/>
    <col min="3052" max="3052" width="4" style="563" customWidth="1"/>
    <col min="3053" max="3054" width="4.5703125" style="563" customWidth="1"/>
    <col min="3055" max="3055" width="4.42578125" style="563" customWidth="1"/>
    <col min="3056" max="3056" width="4" style="563" customWidth="1"/>
    <col min="3057" max="3057" width="3.5703125" style="563" customWidth="1"/>
    <col min="3058" max="3059" width="4.5703125" style="563" customWidth="1"/>
    <col min="3060" max="3060" width="4" style="563" customWidth="1"/>
    <col min="3061" max="3062" width="4.42578125" style="563" customWidth="1"/>
    <col min="3063" max="3063" width="3.5703125" style="563" customWidth="1"/>
    <col min="3064" max="3064" width="4.42578125" style="563" customWidth="1"/>
    <col min="3065" max="3065" width="5.5703125" style="563" customWidth="1"/>
    <col min="3066" max="3066" width="3.5703125" style="563" customWidth="1"/>
    <col min="3067" max="3067" width="4" style="563" customWidth="1"/>
    <col min="3068" max="3068" width="4.5703125" style="563" customWidth="1"/>
    <col min="3069" max="3071" width="4.42578125" style="563" customWidth="1"/>
    <col min="3072" max="3073" width="4.5703125" style="563" customWidth="1"/>
    <col min="3074" max="3074" width="4" style="563" customWidth="1"/>
    <col min="3075" max="3075" width="4.5703125" style="563" customWidth="1"/>
    <col min="3076" max="3076" width="6" style="563" customWidth="1"/>
    <col min="3077" max="3077" width="8.5703125" style="563" customWidth="1"/>
    <col min="3078" max="3297" width="11.42578125" style="563"/>
    <col min="3298" max="3298" width="6.42578125" style="563" customWidth="1"/>
    <col min="3299" max="3299" width="47.5703125" style="563" customWidth="1"/>
    <col min="3300" max="3301" width="5" style="563" customWidth="1"/>
    <col min="3302" max="3302" width="5.42578125" style="563" customWidth="1"/>
    <col min="3303" max="3303" width="4.5703125" style="563" customWidth="1"/>
    <col min="3304" max="3305" width="4.42578125" style="563" customWidth="1"/>
    <col min="3306" max="3306" width="3.5703125" style="563" customWidth="1"/>
    <col min="3307" max="3307" width="5" style="563" customWidth="1"/>
    <col min="3308" max="3308" width="4" style="563" customWidth="1"/>
    <col min="3309" max="3310" width="4.5703125" style="563" customWidth="1"/>
    <col min="3311" max="3311" width="4.42578125" style="563" customWidth="1"/>
    <col min="3312" max="3312" width="4" style="563" customWidth="1"/>
    <col min="3313" max="3313" width="3.5703125" style="563" customWidth="1"/>
    <col min="3314" max="3315" width="4.5703125" style="563" customWidth="1"/>
    <col min="3316" max="3316" width="4" style="563" customWidth="1"/>
    <col min="3317" max="3318" width="4.42578125" style="563" customWidth="1"/>
    <col min="3319" max="3319" width="3.5703125" style="563" customWidth="1"/>
    <col min="3320" max="3320" width="4.42578125" style="563" customWidth="1"/>
    <col min="3321" max="3321" width="5.5703125" style="563" customWidth="1"/>
    <col min="3322" max="3322" width="3.5703125" style="563" customWidth="1"/>
    <col min="3323" max="3323" width="4" style="563" customWidth="1"/>
    <col min="3324" max="3324" width="4.5703125" style="563" customWidth="1"/>
    <col min="3325" max="3327" width="4.42578125" style="563" customWidth="1"/>
    <col min="3328" max="3329" width="4.5703125" style="563" customWidth="1"/>
    <col min="3330" max="3330" width="4" style="563" customWidth="1"/>
    <col min="3331" max="3331" width="4.5703125" style="563" customWidth="1"/>
    <col min="3332" max="3332" width="6" style="563" customWidth="1"/>
    <col min="3333" max="3333" width="8.5703125" style="563" customWidth="1"/>
    <col min="3334" max="3553" width="11.42578125" style="563"/>
    <col min="3554" max="3554" width="6.42578125" style="563" customWidth="1"/>
    <col min="3555" max="3555" width="47.5703125" style="563" customWidth="1"/>
    <col min="3556" max="3557" width="5" style="563" customWidth="1"/>
    <col min="3558" max="3558" width="5.42578125" style="563" customWidth="1"/>
    <col min="3559" max="3559" width="4.5703125" style="563" customWidth="1"/>
    <col min="3560" max="3561" width="4.42578125" style="563" customWidth="1"/>
    <col min="3562" max="3562" width="3.5703125" style="563" customWidth="1"/>
    <col min="3563" max="3563" width="5" style="563" customWidth="1"/>
    <col min="3564" max="3564" width="4" style="563" customWidth="1"/>
    <col min="3565" max="3566" width="4.5703125" style="563" customWidth="1"/>
    <col min="3567" max="3567" width="4.42578125" style="563" customWidth="1"/>
    <col min="3568" max="3568" width="4" style="563" customWidth="1"/>
    <col min="3569" max="3569" width="3.5703125" style="563" customWidth="1"/>
    <col min="3570" max="3571" width="4.5703125" style="563" customWidth="1"/>
    <col min="3572" max="3572" width="4" style="563" customWidth="1"/>
    <col min="3573" max="3574" width="4.42578125" style="563" customWidth="1"/>
    <col min="3575" max="3575" width="3.5703125" style="563" customWidth="1"/>
    <col min="3576" max="3576" width="4.42578125" style="563" customWidth="1"/>
    <col min="3577" max="3577" width="5.5703125" style="563" customWidth="1"/>
    <col min="3578" max="3578" width="3.5703125" style="563" customWidth="1"/>
    <col min="3579" max="3579" width="4" style="563" customWidth="1"/>
    <col min="3580" max="3580" width="4.5703125" style="563" customWidth="1"/>
    <col min="3581" max="3583" width="4.42578125" style="563" customWidth="1"/>
    <col min="3584" max="3585" width="4.5703125" style="563" customWidth="1"/>
    <col min="3586" max="3586" width="4" style="563" customWidth="1"/>
    <col min="3587" max="3587" width="4.5703125" style="563" customWidth="1"/>
    <col min="3588" max="3588" width="6" style="563" customWidth="1"/>
    <col min="3589" max="3589" width="8.5703125" style="563" customWidth="1"/>
    <col min="3590" max="3809" width="11.42578125" style="563"/>
    <col min="3810" max="3810" width="6.42578125" style="563" customWidth="1"/>
    <col min="3811" max="3811" width="47.5703125" style="563" customWidth="1"/>
    <col min="3812" max="3813" width="5" style="563" customWidth="1"/>
    <col min="3814" max="3814" width="5.42578125" style="563" customWidth="1"/>
    <col min="3815" max="3815" width="4.5703125" style="563" customWidth="1"/>
    <col min="3816" max="3817" width="4.42578125" style="563" customWidth="1"/>
    <col min="3818" max="3818" width="3.5703125" style="563" customWidth="1"/>
    <col min="3819" max="3819" width="5" style="563" customWidth="1"/>
    <col min="3820" max="3820" width="4" style="563" customWidth="1"/>
    <col min="3821" max="3822" width="4.5703125" style="563" customWidth="1"/>
    <col min="3823" max="3823" width="4.42578125" style="563" customWidth="1"/>
    <col min="3824" max="3824" width="4" style="563" customWidth="1"/>
    <col min="3825" max="3825" width="3.5703125" style="563" customWidth="1"/>
    <col min="3826" max="3827" width="4.5703125" style="563" customWidth="1"/>
    <col min="3828" max="3828" width="4" style="563" customWidth="1"/>
    <col min="3829" max="3830" width="4.42578125" style="563" customWidth="1"/>
    <col min="3831" max="3831" width="3.5703125" style="563" customWidth="1"/>
    <col min="3832" max="3832" width="4.42578125" style="563" customWidth="1"/>
    <col min="3833" max="3833" width="5.5703125" style="563" customWidth="1"/>
    <col min="3834" max="3834" width="3.5703125" style="563" customWidth="1"/>
    <col min="3835" max="3835" width="4" style="563" customWidth="1"/>
    <col min="3836" max="3836" width="4.5703125" style="563" customWidth="1"/>
    <col min="3837" max="3839" width="4.42578125" style="563" customWidth="1"/>
    <col min="3840" max="3841" width="4.5703125" style="563" customWidth="1"/>
    <col min="3842" max="3842" width="4" style="563" customWidth="1"/>
    <col min="3843" max="3843" width="4.5703125" style="563" customWidth="1"/>
    <col min="3844" max="3844" width="6" style="563" customWidth="1"/>
    <col min="3845" max="3845" width="8.5703125" style="563" customWidth="1"/>
    <col min="3846" max="4065" width="11.42578125" style="563"/>
    <col min="4066" max="4066" width="6.42578125" style="563" customWidth="1"/>
    <col min="4067" max="4067" width="47.5703125" style="563" customWidth="1"/>
    <col min="4068" max="4069" width="5" style="563" customWidth="1"/>
    <col min="4070" max="4070" width="5.42578125" style="563" customWidth="1"/>
    <col min="4071" max="4071" width="4.5703125" style="563" customWidth="1"/>
    <col min="4072" max="4073" width="4.42578125" style="563" customWidth="1"/>
    <col min="4074" max="4074" width="3.5703125" style="563" customWidth="1"/>
    <col min="4075" max="4075" width="5" style="563" customWidth="1"/>
    <col min="4076" max="4076" width="4" style="563" customWidth="1"/>
    <col min="4077" max="4078" width="4.5703125" style="563" customWidth="1"/>
    <col min="4079" max="4079" width="4.42578125" style="563" customWidth="1"/>
    <col min="4080" max="4080" width="4" style="563" customWidth="1"/>
    <col min="4081" max="4081" width="3.5703125" style="563" customWidth="1"/>
    <col min="4082" max="4083" width="4.5703125" style="563" customWidth="1"/>
    <col min="4084" max="4084" width="4" style="563" customWidth="1"/>
    <col min="4085" max="4086" width="4.42578125" style="563" customWidth="1"/>
    <col min="4087" max="4087" width="3.5703125" style="563" customWidth="1"/>
    <col min="4088" max="4088" width="4.42578125" style="563" customWidth="1"/>
    <col min="4089" max="4089" width="5.5703125" style="563" customWidth="1"/>
    <col min="4090" max="4090" width="3.5703125" style="563" customWidth="1"/>
    <col min="4091" max="4091" width="4" style="563" customWidth="1"/>
    <col min="4092" max="4092" width="4.5703125" style="563" customWidth="1"/>
    <col min="4093" max="4095" width="4.42578125" style="563" customWidth="1"/>
    <col min="4096" max="4097" width="4.5703125" style="563" customWidth="1"/>
    <col min="4098" max="4098" width="4" style="563" customWidth="1"/>
    <col min="4099" max="4099" width="4.5703125" style="563" customWidth="1"/>
    <col min="4100" max="4100" width="6" style="563" customWidth="1"/>
    <col min="4101" max="4101" width="8.5703125" style="563" customWidth="1"/>
    <col min="4102" max="4321" width="11.42578125" style="563"/>
    <col min="4322" max="4322" width="6.42578125" style="563" customWidth="1"/>
    <col min="4323" max="4323" width="47.5703125" style="563" customWidth="1"/>
    <col min="4324" max="4325" width="5" style="563" customWidth="1"/>
    <col min="4326" max="4326" width="5.42578125" style="563" customWidth="1"/>
    <col min="4327" max="4327" width="4.5703125" style="563" customWidth="1"/>
    <col min="4328" max="4329" width="4.42578125" style="563" customWidth="1"/>
    <col min="4330" max="4330" width="3.5703125" style="563" customWidth="1"/>
    <col min="4331" max="4331" width="5" style="563" customWidth="1"/>
    <col min="4332" max="4332" width="4" style="563" customWidth="1"/>
    <col min="4333" max="4334" width="4.5703125" style="563" customWidth="1"/>
    <col min="4335" max="4335" width="4.42578125" style="563" customWidth="1"/>
    <col min="4336" max="4336" width="4" style="563" customWidth="1"/>
    <col min="4337" max="4337" width="3.5703125" style="563" customWidth="1"/>
    <col min="4338" max="4339" width="4.5703125" style="563" customWidth="1"/>
    <col min="4340" max="4340" width="4" style="563" customWidth="1"/>
    <col min="4341" max="4342" width="4.42578125" style="563" customWidth="1"/>
    <col min="4343" max="4343" width="3.5703125" style="563" customWidth="1"/>
    <col min="4344" max="4344" width="4.42578125" style="563" customWidth="1"/>
    <col min="4345" max="4345" width="5.5703125" style="563" customWidth="1"/>
    <col min="4346" max="4346" width="3.5703125" style="563" customWidth="1"/>
    <col min="4347" max="4347" width="4" style="563" customWidth="1"/>
    <col min="4348" max="4348" width="4.5703125" style="563" customWidth="1"/>
    <col min="4349" max="4351" width="4.42578125" style="563" customWidth="1"/>
    <col min="4352" max="4353" width="4.5703125" style="563" customWidth="1"/>
    <col min="4354" max="4354" width="4" style="563" customWidth="1"/>
    <col min="4355" max="4355" width="4.5703125" style="563" customWidth="1"/>
    <col min="4356" max="4356" width="6" style="563" customWidth="1"/>
    <col min="4357" max="4357" width="8.5703125" style="563" customWidth="1"/>
    <col min="4358" max="4577" width="11.42578125" style="563"/>
    <col min="4578" max="4578" width="6.42578125" style="563" customWidth="1"/>
    <col min="4579" max="4579" width="47.5703125" style="563" customWidth="1"/>
    <col min="4580" max="4581" width="5" style="563" customWidth="1"/>
    <col min="4582" max="4582" width="5.42578125" style="563" customWidth="1"/>
    <col min="4583" max="4583" width="4.5703125" style="563" customWidth="1"/>
    <col min="4584" max="4585" width="4.42578125" style="563" customWidth="1"/>
    <col min="4586" max="4586" width="3.5703125" style="563" customWidth="1"/>
    <col min="4587" max="4587" width="5" style="563" customWidth="1"/>
    <col min="4588" max="4588" width="4" style="563" customWidth="1"/>
    <col min="4589" max="4590" width="4.5703125" style="563" customWidth="1"/>
    <col min="4591" max="4591" width="4.42578125" style="563" customWidth="1"/>
    <col min="4592" max="4592" width="4" style="563" customWidth="1"/>
    <col min="4593" max="4593" width="3.5703125" style="563" customWidth="1"/>
    <col min="4594" max="4595" width="4.5703125" style="563" customWidth="1"/>
    <col min="4596" max="4596" width="4" style="563" customWidth="1"/>
    <col min="4597" max="4598" width="4.42578125" style="563" customWidth="1"/>
    <col min="4599" max="4599" width="3.5703125" style="563" customWidth="1"/>
    <col min="4600" max="4600" width="4.42578125" style="563" customWidth="1"/>
    <col min="4601" max="4601" width="5.5703125" style="563" customWidth="1"/>
    <col min="4602" max="4602" width="3.5703125" style="563" customWidth="1"/>
    <col min="4603" max="4603" width="4" style="563" customWidth="1"/>
    <col min="4604" max="4604" width="4.5703125" style="563" customWidth="1"/>
    <col min="4605" max="4607" width="4.42578125" style="563" customWidth="1"/>
    <col min="4608" max="4609" width="4.5703125" style="563" customWidth="1"/>
    <col min="4610" max="4610" width="4" style="563" customWidth="1"/>
    <col min="4611" max="4611" width="4.5703125" style="563" customWidth="1"/>
    <col min="4612" max="4612" width="6" style="563" customWidth="1"/>
    <col min="4613" max="4613" width="8.5703125" style="563" customWidth="1"/>
    <col min="4614" max="4833" width="11.42578125" style="563"/>
    <col min="4834" max="4834" width="6.42578125" style="563" customWidth="1"/>
    <col min="4835" max="4835" width="47.5703125" style="563" customWidth="1"/>
    <col min="4836" max="4837" width="5" style="563" customWidth="1"/>
    <col min="4838" max="4838" width="5.42578125" style="563" customWidth="1"/>
    <col min="4839" max="4839" width="4.5703125" style="563" customWidth="1"/>
    <col min="4840" max="4841" width="4.42578125" style="563" customWidth="1"/>
    <col min="4842" max="4842" width="3.5703125" style="563" customWidth="1"/>
    <col min="4843" max="4843" width="5" style="563" customWidth="1"/>
    <col min="4844" max="4844" width="4" style="563" customWidth="1"/>
    <col min="4845" max="4846" width="4.5703125" style="563" customWidth="1"/>
    <col min="4847" max="4847" width="4.42578125" style="563" customWidth="1"/>
    <col min="4848" max="4848" width="4" style="563" customWidth="1"/>
    <col min="4849" max="4849" width="3.5703125" style="563" customWidth="1"/>
    <col min="4850" max="4851" width="4.5703125" style="563" customWidth="1"/>
    <col min="4852" max="4852" width="4" style="563" customWidth="1"/>
    <col min="4853" max="4854" width="4.42578125" style="563" customWidth="1"/>
    <col min="4855" max="4855" width="3.5703125" style="563" customWidth="1"/>
    <col min="4856" max="4856" width="4.42578125" style="563" customWidth="1"/>
    <col min="4857" max="4857" width="5.5703125" style="563" customWidth="1"/>
    <col min="4858" max="4858" width="3.5703125" style="563" customWidth="1"/>
    <col min="4859" max="4859" width="4" style="563" customWidth="1"/>
    <col min="4860" max="4860" width="4.5703125" style="563" customWidth="1"/>
    <col min="4861" max="4863" width="4.42578125" style="563" customWidth="1"/>
    <col min="4864" max="4865" width="4.5703125" style="563" customWidth="1"/>
    <col min="4866" max="4866" width="4" style="563" customWidth="1"/>
    <col min="4867" max="4867" width="4.5703125" style="563" customWidth="1"/>
    <col min="4868" max="4868" width="6" style="563" customWidth="1"/>
    <col min="4869" max="4869" width="8.5703125" style="563" customWidth="1"/>
    <col min="4870" max="5089" width="11.42578125" style="563"/>
    <col min="5090" max="5090" width="6.42578125" style="563" customWidth="1"/>
    <col min="5091" max="5091" width="47.5703125" style="563" customWidth="1"/>
    <col min="5092" max="5093" width="5" style="563" customWidth="1"/>
    <col min="5094" max="5094" width="5.42578125" style="563" customWidth="1"/>
    <col min="5095" max="5095" width="4.5703125" style="563" customWidth="1"/>
    <col min="5096" max="5097" width="4.42578125" style="563" customWidth="1"/>
    <col min="5098" max="5098" width="3.5703125" style="563" customWidth="1"/>
    <col min="5099" max="5099" width="5" style="563" customWidth="1"/>
    <col min="5100" max="5100" width="4" style="563" customWidth="1"/>
    <col min="5101" max="5102" width="4.5703125" style="563" customWidth="1"/>
    <col min="5103" max="5103" width="4.42578125" style="563" customWidth="1"/>
    <col min="5104" max="5104" width="4" style="563" customWidth="1"/>
    <col min="5105" max="5105" width="3.5703125" style="563" customWidth="1"/>
    <col min="5106" max="5107" width="4.5703125" style="563" customWidth="1"/>
    <col min="5108" max="5108" width="4" style="563" customWidth="1"/>
    <col min="5109" max="5110" width="4.42578125" style="563" customWidth="1"/>
    <col min="5111" max="5111" width="3.5703125" style="563" customWidth="1"/>
    <col min="5112" max="5112" width="4.42578125" style="563" customWidth="1"/>
    <col min="5113" max="5113" width="5.5703125" style="563" customWidth="1"/>
    <col min="5114" max="5114" width="3.5703125" style="563" customWidth="1"/>
    <col min="5115" max="5115" width="4" style="563" customWidth="1"/>
    <col min="5116" max="5116" width="4.5703125" style="563" customWidth="1"/>
    <col min="5117" max="5119" width="4.42578125" style="563" customWidth="1"/>
    <col min="5120" max="5121" width="4.5703125" style="563" customWidth="1"/>
    <col min="5122" max="5122" width="4" style="563" customWidth="1"/>
    <col min="5123" max="5123" width="4.5703125" style="563" customWidth="1"/>
    <col min="5124" max="5124" width="6" style="563" customWidth="1"/>
    <col min="5125" max="5125" width="8.5703125" style="563" customWidth="1"/>
    <col min="5126" max="5345" width="11.42578125" style="563"/>
    <col min="5346" max="5346" width="6.42578125" style="563" customWidth="1"/>
    <col min="5347" max="5347" width="47.5703125" style="563" customWidth="1"/>
    <col min="5348" max="5349" width="5" style="563" customWidth="1"/>
    <col min="5350" max="5350" width="5.42578125" style="563" customWidth="1"/>
    <col min="5351" max="5351" width="4.5703125" style="563" customWidth="1"/>
    <col min="5352" max="5353" width="4.42578125" style="563" customWidth="1"/>
    <col min="5354" max="5354" width="3.5703125" style="563" customWidth="1"/>
    <col min="5355" max="5355" width="5" style="563" customWidth="1"/>
    <col min="5356" max="5356" width="4" style="563" customWidth="1"/>
    <col min="5357" max="5358" width="4.5703125" style="563" customWidth="1"/>
    <col min="5359" max="5359" width="4.42578125" style="563" customWidth="1"/>
    <col min="5360" max="5360" width="4" style="563" customWidth="1"/>
    <col min="5361" max="5361" width="3.5703125" style="563" customWidth="1"/>
    <col min="5362" max="5363" width="4.5703125" style="563" customWidth="1"/>
    <col min="5364" max="5364" width="4" style="563" customWidth="1"/>
    <col min="5365" max="5366" width="4.42578125" style="563" customWidth="1"/>
    <col min="5367" max="5367" width="3.5703125" style="563" customWidth="1"/>
    <col min="5368" max="5368" width="4.42578125" style="563" customWidth="1"/>
    <col min="5369" max="5369" width="5.5703125" style="563" customWidth="1"/>
    <col min="5370" max="5370" width="3.5703125" style="563" customWidth="1"/>
    <col min="5371" max="5371" width="4" style="563" customWidth="1"/>
    <col min="5372" max="5372" width="4.5703125" style="563" customWidth="1"/>
    <col min="5373" max="5375" width="4.42578125" style="563" customWidth="1"/>
    <col min="5376" max="5377" width="4.5703125" style="563" customWidth="1"/>
    <col min="5378" max="5378" width="4" style="563" customWidth="1"/>
    <col min="5379" max="5379" width="4.5703125" style="563" customWidth="1"/>
    <col min="5380" max="5380" width="6" style="563" customWidth="1"/>
    <col min="5381" max="5381" width="8.5703125" style="563" customWidth="1"/>
    <col min="5382" max="5601" width="11.42578125" style="563"/>
    <col min="5602" max="5602" width="6.42578125" style="563" customWidth="1"/>
    <col min="5603" max="5603" width="47.5703125" style="563" customWidth="1"/>
    <col min="5604" max="5605" width="5" style="563" customWidth="1"/>
    <col min="5606" max="5606" width="5.42578125" style="563" customWidth="1"/>
    <col min="5607" max="5607" width="4.5703125" style="563" customWidth="1"/>
    <col min="5608" max="5609" width="4.42578125" style="563" customWidth="1"/>
    <col min="5610" max="5610" width="3.5703125" style="563" customWidth="1"/>
    <col min="5611" max="5611" width="5" style="563" customWidth="1"/>
    <col min="5612" max="5612" width="4" style="563" customWidth="1"/>
    <col min="5613" max="5614" width="4.5703125" style="563" customWidth="1"/>
    <col min="5615" max="5615" width="4.42578125" style="563" customWidth="1"/>
    <col min="5616" max="5616" width="4" style="563" customWidth="1"/>
    <col min="5617" max="5617" width="3.5703125" style="563" customWidth="1"/>
    <col min="5618" max="5619" width="4.5703125" style="563" customWidth="1"/>
    <col min="5620" max="5620" width="4" style="563" customWidth="1"/>
    <col min="5621" max="5622" width="4.42578125" style="563" customWidth="1"/>
    <col min="5623" max="5623" width="3.5703125" style="563" customWidth="1"/>
    <col min="5624" max="5624" width="4.42578125" style="563" customWidth="1"/>
    <col min="5625" max="5625" width="5.5703125" style="563" customWidth="1"/>
    <col min="5626" max="5626" width="3.5703125" style="563" customWidth="1"/>
    <col min="5627" max="5627" width="4" style="563" customWidth="1"/>
    <col min="5628" max="5628" width="4.5703125" style="563" customWidth="1"/>
    <col min="5629" max="5631" width="4.42578125" style="563" customWidth="1"/>
    <col min="5632" max="5633" width="4.5703125" style="563" customWidth="1"/>
    <col min="5634" max="5634" width="4" style="563" customWidth="1"/>
    <col min="5635" max="5635" width="4.5703125" style="563" customWidth="1"/>
    <col min="5636" max="5636" width="6" style="563" customWidth="1"/>
    <col min="5637" max="5637" width="8.5703125" style="563" customWidth="1"/>
    <col min="5638" max="5857" width="11.42578125" style="563"/>
    <col min="5858" max="5858" width="6.42578125" style="563" customWidth="1"/>
    <col min="5859" max="5859" width="47.5703125" style="563" customWidth="1"/>
    <col min="5860" max="5861" width="5" style="563" customWidth="1"/>
    <col min="5862" max="5862" width="5.42578125" style="563" customWidth="1"/>
    <col min="5863" max="5863" width="4.5703125" style="563" customWidth="1"/>
    <col min="5864" max="5865" width="4.42578125" style="563" customWidth="1"/>
    <col min="5866" max="5866" width="3.5703125" style="563" customWidth="1"/>
    <col min="5867" max="5867" width="5" style="563" customWidth="1"/>
    <col min="5868" max="5868" width="4" style="563" customWidth="1"/>
    <col min="5869" max="5870" width="4.5703125" style="563" customWidth="1"/>
    <col min="5871" max="5871" width="4.42578125" style="563" customWidth="1"/>
    <col min="5872" max="5872" width="4" style="563" customWidth="1"/>
    <col min="5873" max="5873" width="3.5703125" style="563" customWidth="1"/>
    <col min="5874" max="5875" width="4.5703125" style="563" customWidth="1"/>
    <col min="5876" max="5876" width="4" style="563" customWidth="1"/>
    <col min="5877" max="5878" width="4.42578125" style="563" customWidth="1"/>
    <col min="5879" max="5879" width="3.5703125" style="563" customWidth="1"/>
    <col min="5880" max="5880" width="4.42578125" style="563" customWidth="1"/>
    <col min="5881" max="5881" width="5.5703125" style="563" customWidth="1"/>
    <col min="5882" max="5882" width="3.5703125" style="563" customWidth="1"/>
    <col min="5883" max="5883" width="4" style="563" customWidth="1"/>
    <col min="5884" max="5884" width="4.5703125" style="563" customWidth="1"/>
    <col min="5885" max="5887" width="4.42578125" style="563" customWidth="1"/>
    <col min="5888" max="5889" width="4.5703125" style="563" customWidth="1"/>
    <col min="5890" max="5890" width="4" style="563" customWidth="1"/>
    <col min="5891" max="5891" width="4.5703125" style="563" customWidth="1"/>
    <col min="5892" max="5892" width="6" style="563" customWidth="1"/>
    <col min="5893" max="5893" width="8.5703125" style="563" customWidth="1"/>
    <col min="5894" max="6113" width="11.42578125" style="563"/>
    <col min="6114" max="6114" width="6.42578125" style="563" customWidth="1"/>
    <col min="6115" max="6115" width="47.5703125" style="563" customWidth="1"/>
    <col min="6116" max="6117" width="5" style="563" customWidth="1"/>
    <col min="6118" max="6118" width="5.42578125" style="563" customWidth="1"/>
    <col min="6119" max="6119" width="4.5703125" style="563" customWidth="1"/>
    <col min="6120" max="6121" width="4.42578125" style="563" customWidth="1"/>
    <col min="6122" max="6122" width="3.5703125" style="563" customWidth="1"/>
    <col min="6123" max="6123" width="5" style="563" customWidth="1"/>
    <col min="6124" max="6124" width="4" style="563" customWidth="1"/>
    <col min="6125" max="6126" width="4.5703125" style="563" customWidth="1"/>
    <col min="6127" max="6127" width="4.42578125" style="563" customWidth="1"/>
    <col min="6128" max="6128" width="4" style="563" customWidth="1"/>
    <col min="6129" max="6129" width="3.5703125" style="563" customWidth="1"/>
    <col min="6130" max="6131" width="4.5703125" style="563" customWidth="1"/>
    <col min="6132" max="6132" width="4" style="563" customWidth="1"/>
    <col min="6133" max="6134" width="4.42578125" style="563" customWidth="1"/>
    <col min="6135" max="6135" width="3.5703125" style="563" customWidth="1"/>
    <col min="6136" max="6136" width="4.42578125" style="563" customWidth="1"/>
    <col min="6137" max="6137" width="5.5703125" style="563" customWidth="1"/>
    <col min="6138" max="6138" width="3.5703125" style="563" customWidth="1"/>
    <col min="6139" max="6139" width="4" style="563" customWidth="1"/>
    <col min="6140" max="6140" width="4.5703125" style="563" customWidth="1"/>
    <col min="6141" max="6143" width="4.42578125" style="563" customWidth="1"/>
    <col min="6144" max="6145" width="4.5703125" style="563" customWidth="1"/>
    <col min="6146" max="6146" width="4" style="563" customWidth="1"/>
    <col min="6147" max="6147" width="4.5703125" style="563" customWidth="1"/>
    <col min="6148" max="6148" width="6" style="563" customWidth="1"/>
    <col min="6149" max="6149" width="8.5703125" style="563" customWidth="1"/>
    <col min="6150" max="6369" width="11.42578125" style="563"/>
    <col min="6370" max="6370" width="6.42578125" style="563" customWidth="1"/>
    <col min="6371" max="6371" width="47.5703125" style="563" customWidth="1"/>
    <col min="6372" max="6373" width="5" style="563" customWidth="1"/>
    <col min="6374" max="6374" width="5.42578125" style="563" customWidth="1"/>
    <col min="6375" max="6375" width="4.5703125" style="563" customWidth="1"/>
    <col min="6376" max="6377" width="4.42578125" style="563" customWidth="1"/>
    <col min="6378" max="6378" width="3.5703125" style="563" customWidth="1"/>
    <col min="6379" max="6379" width="5" style="563" customWidth="1"/>
    <col min="6380" max="6380" width="4" style="563" customWidth="1"/>
    <col min="6381" max="6382" width="4.5703125" style="563" customWidth="1"/>
    <col min="6383" max="6383" width="4.42578125" style="563" customWidth="1"/>
    <col min="6384" max="6384" width="4" style="563" customWidth="1"/>
    <col min="6385" max="6385" width="3.5703125" style="563" customWidth="1"/>
    <col min="6386" max="6387" width="4.5703125" style="563" customWidth="1"/>
    <col min="6388" max="6388" width="4" style="563" customWidth="1"/>
    <col min="6389" max="6390" width="4.42578125" style="563" customWidth="1"/>
    <col min="6391" max="6391" width="3.5703125" style="563" customWidth="1"/>
    <col min="6392" max="6392" width="4.42578125" style="563" customWidth="1"/>
    <col min="6393" max="6393" width="5.5703125" style="563" customWidth="1"/>
    <col min="6394" max="6394" width="3.5703125" style="563" customWidth="1"/>
    <col min="6395" max="6395" width="4" style="563" customWidth="1"/>
    <col min="6396" max="6396" width="4.5703125" style="563" customWidth="1"/>
    <col min="6397" max="6399" width="4.42578125" style="563" customWidth="1"/>
    <col min="6400" max="6401" width="4.5703125" style="563" customWidth="1"/>
    <col min="6402" max="6402" width="4" style="563" customWidth="1"/>
    <col min="6403" max="6403" width="4.5703125" style="563" customWidth="1"/>
    <col min="6404" max="6404" width="6" style="563" customWidth="1"/>
    <col min="6405" max="6405" width="8.5703125" style="563" customWidth="1"/>
    <col min="6406" max="6625" width="11.42578125" style="563"/>
    <col min="6626" max="6626" width="6.42578125" style="563" customWidth="1"/>
    <col min="6627" max="6627" width="47.5703125" style="563" customWidth="1"/>
    <col min="6628" max="6629" width="5" style="563" customWidth="1"/>
    <col min="6630" max="6630" width="5.42578125" style="563" customWidth="1"/>
    <col min="6631" max="6631" width="4.5703125" style="563" customWidth="1"/>
    <col min="6632" max="6633" width="4.42578125" style="563" customWidth="1"/>
    <col min="6634" max="6634" width="3.5703125" style="563" customWidth="1"/>
    <col min="6635" max="6635" width="5" style="563" customWidth="1"/>
    <col min="6636" max="6636" width="4" style="563" customWidth="1"/>
    <col min="6637" max="6638" width="4.5703125" style="563" customWidth="1"/>
    <col min="6639" max="6639" width="4.42578125" style="563" customWidth="1"/>
    <col min="6640" max="6640" width="4" style="563" customWidth="1"/>
    <col min="6641" max="6641" width="3.5703125" style="563" customWidth="1"/>
    <col min="6642" max="6643" width="4.5703125" style="563" customWidth="1"/>
    <col min="6644" max="6644" width="4" style="563" customWidth="1"/>
    <col min="6645" max="6646" width="4.42578125" style="563" customWidth="1"/>
    <col min="6647" max="6647" width="3.5703125" style="563" customWidth="1"/>
    <col min="6648" max="6648" width="4.42578125" style="563" customWidth="1"/>
    <col min="6649" max="6649" width="5.5703125" style="563" customWidth="1"/>
    <col min="6650" max="6650" width="3.5703125" style="563" customWidth="1"/>
    <col min="6651" max="6651" width="4" style="563" customWidth="1"/>
    <col min="6652" max="6652" width="4.5703125" style="563" customWidth="1"/>
    <col min="6653" max="6655" width="4.42578125" style="563" customWidth="1"/>
    <col min="6656" max="6657" width="4.5703125" style="563" customWidth="1"/>
    <col min="6658" max="6658" width="4" style="563" customWidth="1"/>
    <col min="6659" max="6659" width="4.5703125" style="563" customWidth="1"/>
    <col min="6660" max="6660" width="6" style="563" customWidth="1"/>
    <col min="6661" max="6661" width="8.5703125" style="563" customWidth="1"/>
    <col min="6662" max="6881" width="11.42578125" style="563"/>
    <col min="6882" max="6882" width="6.42578125" style="563" customWidth="1"/>
    <col min="6883" max="6883" width="47.5703125" style="563" customWidth="1"/>
    <col min="6884" max="6885" width="5" style="563" customWidth="1"/>
    <col min="6886" max="6886" width="5.42578125" style="563" customWidth="1"/>
    <col min="6887" max="6887" width="4.5703125" style="563" customWidth="1"/>
    <col min="6888" max="6889" width="4.42578125" style="563" customWidth="1"/>
    <col min="6890" max="6890" width="3.5703125" style="563" customWidth="1"/>
    <col min="6891" max="6891" width="5" style="563" customWidth="1"/>
    <col min="6892" max="6892" width="4" style="563" customWidth="1"/>
    <col min="6893" max="6894" width="4.5703125" style="563" customWidth="1"/>
    <col min="6895" max="6895" width="4.42578125" style="563" customWidth="1"/>
    <col min="6896" max="6896" width="4" style="563" customWidth="1"/>
    <col min="6897" max="6897" width="3.5703125" style="563" customWidth="1"/>
    <col min="6898" max="6899" width="4.5703125" style="563" customWidth="1"/>
    <col min="6900" max="6900" width="4" style="563" customWidth="1"/>
    <col min="6901" max="6902" width="4.42578125" style="563" customWidth="1"/>
    <col min="6903" max="6903" width="3.5703125" style="563" customWidth="1"/>
    <col min="6904" max="6904" width="4.42578125" style="563" customWidth="1"/>
    <col min="6905" max="6905" width="5.5703125" style="563" customWidth="1"/>
    <col min="6906" max="6906" width="3.5703125" style="563" customWidth="1"/>
    <col min="6907" max="6907" width="4" style="563" customWidth="1"/>
    <col min="6908" max="6908" width="4.5703125" style="563" customWidth="1"/>
    <col min="6909" max="6911" width="4.42578125" style="563" customWidth="1"/>
    <col min="6912" max="6913" width="4.5703125" style="563" customWidth="1"/>
    <col min="6914" max="6914" width="4" style="563" customWidth="1"/>
    <col min="6915" max="6915" width="4.5703125" style="563" customWidth="1"/>
    <col min="6916" max="6916" width="6" style="563" customWidth="1"/>
    <col min="6917" max="6917" width="8.5703125" style="563" customWidth="1"/>
    <col min="6918" max="7137" width="11.42578125" style="563"/>
    <col min="7138" max="7138" width="6.42578125" style="563" customWidth="1"/>
    <col min="7139" max="7139" width="47.5703125" style="563" customWidth="1"/>
    <col min="7140" max="7141" width="5" style="563" customWidth="1"/>
    <col min="7142" max="7142" width="5.42578125" style="563" customWidth="1"/>
    <col min="7143" max="7143" width="4.5703125" style="563" customWidth="1"/>
    <col min="7144" max="7145" width="4.42578125" style="563" customWidth="1"/>
    <col min="7146" max="7146" width="3.5703125" style="563" customWidth="1"/>
    <col min="7147" max="7147" width="5" style="563" customWidth="1"/>
    <col min="7148" max="7148" width="4" style="563" customWidth="1"/>
    <col min="7149" max="7150" width="4.5703125" style="563" customWidth="1"/>
    <col min="7151" max="7151" width="4.42578125" style="563" customWidth="1"/>
    <col min="7152" max="7152" width="4" style="563" customWidth="1"/>
    <col min="7153" max="7153" width="3.5703125" style="563" customWidth="1"/>
    <col min="7154" max="7155" width="4.5703125" style="563" customWidth="1"/>
    <col min="7156" max="7156" width="4" style="563" customWidth="1"/>
    <col min="7157" max="7158" width="4.42578125" style="563" customWidth="1"/>
    <col min="7159" max="7159" width="3.5703125" style="563" customWidth="1"/>
    <col min="7160" max="7160" width="4.42578125" style="563" customWidth="1"/>
    <col min="7161" max="7161" width="5.5703125" style="563" customWidth="1"/>
    <col min="7162" max="7162" width="3.5703125" style="563" customWidth="1"/>
    <col min="7163" max="7163" width="4" style="563" customWidth="1"/>
    <col min="7164" max="7164" width="4.5703125" style="563" customWidth="1"/>
    <col min="7165" max="7167" width="4.42578125" style="563" customWidth="1"/>
    <col min="7168" max="7169" width="4.5703125" style="563" customWidth="1"/>
    <col min="7170" max="7170" width="4" style="563" customWidth="1"/>
    <col min="7171" max="7171" width="4.5703125" style="563" customWidth="1"/>
    <col min="7172" max="7172" width="6" style="563" customWidth="1"/>
    <col min="7173" max="7173" width="8.5703125" style="563" customWidth="1"/>
    <col min="7174" max="7393" width="11.42578125" style="563"/>
    <col min="7394" max="7394" width="6.42578125" style="563" customWidth="1"/>
    <col min="7395" max="7395" width="47.5703125" style="563" customWidth="1"/>
    <col min="7396" max="7397" width="5" style="563" customWidth="1"/>
    <col min="7398" max="7398" width="5.42578125" style="563" customWidth="1"/>
    <col min="7399" max="7399" width="4.5703125" style="563" customWidth="1"/>
    <col min="7400" max="7401" width="4.42578125" style="563" customWidth="1"/>
    <col min="7402" max="7402" width="3.5703125" style="563" customWidth="1"/>
    <col min="7403" max="7403" width="5" style="563" customWidth="1"/>
    <col min="7404" max="7404" width="4" style="563" customWidth="1"/>
    <col min="7405" max="7406" width="4.5703125" style="563" customWidth="1"/>
    <col min="7407" max="7407" width="4.42578125" style="563" customWidth="1"/>
    <col min="7408" max="7408" width="4" style="563" customWidth="1"/>
    <col min="7409" max="7409" width="3.5703125" style="563" customWidth="1"/>
    <col min="7410" max="7411" width="4.5703125" style="563" customWidth="1"/>
    <col min="7412" max="7412" width="4" style="563" customWidth="1"/>
    <col min="7413" max="7414" width="4.42578125" style="563" customWidth="1"/>
    <col min="7415" max="7415" width="3.5703125" style="563" customWidth="1"/>
    <col min="7416" max="7416" width="4.42578125" style="563" customWidth="1"/>
    <col min="7417" max="7417" width="5.5703125" style="563" customWidth="1"/>
    <col min="7418" max="7418" width="3.5703125" style="563" customWidth="1"/>
    <col min="7419" max="7419" width="4" style="563" customWidth="1"/>
    <col min="7420" max="7420" width="4.5703125" style="563" customWidth="1"/>
    <col min="7421" max="7423" width="4.42578125" style="563" customWidth="1"/>
    <col min="7424" max="7425" width="4.5703125" style="563" customWidth="1"/>
    <col min="7426" max="7426" width="4" style="563" customWidth="1"/>
    <col min="7427" max="7427" width="4.5703125" style="563" customWidth="1"/>
    <col min="7428" max="7428" width="6" style="563" customWidth="1"/>
    <col min="7429" max="7429" width="8.5703125" style="563" customWidth="1"/>
    <col min="7430" max="7649" width="11.42578125" style="563"/>
    <col min="7650" max="7650" width="6.42578125" style="563" customWidth="1"/>
    <col min="7651" max="7651" width="47.5703125" style="563" customWidth="1"/>
    <col min="7652" max="7653" width="5" style="563" customWidth="1"/>
    <col min="7654" max="7654" width="5.42578125" style="563" customWidth="1"/>
    <col min="7655" max="7655" width="4.5703125" style="563" customWidth="1"/>
    <col min="7656" max="7657" width="4.42578125" style="563" customWidth="1"/>
    <col min="7658" max="7658" width="3.5703125" style="563" customWidth="1"/>
    <col min="7659" max="7659" width="5" style="563" customWidth="1"/>
    <col min="7660" max="7660" width="4" style="563" customWidth="1"/>
    <col min="7661" max="7662" width="4.5703125" style="563" customWidth="1"/>
    <col min="7663" max="7663" width="4.42578125" style="563" customWidth="1"/>
    <col min="7664" max="7664" width="4" style="563" customWidth="1"/>
    <col min="7665" max="7665" width="3.5703125" style="563" customWidth="1"/>
    <col min="7666" max="7667" width="4.5703125" style="563" customWidth="1"/>
    <col min="7668" max="7668" width="4" style="563" customWidth="1"/>
    <col min="7669" max="7670" width="4.42578125" style="563" customWidth="1"/>
    <col min="7671" max="7671" width="3.5703125" style="563" customWidth="1"/>
    <col min="7672" max="7672" width="4.42578125" style="563" customWidth="1"/>
    <col min="7673" max="7673" width="5.5703125" style="563" customWidth="1"/>
    <col min="7674" max="7674" width="3.5703125" style="563" customWidth="1"/>
    <col min="7675" max="7675" width="4" style="563" customWidth="1"/>
    <col min="7676" max="7676" width="4.5703125" style="563" customWidth="1"/>
    <col min="7677" max="7679" width="4.42578125" style="563" customWidth="1"/>
    <col min="7680" max="7681" width="4.5703125" style="563" customWidth="1"/>
    <col min="7682" max="7682" width="4" style="563" customWidth="1"/>
    <col min="7683" max="7683" width="4.5703125" style="563" customWidth="1"/>
    <col min="7684" max="7684" width="6" style="563" customWidth="1"/>
    <col min="7685" max="7685" width="8.5703125" style="563" customWidth="1"/>
    <col min="7686" max="7905" width="11.42578125" style="563"/>
    <col min="7906" max="7906" width="6.42578125" style="563" customWidth="1"/>
    <col min="7907" max="7907" width="47.5703125" style="563" customWidth="1"/>
    <col min="7908" max="7909" width="5" style="563" customWidth="1"/>
    <col min="7910" max="7910" width="5.42578125" style="563" customWidth="1"/>
    <col min="7911" max="7911" width="4.5703125" style="563" customWidth="1"/>
    <col min="7912" max="7913" width="4.42578125" style="563" customWidth="1"/>
    <col min="7914" max="7914" width="3.5703125" style="563" customWidth="1"/>
    <col min="7915" max="7915" width="5" style="563" customWidth="1"/>
    <col min="7916" max="7916" width="4" style="563" customWidth="1"/>
    <col min="7917" max="7918" width="4.5703125" style="563" customWidth="1"/>
    <col min="7919" max="7919" width="4.42578125" style="563" customWidth="1"/>
    <col min="7920" max="7920" width="4" style="563" customWidth="1"/>
    <col min="7921" max="7921" width="3.5703125" style="563" customWidth="1"/>
    <col min="7922" max="7923" width="4.5703125" style="563" customWidth="1"/>
    <col min="7924" max="7924" width="4" style="563" customWidth="1"/>
    <col min="7925" max="7926" width="4.42578125" style="563" customWidth="1"/>
    <col min="7927" max="7927" width="3.5703125" style="563" customWidth="1"/>
    <col min="7928" max="7928" width="4.42578125" style="563" customWidth="1"/>
    <col min="7929" max="7929" width="5.5703125" style="563" customWidth="1"/>
    <col min="7930" max="7930" width="3.5703125" style="563" customWidth="1"/>
    <col min="7931" max="7931" width="4" style="563" customWidth="1"/>
    <col min="7932" max="7932" width="4.5703125" style="563" customWidth="1"/>
    <col min="7933" max="7935" width="4.42578125" style="563" customWidth="1"/>
    <col min="7936" max="7937" width="4.5703125" style="563" customWidth="1"/>
    <col min="7938" max="7938" width="4" style="563" customWidth="1"/>
    <col min="7939" max="7939" width="4.5703125" style="563" customWidth="1"/>
    <col min="7940" max="7940" width="6" style="563" customWidth="1"/>
    <col min="7941" max="7941" width="8.5703125" style="563" customWidth="1"/>
    <col min="7942" max="8161" width="11.42578125" style="563"/>
    <col min="8162" max="8162" width="6.42578125" style="563" customWidth="1"/>
    <col min="8163" max="8163" width="47.5703125" style="563" customWidth="1"/>
    <col min="8164" max="8165" width="5" style="563" customWidth="1"/>
    <col min="8166" max="8166" width="5.42578125" style="563" customWidth="1"/>
    <col min="8167" max="8167" width="4.5703125" style="563" customWidth="1"/>
    <col min="8168" max="8169" width="4.42578125" style="563" customWidth="1"/>
    <col min="8170" max="8170" width="3.5703125" style="563" customWidth="1"/>
    <col min="8171" max="8171" width="5" style="563" customWidth="1"/>
    <col min="8172" max="8172" width="4" style="563" customWidth="1"/>
    <col min="8173" max="8174" width="4.5703125" style="563" customWidth="1"/>
    <col min="8175" max="8175" width="4.42578125" style="563" customWidth="1"/>
    <col min="8176" max="8176" width="4" style="563" customWidth="1"/>
    <col min="8177" max="8177" width="3.5703125" style="563" customWidth="1"/>
    <col min="8178" max="8179" width="4.5703125" style="563" customWidth="1"/>
    <col min="8180" max="8180" width="4" style="563" customWidth="1"/>
    <col min="8181" max="8182" width="4.42578125" style="563" customWidth="1"/>
    <col min="8183" max="8183" width="3.5703125" style="563" customWidth="1"/>
    <col min="8184" max="8184" width="4.42578125" style="563" customWidth="1"/>
    <col min="8185" max="8185" width="5.5703125" style="563" customWidth="1"/>
    <col min="8186" max="8186" width="3.5703125" style="563" customWidth="1"/>
    <col min="8187" max="8187" width="4" style="563" customWidth="1"/>
    <col min="8188" max="8188" width="4.5703125" style="563" customWidth="1"/>
    <col min="8189" max="8191" width="4.42578125" style="563" customWidth="1"/>
    <col min="8192" max="8193" width="4.5703125" style="563" customWidth="1"/>
    <col min="8194" max="8194" width="4" style="563" customWidth="1"/>
    <col min="8195" max="8195" width="4.5703125" style="563" customWidth="1"/>
    <col min="8196" max="8196" width="6" style="563" customWidth="1"/>
    <col min="8197" max="8197" width="8.5703125" style="563" customWidth="1"/>
    <col min="8198" max="8417" width="11.42578125" style="563"/>
    <col min="8418" max="8418" width="6.42578125" style="563" customWidth="1"/>
    <col min="8419" max="8419" width="47.5703125" style="563" customWidth="1"/>
    <col min="8420" max="8421" width="5" style="563" customWidth="1"/>
    <col min="8422" max="8422" width="5.42578125" style="563" customWidth="1"/>
    <col min="8423" max="8423" width="4.5703125" style="563" customWidth="1"/>
    <col min="8424" max="8425" width="4.42578125" style="563" customWidth="1"/>
    <col min="8426" max="8426" width="3.5703125" style="563" customWidth="1"/>
    <col min="8427" max="8427" width="5" style="563" customWidth="1"/>
    <col min="8428" max="8428" width="4" style="563" customWidth="1"/>
    <col min="8429" max="8430" width="4.5703125" style="563" customWidth="1"/>
    <col min="8431" max="8431" width="4.42578125" style="563" customWidth="1"/>
    <col min="8432" max="8432" width="4" style="563" customWidth="1"/>
    <col min="8433" max="8433" width="3.5703125" style="563" customWidth="1"/>
    <col min="8434" max="8435" width="4.5703125" style="563" customWidth="1"/>
    <col min="8436" max="8436" width="4" style="563" customWidth="1"/>
    <col min="8437" max="8438" width="4.42578125" style="563" customWidth="1"/>
    <col min="8439" max="8439" width="3.5703125" style="563" customWidth="1"/>
    <col min="8440" max="8440" width="4.42578125" style="563" customWidth="1"/>
    <col min="8441" max="8441" width="5.5703125" style="563" customWidth="1"/>
    <col min="8442" max="8442" width="3.5703125" style="563" customWidth="1"/>
    <col min="8443" max="8443" width="4" style="563" customWidth="1"/>
    <col min="8444" max="8444" width="4.5703125" style="563" customWidth="1"/>
    <col min="8445" max="8447" width="4.42578125" style="563" customWidth="1"/>
    <col min="8448" max="8449" width="4.5703125" style="563" customWidth="1"/>
    <col min="8450" max="8450" width="4" style="563" customWidth="1"/>
    <col min="8451" max="8451" width="4.5703125" style="563" customWidth="1"/>
    <col min="8452" max="8452" width="6" style="563" customWidth="1"/>
    <col min="8453" max="8453" width="8.5703125" style="563" customWidth="1"/>
    <col min="8454" max="8673" width="11.42578125" style="563"/>
    <col min="8674" max="8674" width="6.42578125" style="563" customWidth="1"/>
    <col min="8675" max="8675" width="47.5703125" style="563" customWidth="1"/>
    <col min="8676" max="8677" width="5" style="563" customWidth="1"/>
    <col min="8678" max="8678" width="5.42578125" style="563" customWidth="1"/>
    <col min="8679" max="8679" width="4.5703125" style="563" customWidth="1"/>
    <col min="8680" max="8681" width="4.42578125" style="563" customWidth="1"/>
    <col min="8682" max="8682" width="3.5703125" style="563" customWidth="1"/>
    <col min="8683" max="8683" width="5" style="563" customWidth="1"/>
    <col min="8684" max="8684" width="4" style="563" customWidth="1"/>
    <col min="8685" max="8686" width="4.5703125" style="563" customWidth="1"/>
    <col min="8687" max="8687" width="4.42578125" style="563" customWidth="1"/>
    <col min="8688" max="8688" width="4" style="563" customWidth="1"/>
    <col min="8689" max="8689" width="3.5703125" style="563" customWidth="1"/>
    <col min="8690" max="8691" width="4.5703125" style="563" customWidth="1"/>
    <col min="8692" max="8692" width="4" style="563" customWidth="1"/>
    <col min="8693" max="8694" width="4.42578125" style="563" customWidth="1"/>
    <col min="8695" max="8695" width="3.5703125" style="563" customWidth="1"/>
    <col min="8696" max="8696" width="4.42578125" style="563" customWidth="1"/>
    <col min="8697" max="8697" width="5.5703125" style="563" customWidth="1"/>
    <col min="8698" max="8698" width="3.5703125" style="563" customWidth="1"/>
    <col min="8699" max="8699" width="4" style="563" customWidth="1"/>
    <col min="8700" max="8700" width="4.5703125" style="563" customWidth="1"/>
    <col min="8701" max="8703" width="4.42578125" style="563" customWidth="1"/>
    <col min="8704" max="8705" width="4.5703125" style="563" customWidth="1"/>
    <col min="8706" max="8706" width="4" style="563" customWidth="1"/>
    <col min="8707" max="8707" width="4.5703125" style="563" customWidth="1"/>
    <col min="8708" max="8708" width="6" style="563" customWidth="1"/>
    <col min="8709" max="8709" width="8.5703125" style="563" customWidth="1"/>
    <col min="8710" max="8929" width="11.42578125" style="563"/>
    <col min="8930" max="8930" width="6.42578125" style="563" customWidth="1"/>
    <col min="8931" max="8931" width="47.5703125" style="563" customWidth="1"/>
    <col min="8932" max="8933" width="5" style="563" customWidth="1"/>
    <col min="8934" max="8934" width="5.42578125" style="563" customWidth="1"/>
    <col min="8935" max="8935" width="4.5703125" style="563" customWidth="1"/>
    <col min="8936" max="8937" width="4.42578125" style="563" customWidth="1"/>
    <col min="8938" max="8938" width="3.5703125" style="563" customWidth="1"/>
    <col min="8939" max="8939" width="5" style="563" customWidth="1"/>
    <col min="8940" max="8940" width="4" style="563" customWidth="1"/>
    <col min="8941" max="8942" width="4.5703125" style="563" customWidth="1"/>
    <col min="8943" max="8943" width="4.42578125" style="563" customWidth="1"/>
    <col min="8944" max="8944" width="4" style="563" customWidth="1"/>
    <col min="8945" max="8945" width="3.5703125" style="563" customWidth="1"/>
    <col min="8946" max="8947" width="4.5703125" style="563" customWidth="1"/>
    <col min="8948" max="8948" width="4" style="563" customWidth="1"/>
    <col min="8949" max="8950" width="4.42578125" style="563" customWidth="1"/>
    <col min="8951" max="8951" width="3.5703125" style="563" customWidth="1"/>
    <col min="8952" max="8952" width="4.42578125" style="563" customWidth="1"/>
    <col min="8953" max="8953" width="5.5703125" style="563" customWidth="1"/>
    <col min="8954" max="8954" width="3.5703125" style="563" customWidth="1"/>
    <col min="8955" max="8955" width="4" style="563" customWidth="1"/>
    <col min="8956" max="8956" width="4.5703125" style="563" customWidth="1"/>
    <col min="8957" max="8959" width="4.42578125" style="563" customWidth="1"/>
    <col min="8960" max="8961" width="4.5703125" style="563" customWidth="1"/>
    <col min="8962" max="8962" width="4" style="563" customWidth="1"/>
    <col min="8963" max="8963" width="4.5703125" style="563" customWidth="1"/>
    <col min="8964" max="8964" width="6" style="563" customWidth="1"/>
    <col min="8965" max="8965" width="8.5703125" style="563" customWidth="1"/>
    <col min="8966" max="9185" width="11.42578125" style="563"/>
    <col min="9186" max="9186" width="6.42578125" style="563" customWidth="1"/>
    <col min="9187" max="9187" width="47.5703125" style="563" customWidth="1"/>
    <col min="9188" max="9189" width="5" style="563" customWidth="1"/>
    <col min="9190" max="9190" width="5.42578125" style="563" customWidth="1"/>
    <col min="9191" max="9191" width="4.5703125" style="563" customWidth="1"/>
    <col min="9192" max="9193" width="4.42578125" style="563" customWidth="1"/>
    <col min="9194" max="9194" width="3.5703125" style="563" customWidth="1"/>
    <col min="9195" max="9195" width="5" style="563" customWidth="1"/>
    <col min="9196" max="9196" width="4" style="563" customWidth="1"/>
    <col min="9197" max="9198" width="4.5703125" style="563" customWidth="1"/>
    <col min="9199" max="9199" width="4.42578125" style="563" customWidth="1"/>
    <col min="9200" max="9200" width="4" style="563" customWidth="1"/>
    <col min="9201" max="9201" width="3.5703125" style="563" customWidth="1"/>
    <col min="9202" max="9203" width="4.5703125" style="563" customWidth="1"/>
    <col min="9204" max="9204" width="4" style="563" customWidth="1"/>
    <col min="9205" max="9206" width="4.42578125" style="563" customWidth="1"/>
    <col min="9207" max="9207" width="3.5703125" style="563" customWidth="1"/>
    <col min="9208" max="9208" width="4.42578125" style="563" customWidth="1"/>
    <col min="9209" max="9209" width="5.5703125" style="563" customWidth="1"/>
    <col min="9210" max="9210" width="3.5703125" style="563" customWidth="1"/>
    <col min="9211" max="9211" width="4" style="563" customWidth="1"/>
    <col min="9212" max="9212" width="4.5703125" style="563" customWidth="1"/>
    <col min="9213" max="9215" width="4.42578125" style="563" customWidth="1"/>
    <col min="9216" max="9217" width="4.5703125" style="563" customWidth="1"/>
    <col min="9218" max="9218" width="4" style="563" customWidth="1"/>
    <col min="9219" max="9219" width="4.5703125" style="563" customWidth="1"/>
    <col min="9220" max="9220" width="6" style="563" customWidth="1"/>
    <col min="9221" max="9221" width="8.5703125" style="563" customWidth="1"/>
    <col min="9222" max="9441" width="11.42578125" style="563"/>
    <col min="9442" max="9442" width="6.42578125" style="563" customWidth="1"/>
    <col min="9443" max="9443" width="47.5703125" style="563" customWidth="1"/>
    <col min="9444" max="9445" width="5" style="563" customWidth="1"/>
    <col min="9446" max="9446" width="5.42578125" style="563" customWidth="1"/>
    <col min="9447" max="9447" width="4.5703125" style="563" customWidth="1"/>
    <col min="9448" max="9449" width="4.42578125" style="563" customWidth="1"/>
    <col min="9450" max="9450" width="3.5703125" style="563" customWidth="1"/>
    <col min="9451" max="9451" width="5" style="563" customWidth="1"/>
    <col min="9452" max="9452" width="4" style="563" customWidth="1"/>
    <col min="9453" max="9454" width="4.5703125" style="563" customWidth="1"/>
    <col min="9455" max="9455" width="4.42578125" style="563" customWidth="1"/>
    <col min="9456" max="9456" width="4" style="563" customWidth="1"/>
    <col min="9457" max="9457" width="3.5703125" style="563" customWidth="1"/>
    <col min="9458" max="9459" width="4.5703125" style="563" customWidth="1"/>
    <col min="9460" max="9460" width="4" style="563" customWidth="1"/>
    <col min="9461" max="9462" width="4.42578125" style="563" customWidth="1"/>
    <col min="9463" max="9463" width="3.5703125" style="563" customWidth="1"/>
    <col min="9464" max="9464" width="4.42578125" style="563" customWidth="1"/>
    <col min="9465" max="9465" width="5.5703125" style="563" customWidth="1"/>
    <col min="9466" max="9466" width="3.5703125" style="563" customWidth="1"/>
    <col min="9467" max="9467" width="4" style="563" customWidth="1"/>
    <col min="9468" max="9468" width="4.5703125" style="563" customWidth="1"/>
    <col min="9469" max="9471" width="4.42578125" style="563" customWidth="1"/>
    <col min="9472" max="9473" width="4.5703125" style="563" customWidth="1"/>
    <col min="9474" max="9474" width="4" style="563" customWidth="1"/>
    <col min="9475" max="9475" width="4.5703125" style="563" customWidth="1"/>
    <col min="9476" max="9476" width="6" style="563" customWidth="1"/>
    <col min="9477" max="9477" width="8.5703125" style="563" customWidth="1"/>
    <col min="9478" max="9697" width="11.42578125" style="563"/>
    <col min="9698" max="9698" width="6.42578125" style="563" customWidth="1"/>
    <col min="9699" max="9699" width="47.5703125" style="563" customWidth="1"/>
    <col min="9700" max="9701" width="5" style="563" customWidth="1"/>
    <col min="9702" max="9702" width="5.42578125" style="563" customWidth="1"/>
    <col min="9703" max="9703" width="4.5703125" style="563" customWidth="1"/>
    <col min="9704" max="9705" width="4.42578125" style="563" customWidth="1"/>
    <col min="9706" max="9706" width="3.5703125" style="563" customWidth="1"/>
    <col min="9707" max="9707" width="5" style="563" customWidth="1"/>
    <col min="9708" max="9708" width="4" style="563" customWidth="1"/>
    <col min="9709" max="9710" width="4.5703125" style="563" customWidth="1"/>
    <col min="9711" max="9711" width="4.42578125" style="563" customWidth="1"/>
    <col min="9712" max="9712" width="4" style="563" customWidth="1"/>
    <col min="9713" max="9713" width="3.5703125" style="563" customWidth="1"/>
    <col min="9714" max="9715" width="4.5703125" style="563" customWidth="1"/>
    <col min="9716" max="9716" width="4" style="563" customWidth="1"/>
    <col min="9717" max="9718" width="4.42578125" style="563" customWidth="1"/>
    <col min="9719" max="9719" width="3.5703125" style="563" customWidth="1"/>
    <col min="9720" max="9720" width="4.42578125" style="563" customWidth="1"/>
    <col min="9721" max="9721" width="5.5703125" style="563" customWidth="1"/>
    <col min="9722" max="9722" width="3.5703125" style="563" customWidth="1"/>
    <col min="9723" max="9723" width="4" style="563" customWidth="1"/>
    <col min="9724" max="9724" width="4.5703125" style="563" customWidth="1"/>
    <col min="9725" max="9727" width="4.42578125" style="563" customWidth="1"/>
    <col min="9728" max="9729" width="4.5703125" style="563" customWidth="1"/>
    <col min="9730" max="9730" width="4" style="563" customWidth="1"/>
    <col min="9731" max="9731" width="4.5703125" style="563" customWidth="1"/>
    <col min="9732" max="9732" width="6" style="563" customWidth="1"/>
    <col min="9733" max="9733" width="8.5703125" style="563" customWidth="1"/>
    <col min="9734" max="9953" width="11.42578125" style="563"/>
    <col min="9954" max="9954" width="6.42578125" style="563" customWidth="1"/>
    <col min="9955" max="9955" width="47.5703125" style="563" customWidth="1"/>
    <col min="9956" max="9957" width="5" style="563" customWidth="1"/>
    <col min="9958" max="9958" width="5.42578125" style="563" customWidth="1"/>
    <col min="9959" max="9959" width="4.5703125" style="563" customWidth="1"/>
    <col min="9960" max="9961" width="4.42578125" style="563" customWidth="1"/>
    <col min="9962" max="9962" width="3.5703125" style="563" customWidth="1"/>
    <col min="9963" max="9963" width="5" style="563" customWidth="1"/>
    <col min="9964" max="9964" width="4" style="563" customWidth="1"/>
    <col min="9965" max="9966" width="4.5703125" style="563" customWidth="1"/>
    <col min="9967" max="9967" width="4.42578125" style="563" customWidth="1"/>
    <col min="9968" max="9968" width="4" style="563" customWidth="1"/>
    <col min="9969" max="9969" width="3.5703125" style="563" customWidth="1"/>
    <col min="9970" max="9971" width="4.5703125" style="563" customWidth="1"/>
    <col min="9972" max="9972" width="4" style="563" customWidth="1"/>
    <col min="9973" max="9974" width="4.42578125" style="563" customWidth="1"/>
    <col min="9975" max="9975" width="3.5703125" style="563" customWidth="1"/>
    <col min="9976" max="9976" width="4.42578125" style="563" customWidth="1"/>
    <col min="9977" max="9977" width="5.5703125" style="563" customWidth="1"/>
    <col min="9978" max="9978" width="3.5703125" style="563" customWidth="1"/>
    <col min="9979" max="9979" width="4" style="563" customWidth="1"/>
    <col min="9980" max="9980" width="4.5703125" style="563" customWidth="1"/>
    <col min="9981" max="9983" width="4.42578125" style="563" customWidth="1"/>
    <col min="9984" max="9985" width="4.5703125" style="563" customWidth="1"/>
    <col min="9986" max="9986" width="4" style="563" customWidth="1"/>
    <col min="9987" max="9987" width="4.5703125" style="563" customWidth="1"/>
    <col min="9988" max="9988" width="6" style="563" customWidth="1"/>
    <col min="9989" max="9989" width="8.5703125" style="563" customWidth="1"/>
    <col min="9990" max="10209" width="11.42578125" style="563"/>
    <col min="10210" max="10210" width="6.42578125" style="563" customWidth="1"/>
    <col min="10211" max="10211" width="47.5703125" style="563" customWidth="1"/>
    <col min="10212" max="10213" width="5" style="563" customWidth="1"/>
    <col min="10214" max="10214" width="5.42578125" style="563" customWidth="1"/>
    <col min="10215" max="10215" width="4.5703125" style="563" customWidth="1"/>
    <col min="10216" max="10217" width="4.42578125" style="563" customWidth="1"/>
    <col min="10218" max="10218" width="3.5703125" style="563" customWidth="1"/>
    <col min="10219" max="10219" width="5" style="563" customWidth="1"/>
    <col min="10220" max="10220" width="4" style="563" customWidth="1"/>
    <col min="10221" max="10222" width="4.5703125" style="563" customWidth="1"/>
    <col min="10223" max="10223" width="4.42578125" style="563" customWidth="1"/>
    <col min="10224" max="10224" width="4" style="563" customWidth="1"/>
    <col min="10225" max="10225" width="3.5703125" style="563" customWidth="1"/>
    <col min="10226" max="10227" width="4.5703125" style="563" customWidth="1"/>
    <col min="10228" max="10228" width="4" style="563" customWidth="1"/>
    <col min="10229" max="10230" width="4.42578125" style="563" customWidth="1"/>
    <col min="10231" max="10231" width="3.5703125" style="563" customWidth="1"/>
    <col min="10232" max="10232" width="4.42578125" style="563" customWidth="1"/>
    <col min="10233" max="10233" width="5.5703125" style="563" customWidth="1"/>
    <col min="10234" max="10234" width="3.5703125" style="563" customWidth="1"/>
    <col min="10235" max="10235" width="4" style="563" customWidth="1"/>
    <col min="10236" max="10236" width="4.5703125" style="563" customWidth="1"/>
    <col min="10237" max="10239" width="4.42578125" style="563" customWidth="1"/>
    <col min="10240" max="10241" width="4.5703125" style="563" customWidth="1"/>
    <col min="10242" max="10242" width="4" style="563" customWidth="1"/>
    <col min="10243" max="10243" width="4.5703125" style="563" customWidth="1"/>
    <col min="10244" max="10244" width="6" style="563" customWidth="1"/>
    <col min="10245" max="10245" width="8.5703125" style="563" customWidth="1"/>
    <col min="10246" max="10465" width="11.42578125" style="563"/>
    <col min="10466" max="10466" width="6.42578125" style="563" customWidth="1"/>
    <col min="10467" max="10467" width="47.5703125" style="563" customWidth="1"/>
    <col min="10468" max="10469" width="5" style="563" customWidth="1"/>
    <col min="10470" max="10470" width="5.42578125" style="563" customWidth="1"/>
    <col min="10471" max="10471" width="4.5703125" style="563" customWidth="1"/>
    <col min="10472" max="10473" width="4.42578125" style="563" customWidth="1"/>
    <col min="10474" max="10474" width="3.5703125" style="563" customWidth="1"/>
    <col min="10475" max="10475" width="5" style="563" customWidth="1"/>
    <col min="10476" max="10476" width="4" style="563" customWidth="1"/>
    <col min="10477" max="10478" width="4.5703125" style="563" customWidth="1"/>
    <col min="10479" max="10479" width="4.42578125" style="563" customWidth="1"/>
    <col min="10480" max="10480" width="4" style="563" customWidth="1"/>
    <col min="10481" max="10481" width="3.5703125" style="563" customWidth="1"/>
    <col min="10482" max="10483" width="4.5703125" style="563" customWidth="1"/>
    <col min="10484" max="10484" width="4" style="563" customWidth="1"/>
    <col min="10485" max="10486" width="4.42578125" style="563" customWidth="1"/>
    <col min="10487" max="10487" width="3.5703125" style="563" customWidth="1"/>
    <col min="10488" max="10488" width="4.42578125" style="563" customWidth="1"/>
    <col min="10489" max="10489" width="5.5703125" style="563" customWidth="1"/>
    <col min="10490" max="10490" width="3.5703125" style="563" customWidth="1"/>
    <col min="10491" max="10491" width="4" style="563" customWidth="1"/>
    <col min="10492" max="10492" width="4.5703125" style="563" customWidth="1"/>
    <col min="10493" max="10495" width="4.42578125" style="563" customWidth="1"/>
    <col min="10496" max="10497" width="4.5703125" style="563" customWidth="1"/>
    <col min="10498" max="10498" width="4" style="563" customWidth="1"/>
    <col min="10499" max="10499" width="4.5703125" style="563" customWidth="1"/>
    <col min="10500" max="10500" width="6" style="563" customWidth="1"/>
    <col min="10501" max="10501" width="8.5703125" style="563" customWidth="1"/>
    <col min="10502" max="10721" width="11.42578125" style="563"/>
    <col min="10722" max="10722" width="6.42578125" style="563" customWidth="1"/>
    <col min="10723" max="10723" width="47.5703125" style="563" customWidth="1"/>
    <col min="10724" max="10725" width="5" style="563" customWidth="1"/>
    <col min="10726" max="10726" width="5.42578125" style="563" customWidth="1"/>
    <col min="10727" max="10727" width="4.5703125" style="563" customWidth="1"/>
    <col min="10728" max="10729" width="4.42578125" style="563" customWidth="1"/>
    <col min="10730" max="10730" width="3.5703125" style="563" customWidth="1"/>
    <col min="10731" max="10731" width="5" style="563" customWidth="1"/>
    <col min="10732" max="10732" width="4" style="563" customWidth="1"/>
    <col min="10733" max="10734" width="4.5703125" style="563" customWidth="1"/>
    <col min="10735" max="10735" width="4.42578125" style="563" customWidth="1"/>
    <col min="10736" max="10736" width="4" style="563" customWidth="1"/>
    <col min="10737" max="10737" width="3.5703125" style="563" customWidth="1"/>
    <col min="10738" max="10739" width="4.5703125" style="563" customWidth="1"/>
    <col min="10740" max="10740" width="4" style="563" customWidth="1"/>
    <col min="10741" max="10742" width="4.42578125" style="563" customWidth="1"/>
    <col min="10743" max="10743" width="3.5703125" style="563" customWidth="1"/>
    <col min="10744" max="10744" width="4.42578125" style="563" customWidth="1"/>
    <col min="10745" max="10745" width="5.5703125" style="563" customWidth="1"/>
    <col min="10746" max="10746" width="3.5703125" style="563" customWidth="1"/>
    <col min="10747" max="10747" width="4" style="563" customWidth="1"/>
    <col min="10748" max="10748" width="4.5703125" style="563" customWidth="1"/>
    <col min="10749" max="10751" width="4.42578125" style="563" customWidth="1"/>
    <col min="10752" max="10753" width="4.5703125" style="563" customWidth="1"/>
    <col min="10754" max="10754" width="4" style="563" customWidth="1"/>
    <col min="10755" max="10755" width="4.5703125" style="563" customWidth="1"/>
    <col min="10756" max="10756" width="6" style="563" customWidth="1"/>
    <col min="10757" max="10757" width="8.5703125" style="563" customWidth="1"/>
    <col min="10758" max="10977" width="11.42578125" style="563"/>
    <col min="10978" max="10978" width="6.42578125" style="563" customWidth="1"/>
    <col min="10979" max="10979" width="47.5703125" style="563" customWidth="1"/>
    <col min="10980" max="10981" width="5" style="563" customWidth="1"/>
    <col min="10982" max="10982" width="5.42578125" style="563" customWidth="1"/>
    <col min="10983" max="10983" width="4.5703125" style="563" customWidth="1"/>
    <col min="10984" max="10985" width="4.42578125" style="563" customWidth="1"/>
    <col min="10986" max="10986" width="3.5703125" style="563" customWidth="1"/>
    <col min="10987" max="10987" width="5" style="563" customWidth="1"/>
    <col min="10988" max="10988" width="4" style="563" customWidth="1"/>
    <col min="10989" max="10990" width="4.5703125" style="563" customWidth="1"/>
    <col min="10991" max="10991" width="4.42578125" style="563" customWidth="1"/>
    <col min="10992" max="10992" width="4" style="563" customWidth="1"/>
    <col min="10993" max="10993" width="3.5703125" style="563" customWidth="1"/>
    <col min="10994" max="10995" width="4.5703125" style="563" customWidth="1"/>
    <col min="10996" max="10996" width="4" style="563" customWidth="1"/>
    <col min="10997" max="10998" width="4.42578125" style="563" customWidth="1"/>
    <col min="10999" max="10999" width="3.5703125" style="563" customWidth="1"/>
    <col min="11000" max="11000" width="4.42578125" style="563" customWidth="1"/>
    <col min="11001" max="11001" width="5.5703125" style="563" customWidth="1"/>
    <col min="11002" max="11002" width="3.5703125" style="563" customWidth="1"/>
    <col min="11003" max="11003" width="4" style="563" customWidth="1"/>
    <col min="11004" max="11004" width="4.5703125" style="563" customWidth="1"/>
    <col min="11005" max="11007" width="4.42578125" style="563" customWidth="1"/>
    <col min="11008" max="11009" width="4.5703125" style="563" customWidth="1"/>
    <col min="11010" max="11010" width="4" style="563" customWidth="1"/>
    <col min="11011" max="11011" width="4.5703125" style="563" customWidth="1"/>
    <col min="11012" max="11012" width="6" style="563" customWidth="1"/>
    <col min="11013" max="11013" width="8.5703125" style="563" customWidth="1"/>
    <col min="11014" max="11233" width="11.42578125" style="563"/>
    <col min="11234" max="11234" width="6.42578125" style="563" customWidth="1"/>
    <col min="11235" max="11235" width="47.5703125" style="563" customWidth="1"/>
    <col min="11236" max="11237" width="5" style="563" customWidth="1"/>
    <col min="11238" max="11238" width="5.42578125" style="563" customWidth="1"/>
    <col min="11239" max="11239" width="4.5703125" style="563" customWidth="1"/>
    <col min="11240" max="11241" width="4.42578125" style="563" customWidth="1"/>
    <col min="11242" max="11242" width="3.5703125" style="563" customWidth="1"/>
    <col min="11243" max="11243" width="5" style="563" customWidth="1"/>
    <col min="11244" max="11244" width="4" style="563" customWidth="1"/>
    <col min="11245" max="11246" width="4.5703125" style="563" customWidth="1"/>
    <col min="11247" max="11247" width="4.42578125" style="563" customWidth="1"/>
    <col min="11248" max="11248" width="4" style="563" customWidth="1"/>
    <col min="11249" max="11249" width="3.5703125" style="563" customWidth="1"/>
    <col min="11250" max="11251" width="4.5703125" style="563" customWidth="1"/>
    <col min="11252" max="11252" width="4" style="563" customWidth="1"/>
    <col min="11253" max="11254" width="4.42578125" style="563" customWidth="1"/>
    <col min="11255" max="11255" width="3.5703125" style="563" customWidth="1"/>
    <col min="11256" max="11256" width="4.42578125" style="563" customWidth="1"/>
    <col min="11257" max="11257" width="5.5703125" style="563" customWidth="1"/>
    <col min="11258" max="11258" width="3.5703125" style="563" customWidth="1"/>
    <col min="11259" max="11259" width="4" style="563" customWidth="1"/>
    <col min="11260" max="11260" width="4.5703125" style="563" customWidth="1"/>
    <col min="11261" max="11263" width="4.42578125" style="563" customWidth="1"/>
    <col min="11264" max="11265" width="4.5703125" style="563" customWidth="1"/>
    <col min="11266" max="11266" width="4" style="563" customWidth="1"/>
    <col min="11267" max="11267" width="4.5703125" style="563" customWidth="1"/>
    <col min="11268" max="11268" width="6" style="563" customWidth="1"/>
    <col min="11269" max="11269" width="8.5703125" style="563" customWidth="1"/>
    <col min="11270" max="11489" width="11.42578125" style="563"/>
    <col min="11490" max="11490" width="6.42578125" style="563" customWidth="1"/>
    <col min="11491" max="11491" width="47.5703125" style="563" customWidth="1"/>
    <col min="11492" max="11493" width="5" style="563" customWidth="1"/>
    <col min="11494" max="11494" width="5.42578125" style="563" customWidth="1"/>
    <col min="11495" max="11495" width="4.5703125" style="563" customWidth="1"/>
    <col min="11496" max="11497" width="4.42578125" style="563" customWidth="1"/>
    <col min="11498" max="11498" width="3.5703125" style="563" customWidth="1"/>
    <col min="11499" max="11499" width="5" style="563" customWidth="1"/>
    <col min="11500" max="11500" width="4" style="563" customWidth="1"/>
    <col min="11501" max="11502" width="4.5703125" style="563" customWidth="1"/>
    <col min="11503" max="11503" width="4.42578125" style="563" customWidth="1"/>
    <col min="11504" max="11504" width="4" style="563" customWidth="1"/>
    <col min="11505" max="11505" width="3.5703125" style="563" customWidth="1"/>
    <col min="11506" max="11507" width="4.5703125" style="563" customWidth="1"/>
    <col min="11508" max="11508" width="4" style="563" customWidth="1"/>
    <col min="11509" max="11510" width="4.42578125" style="563" customWidth="1"/>
    <col min="11511" max="11511" width="3.5703125" style="563" customWidth="1"/>
    <col min="11512" max="11512" width="4.42578125" style="563" customWidth="1"/>
    <col min="11513" max="11513" width="5.5703125" style="563" customWidth="1"/>
    <col min="11514" max="11514" width="3.5703125" style="563" customWidth="1"/>
    <col min="11515" max="11515" width="4" style="563" customWidth="1"/>
    <col min="11516" max="11516" width="4.5703125" style="563" customWidth="1"/>
    <col min="11517" max="11519" width="4.42578125" style="563" customWidth="1"/>
    <col min="11520" max="11521" width="4.5703125" style="563" customWidth="1"/>
    <col min="11522" max="11522" width="4" style="563" customWidth="1"/>
    <col min="11523" max="11523" width="4.5703125" style="563" customWidth="1"/>
    <col min="11524" max="11524" width="6" style="563" customWidth="1"/>
    <col min="11525" max="11525" width="8.5703125" style="563" customWidth="1"/>
    <col min="11526" max="11745" width="11.42578125" style="563"/>
    <col min="11746" max="11746" width="6.42578125" style="563" customWidth="1"/>
    <col min="11747" max="11747" width="47.5703125" style="563" customWidth="1"/>
    <col min="11748" max="11749" width="5" style="563" customWidth="1"/>
    <col min="11750" max="11750" width="5.42578125" style="563" customWidth="1"/>
    <col min="11751" max="11751" width="4.5703125" style="563" customWidth="1"/>
    <col min="11752" max="11753" width="4.42578125" style="563" customWidth="1"/>
    <col min="11754" max="11754" width="3.5703125" style="563" customWidth="1"/>
    <col min="11755" max="11755" width="5" style="563" customWidth="1"/>
    <col min="11756" max="11756" width="4" style="563" customWidth="1"/>
    <col min="11757" max="11758" width="4.5703125" style="563" customWidth="1"/>
    <col min="11759" max="11759" width="4.42578125" style="563" customWidth="1"/>
    <col min="11760" max="11760" width="4" style="563" customWidth="1"/>
    <col min="11761" max="11761" width="3.5703125" style="563" customWidth="1"/>
    <col min="11762" max="11763" width="4.5703125" style="563" customWidth="1"/>
    <col min="11764" max="11764" width="4" style="563" customWidth="1"/>
    <col min="11765" max="11766" width="4.42578125" style="563" customWidth="1"/>
    <col min="11767" max="11767" width="3.5703125" style="563" customWidth="1"/>
    <col min="11768" max="11768" width="4.42578125" style="563" customWidth="1"/>
    <col min="11769" max="11769" width="5.5703125" style="563" customWidth="1"/>
    <col min="11770" max="11770" width="3.5703125" style="563" customWidth="1"/>
    <col min="11771" max="11771" width="4" style="563" customWidth="1"/>
    <col min="11772" max="11772" width="4.5703125" style="563" customWidth="1"/>
    <col min="11773" max="11775" width="4.42578125" style="563" customWidth="1"/>
    <col min="11776" max="11777" width="4.5703125" style="563" customWidth="1"/>
    <col min="11778" max="11778" width="4" style="563" customWidth="1"/>
    <col min="11779" max="11779" width="4.5703125" style="563" customWidth="1"/>
    <col min="11780" max="11780" width="6" style="563" customWidth="1"/>
    <col min="11781" max="11781" width="8.5703125" style="563" customWidth="1"/>
    <col min="11782" max="12001" width="11.42578125" style="563"/>
    <col min="12002" max="12002" width="6.42578125" style="563" customWidth="1"/>
    <col min="12003" max="12003" width="47.5703125" style="563" customWidth="1"/>
    <col min="12004" max="12005" width="5" style="563" customWidth="1"/>
    <col min="12006" max="12006" width="5.42578125" style="563" customWidth="1"/>
    <col min="12007" max="12007" width="4.5703125" style="563" customWidth="1"/>
    <col min="12008" max="12009" width="4.42578125" style="563" customWidth="1"/>
    <col min="12010" max="12010" width="3.5703125" style="563" customWidth="1"/>
    <col min="12011" max="12011" width="5" style="563" customWidth="1"/>
    <col min="12012" max="12012" width="4" style="563" customWidth="1"/>
    <col min="12013" max="12014" width="4.5703125" style="563" customWidth="1"/>
    <col min="12015" max="12015" width="4.42578125" style="563" customWidth="1"/>
    <col min="12016" max="12016" width="4" style="563" customWidth="1"/>
    <col min="12017" max="12017" width="3.5703125" style="563" customWidth="1"/>
    <col min="12018" max="12019" width="4.5703125" style="563" customWidth="1"/>
    <col min="12020" max="12020" width="4" style="563" customWidth="1"/>
    <col min="12021" max="12022" width="4.42578125" style="563" customWidth="1"/>
    <col min="12023" max="12023" width="3.5703125" style="563" customWidth="1"/>
    <col min="12024" max="12024" width="4.42578125" style="563" customWidth="1"/>
    <col min="12025" max="12025" width="5.5703125" style="563" customWidth="1"/>
    <col min="12026" max="12026" width="3.5703125" style="563" customWidth="1"/>
    <col min="12027" max="12027" width="4" style="563" customWidth="1"/>
    <col min="12028" max="12028" width="4.5703125" style="563" customWidth="1"/>
    <col min="12029" max="12031" width="4.42578125" style="563" customWidth="1"/>
    <col min="12032" max="12033" width="4.5703125" style="563" customWidth="1"/>
    <col min="12034" max="12034" width="4" style="563" customWidth="1"/>
    <col min="12035" max="12035" width="4.5703125" style="563" customWidth="1"/>
    <col min="12036" max="12036" width="6" style="563" customWidth="1"/>
    <col min="12037" max="12037" width="8.5703125" style="563" customWidth="1"/>
    <col min="12038" max="12257" width="11.42578125" style="563"/>
    <col min="12258" max="12258" width="6.42578125" style="563" customWidth="1"/>
    <col min="12259" max="12259" width="47.5703125" style="563" customWidth="1"/>
    <col min="12260" max="12261" width="5" style="563" customWidth="1"/>
    <col min="12262" max="12262" width="5.42578125" style="563" customWidth="1"/>
    <col min="12263" max="12263" width="4.5703125" style="563" customWidth="1"/>
    <col min="12264" max="12265" width="4.42578125" style="563" customWidth="1"/>
    <col min="12266" max="12266" width="3.5703125" style="563" customWidth="1"/>
    <col min="12267" max="12267" width="5" style="563" customWidth="1"/>
    <col min="12268" max="12268" width="4" style="563" customWidth="1"/>
    <col min="12269" max="12270" width="4.5703125" style="563" customWidth="1"/>
    <col min="12271" max="12271" width="4.42578125" style="563" customWidth="1"/>
    <col min="12272" max="12272" width="4" style="563" customWidth="1"/>
    <col min="12273" max="12273" width="3.5703125" style="563" customWidth="1"/>
    <col min="12274" max="12275" width="4.5703125" style="563" customWidth="1"/>
    <col min="12276" max="12276" width="4" style="563" customWidth="1"/>
    <col min="12277" max="12278" width="4.42578125" style="563" customWidth="1"/>
    <col min="12279" max="12279" width="3.5703125" style="563" customWidth="1"/>
    <col min="12280" max="12280" width="4.42578125" style="563" customWidth="1"/>
    <col min="12281" max="12281" width="5.5703125" style="563" customWidth="1"/>
    <col min="12282" max="12282" width="3.5703125" style="563" customWidth="1"/>
    <col min="12283" max="12283" width="4" style="563" customWidth="1"/>
    <col min="12284" max="12284" width="4.5703125" style="563" customWidth="1"/>
    <col min="12285" max="12287" width="4.42578125" style="563" customWidth="1"/>
    <col min="12288" max="12289" width="4.5703125" style="563" customWidth="1"/>
    <col min="12290" max="12290" width="4" style="563" customWidth="1"/>
    <col min="12291" max="12291" width="4.5703125" style="563" customWidth="1"/>
    <col min="12292" max="12292" width="6" style="563" customWidth="1"/>
    <col min="12293" max="12293" width="8.5703125" style="563" customWidth="1"/>
    <col min="12294" max="12513" width="11.42578125" style="563"/>
    <col min="12514" max="12514" width="6.42578125" style="563" customWidth="1"/>
    <col min="12515" max="12515" width="47.5703125" style="563" customWidth="1"/>
    <col min="12516" max="12517" width="5" style="563" customWidth="1"/>
    <col min="12518" max="12518" width="5.42578125" style="563" customWidth="1"/>
    <col min="12519" max="12519" width="4.5703125" style="563" customWidth="1"/>
    <col min="12520" max="12521" width="4.42578125" style="563" customWidth="1"/>
    <col min="12522" max="12522" width="3.5703125" style="563" customWidth="1"/>
    <col min="12523" max="12523" width="5" style="563" customWidth="1"/>
    <col min="12524" max="12524" width="4" style="563" customWidth="1"/>
    <col min="12525" max="12526" width="4.5703125" style="563" customWidth="1"/>
    <col min="12527" max="12527" width="4.42578125" style="563" customWidth="1"/>
    <col min="12528" max="12528" width="4" style="563" customWidth="1"/>
    <col min="12529" max="12529" width="3.5703125" style="563" customWidth="1"/>
    <col min="12530" max="12531" width="4.5703125" style="563" customWidth="1"/>
    <col min="12532" max="12532" width="4" style="563" customWidth="1"/>
    <col min="12533" max="12534" width="4.42578125" style="563" customWidth="1"/>
    <col min="12535" max="12535" width="3.5703125" style="563" customWidth="1"/>
    <col min="12536" max="12536" width="4.42578125" style="563" customWidth="1"/>
    <col min="12537" max="12537" width="5.5703125" style="563" customWidth="1"/>
    <col min="12538" max="12538" width="3.5703125" style="563" customWidth="1"/>
    <col min="12539" max="12539" width="4" style="563" customWidth="1"/>
    <col min="12540" max="12540" width="4.5703125" style="563" customWidth="1"/>
    <col min="12541" max="12543" width="4.42578125" style="563" customWidth="1"/>
    <col min="12544" max="12545" width="4.5703125" style="563" customWidth="1"/>
    <col min="12546" max="12546" width="4" style="563" customWidth="1"/>
    <col min="12547" max="12547" width="4.5703125" style="563" customWidth="1"/>
    <col min="12548" max="12548" width="6" style="563" customWidth="1"/>
    <col min="12549" max="12549" width="8.5703125" style="563" customWidth="1"/>
    <col min="12550" max="12769" width="11.42578125" style="563"/>
    <col min="12770" max="12770" width="6.42578125" style="563" customWidth="1"/>
    <col min="12771" max="12771" width="47.5703125" style="563" customWidth="1"/>
    <col min="12772" max="12773" width="5" style="563" customWidth="1"/>
    <col min="12774" max="12774" width="5.42578125" style="563" customWidth="1"/>
    <col min="12775" max="12775" width="4.5703125" style="563" customWidth="1"/>
    <col min="12776" max="12777" width="4.42578125" style="563" customWidth="1"/>
    <col min="12778" max="12778" width="3.5703125" style="563" customWidth="1"/>
    <col min="12779" max="12779" width="5" style="563" customWidth="1"/>
    <col min="12780" max="12780" width="4" style="563" customWidth="1"/>
    <col min="12781" max="12782" width="4.5703125" style="563" customWidth="1"/>
    <col min="12783" max="12783" width="4.42578125" style="563" customWidth="1"/>
    <col min="12784" max="12784" width="4" style="563" customWidth="1"/>
    <col min="12785" max="12785" width="3.5703125" style="563" customWidth="1"/>
    <col min="12786" max="12787" width="4.5703125" style="563" customWidth="1"/>
    <col min="12788" max="12788" width="4" style="563" customWidth="1"/>
    <col min="12789" max="12790" width="4.42578125" style="563" customWidth="1"/>
    <col min="12791" max="12791" width="3.5703125" style="563" customWidth="1"/>
    <col min="12792" max="12792" width="4.42578125" style="563" customWidth="1"/>
    <col min="12793" max="12793" width="5.5703125" style="563" customWidth="1"/>
    <col min="12794" max="12794" width="3.5703125" style="563" customWidth="1"/>
    <col min="12795" max="12795" width="4" style="563" customWidth="1"/>
    <col min="12796" max="12796" width="4.5703125" style="563" customWidth="1"/>
    <col min="12797" max="12799" width="4.42578125" style="563" customWidth="1"/>
    <col min="12800" max="12801" width="4.5703125" style="563" customWidth="1"/>
    <col min="12802" max="12802" width="4" style="563" customWidth="1"/>
    <col min="12803" max="12803" width="4.5703125" style="563" customWidth="1"/>
    <col min="12804" max="12804" width="6" style="563" customWidth="1"/>
    <col min="12805" max="12805" width="8.5703125" style="563" customWidth="1"/>
    <col min="12806" max="13025" width="11.42578125" style="563"/>
    <col min="13026" max="13026" width="6.42578125" style="563" customWidth="1"/>
    <col min="13027" max="13027" width="47.5703125" style="563" customWidth="1"/>
    <col min="13028" max="13029" width="5" style="563" customWidth="1"/>
    <col min="13030" max="13030" width="5.42578125" style="563" customWidth="1"/>
    <col min="13031" max="13031" width="4.5703125" style="563" customWidth="1"/>
    <col min="13032" max="13033" width="4.42578125" style="563" customWidth="1"/>
    <col min="13034" max="13034" width="3.5703125" style="563" customWidth="1"/>
    <col min="13035" max="13035" width="5" style="563" customWidth="1"/>
    <col min="13036" max="13036" width="4" style="563" customWidth="1"/>
    <col min="13037" max="13038" width="4.5703125" style="563" customWidth="1"/>
    <col min="13039" max="13039" width="4.42578125" style="563" customWidth="1"/>
    <col min="13040" max="13040" width="4" style="563" customWidth="1"/>
    <col min="13041" max="13041" width="3.5703125" style="563" customWidth="1"/>
    <col min="13042" max="13043" width="4.5703125" style="563" customWidth="1"/>
    <col min="13044" max="13044" width="4" style="563" customWidth="1"/>
    <col min="13045" max="13046" width="4.42578125" style="563" customWidth="1"/>
    <col min="13047" max="13047" width="3.5703125" style="563" customWidth="1"/>
    <col min="13048" max="13048" width="4.42578125" style="563" customWidth="1"/>
    <col min="13049" max="13049" width="5.5703125" style="563" customWidth="1"/>
    <col min="13050" max="13050" width="3.5703125" style="563" customWidth="1"/>
    <col min="13051" max="13051" width="4" style="563" customWidth="1"/>
    <col min="13052" max="13052" width="4.5703125" style="563" customWidth="1"/>
    <col min="13053" max="13055" width="4.42578125" style="563" customWidth="1"/>
    <col min="13056" max="13057" width="4.5703125" style="563" customWidth="1"/>
    <col min="13058" max="13058" width="4" style="563" customWidth="1"/>
    <col min="13059" max="13059" width="4.5703125" style="563" customWidth="1"/>
    <col min="13060" max="13060" width="6" style="563" customWidth="1"/>
    <col min="13061" max="13061" width="8.5703125" style="563" customWidth="1"/>
    <col min="13062" max="13281" width="11.42578125" style="563"/>
    <col min="13282" max="13282" width="6.42578125" style="563" customWidth="1"/>
    <col min="13283" max="13283" width="47.5703125" style="563" customWidth="1"/>
    <col min="13284" max="13285" width="5" style="563" customWidth="1"/>
    <col min="13286" max="13286" width="5.42578125" style="563" customWidth="1"/>
    <col min="13287" max="13287" width="4.5703125" style="563" customWidth="1"/>
    <col min="13288" max="13289" width="4.42578125" style="563" customWidth="1"/>
    <col min="13290" max="13290" width="3.5703125" style="563" customWidth="1"/>
    <col min="13291" max="13291" width="5" style="563" customWidth="1"/>
    <col min="13292" max="13292" width="4" style="563" customWidth="1"/>
    <col min="13293" max="13294" width="4.5703125" style="563" customWidth="1"/>
    <col min="13295" max="13295" width="4.42578125" style="563" customWidth="1"/>
    <col min="13296" max="13296" width="4" style="563" customWidth="1"/>
    <col min="13297" max="13297" width="3.5703125" style="563" customWidth="1"/>
    <col min="13298" max="13299" width="4.5703125" style="563" customWidth="1"/>
    <col min="13300" max="13300" width="4" style="563" customWidth="1"/>
    <col min="13301" max="13302" width="4.42578125" style="563" customWidth="1"/>
    <col min="13303" max="13303" width="3.5703125" style="563" customWidth="1"/>
    <col min="13304" max="13304" width="4.42578125" style="563" customWidth="1"/>
    <col min="13305" max="13305" width="5.5703125" style="563" customWidth="1"/>
    <col min="13306" max="13306" width="3.5703125" style="563" customWidth="1"/>
    <col min="13307" max="13307" width="4" style="563" customWidth="1"/>
    <col min="13308" max="13308" width="4.5703125" style="563" customWidth="1"/>
    <col min="13309" max="13311" width="4.42578125" style="563" customWidth="1"/>
    <col min="13312" max="13313" width="4.5703125" style="563" customWidth="1"/>
    <col min="13314" max="13314" width="4" style="563" customWidth="1"/>
    <col min="13315" max="13315" width="4.5703125" style="563" customWidth="1"/>
    <col min="13316" max="13316" width="6" style="563" customWidth="1"/>
    <col min="13317" max="13317" width="8.5703125" style="563" customWidth="1"/>
    <col min="13318" max="13537" width="11.42578125" style="563"/>
    <col min="13538" max="13538" width="6.42578125" style="563" customWidth="1"/>
    <col min="13539" max="13539" width="47.5703125" style="563" customWidth="1"/>
    <col min="13540" max="13541" width="5" style="563" customWidth="1"/>
    <col min="13542" max="13542" width="5.42578125" style="563" customWidth="1"/>
    <col min="13543" max="13543" width="4.5703125" style="563" customWidth="1"/>
    <col min="13544" max="13545" width="4.42578125" style="563" customWidth="1"/>
    <col min="13546" max="13546" width="3.5703125" style="563" customWidth="1"/>
    <col min="13547" max="13547" width="5" style="563" customWidth="1"/>
    <col min="13548" max="13548" width="4" style="563" customWidth="1"/>
    <col min="13549" max="13550" width="4.5703125" style="563" customWidth="1"/>
    <col min="13551" max="13551" width="4.42578125" style="563" customWidth="1"/>
    <col min="13552" max="13552" width="4" style="563" customWidth="1"/>
    <col min="13553" max="13553" width="3.5703125" style="563" customWidth="1"/>
    <col min="13554" max="13555" width="4.5703125" style="563" customWidth="1"/>
    <col min="13556" max="13556" width="4" style="563" customWidth="1"/>
    <col min="13557" max="13558" width="4.42578125" style="563" customWidth="1"/>
    <col min="13559" max="13559" width="3.5703125" style="563" customWidth="1"/>
    <col min="13560" max="13560" width="4.42578125" style="563" customWidth="1"/>
    <col min="13561" max="13561" width="5.5703125" style="563" customWidth="1"/>
    <col min="13562" max="13562" width="3.5703125" style="563" customWidth="1"/>
    <col min="13563" max="13563" width="4" style="563" customWidth="1"/>
    <col min="13564" max="13564" width="4.5703125" style="563" customWidth="1"/>
    <col min="13565" max="13567" width="4.42578125" style="563" customWidth="1"/>
    <col min="13568" max="13569" width="4.5703125" style="563" customWidth="1"/>
    <col min="13570" max="13570" width="4" style="563" customWidth="1"/>
    <col min="13571" max="13571" width="4.5703125" style="563" customWidth="1"/>
    <col min="13572" max="13572" width="6" style="563" customWidth="1"/>
    <col min="13573" max="13573" width="8.5703125" style="563" customWidth="1"/>
    <col min="13574" max="13793" width="11.42578125" style="563"/>
    <col min="13794" max="13794" width="6.42578125" style="563" customWidth="1"/>
    <col min="13795" max="13795" width="47.5703125" style="563" customWidth="1"/>
    <col min="13796" max="13797" width="5" style="563" customWidth="1"/>
    <col min="13798" max="13798" width="5.42578125" style="563" customWidth="1"/>
    <col min="13799" max="13799" width="4.5703125" style="563" customWidth="1"/>
    <col min="13800" max="13801" width="4.42578125" style="563" customWidth="1"/>
    <col min="13802" max="13802" width="3.5703125" style="563" customWidth="1"/>
    <col min="13803" max="13803" width="5" style="563" customWidth="1"/>
    <col min="13804" max="13804" width="4" style="563" customWidth="1"/>
    <col min="13805" max="13806" width="4.5703125" style="563" customWidth="1"/>
    <col min="13807" max="13807" width="4.42578125" style="563" customWidth="1"/>
    <col min="13808" max="13808" width="4" style="563" customWidth="1"/>
    <col min="13809" max="13809" width="3.5703125" style="563" customWidth="1"/>
    <col min="13810" max="13811" width="4.5703125" style="563" customWidth="1"/>
    <col min="13812" max="13812" width="4" style="563" customWidth="1"/>
    <col min="13813" max="13814" width="4.42578125" style="563" customWidth="1"/>
    <col min="13815" max="13815" width="3.5703125" style="563" customWidth="1"/>
    <col min="13816" max="13816" width="4.42578125" style="563" customWidth="1"/>
    <col min="13817" max="13817" width="5.5703125" style="563" customWidth="1"/>
    <col min="13818" max="13818" width="3.5703125" style="563" customWidth="1"/>
    <col min="13819" max="13819" width="4" style="563" customWidth="1"/>
    <col min="13820" max="13820" width="4.5703125" style="563" customWidth="1"/>
    <col min="13821" max="13823" width="4.42578125" style="563" customWidth="1"/>
    <col min="13824" max="13825" width="4.5703125" style="563" customWidth="1"/>
    <col min="13826" max="13826" width="4" style="563" customWidth="1"/>
    <col min="13827" max="13827" width="4.5703125" style="563" customWidth="1"/>
    <col min="13828" max="13828" width="6" style="563" customWidth="1"/>
    <col min="13829" max="13829" width="8.5703125" style="563" customWidth="1"/>
    <col min="13830" max="14049" width="11.42578125" style="563"/>
    <col min="14050" max="14050" width="6.42578125" style="563" customWidth="1"/>
    <col min="14051" max="14051" width="47.5703125" style="563" customWidth="1"/>
    <col min="14052" max="14053" width="5" style="563" customWidth="1"/>
    <col min="14054" max="14054" width="5.42578125" style="563" customWidth="1"/>
    <col min="14055" max="14055" width="4.5703125" style="563" customWidth="1"/>
    <col min="14056" max="14057" width="4.42578125" style="563" customWidth="1"/>
    <col min="14058" max="14058" width="3.5703125" style="563" customWidth="1"/>
    <col min="14059" max="14059" width="5" style="563" customWidth="1"/>
    <col min="14060" max="14060" width="4" style="563" customWidth="1"/>
    <col min="14061" max="14062" width="4.5703125" style="563" customWidth="1"/>
    <col min="14063" max="14063" width="4.42578125" style="563" customWidth="1"/>
    <col min="14064" max="14064" width="4" style="563" customWidth="1"/>
    <col min="14065" max="14065" width="3.5703125" style="563" customWidth="1"/>
    <col min="14066" max="14067" width="4.5703125" style="563" customWidth="1"/>
    <col min="14068" max="14068" width="4" style="563" customWidth="1"/>
    <col min="14069" max="14070" width="4.42578125" style="563" customWidth="1"/>
    <col min="14071" max="14071" width="3.5703125" style="563" customWidth="1"/>
    <col min="14072" max="14072" width="4.42578125" style="563" customWidth="1"/>
    <col min="14073" max="14073" width="5.5703125" style="563" customWidth="1"/>
    <col min="14074" max="14074" width="3.5703125" style="563" customWidth="1"/>
    <col min="14075" max="14075" width="4" style="563" customWidth="1"/>
    <col min="14076" max="14076" width="4.5703125" style="563" customWidth="1"/>
    <col min="14077" max="14079" width="4.42578125" style="563" customWidth="1"/>
    <col min="14080" max="14081" width="4.5703125" style="563" customWidth="1"/>
    <col min="14082" max="14082" width="4" style="563" customWidth="1"/>
    <col min="14083" max="14083" width="4.5703125" style="563" customWidth="1"/>
    <col min="14084" max="14084" width="6" style="563" customWidth="1"/>
    <col min="14085" max="14085" width="8.5703125" style="563" customWidth="1"/>
    <col min="14086" max="14305" width="11.42578125" style="563"/>
    <col min="14306" max="14306" width="6.42578125" style="563" customWidth="1"/>
    <col min="14307" max="14307" width="47.5703125" style="563" customWidth="1"/>
    <col min="14308" max="14309" width="5" style="563" customWidth="1"/>
    <col min="14310" max="14310" width="5.42578125" style="563" customWidth="1"/>
    <col min="14311" max="14311" width="4.5703125" style="563" customWidth="1"/>
    <col min="14312" max="14313" width="4.42578125" style="563" customWidth="1"/>
    <col min="14314" max="14314" width="3.5703125" style="563" customWidth="1"/>
    <col min="14315" max="14315" width="5" style="563" customWidth="1"/>
    <col min="14316" max="14316" width="4" style="563" customWidth="1"/>
    <col min="14317" max="14318" width="4.5703125" style="563" customWidth="1"/>
    <col min="14319" max="14319" width="4.42578125" style="563" customWidth="1"/>
    <col min="14320" max="14320" width="4" style="563" customWidth="1"/>
    <col min="14321" max="14321" width="3.5703125" style="563" customWidth="1"/>
    <col min="14322" max="14323" width="4.5703125" style="563" customWidth="1"/>
    <col min="14324" max="14324" width="4" style="563" customWidth="1"/>
    <col min="14325" max="14326" width="4.42578125" style="563" customWidth="1"/>
    <col min="14327" max="14327" width="3.5703125" style="563" customWidth="1"/>
    <col min="14328" max="14328" width="4.42578125" style="563" customWidth="1"/>
    <col min="14329" max="14329" width="5.5703125" style="563" customWidth="1"/>
    <col min="14330" max="14330" width="3.5703125" style="563" customWidth="1"/>
    <col min="14331" max="14331" width="4" style="563" customWidth="1"/>
    <col min="14332" max="14332" width="4.5703125" style="563" customWidth="1"/>
    <col min="14333" max="14335" width="4.42578125" style="563" customWidth="1"/>
    <col min="14336" max="14337" width="4.5703125" style="563" customWidth="1"/>
    <col min="14338" max="14338" width="4" style="563" customWidth="1"/>
    <col min="14339" max="14339" width="4.5703125" style="563" customWidth="1"/>
    <col min="14340" max="14340" width="6" style="563" customWidth="1"/>
    <col min="14341" max="14341" width="8.5703125" style="563" customWidth="1"/>
    <col min="14342" max="14561" width="11.42578125" style="563"/>
    <col min="14562" max="14562" width="6.42578125" style="563" customWidth="1"/>
    <col min="14563" max="14563" width="47.5703125" style="563" customWidth="1"/>
    <col min="14564" max="14565" width="5" style="563" customWidth="1"/>
    <col min="14566" max="14566" width="5.42578125" style="563" customWidth="1"/>
    <col min="14567" max="14567" width="4.5703125" style="563" customWidth="1"/>
    <col min="14568" max="14569" width="4.42578125" style="563" customWidth="1"/>
    <col min="14570" max="14570" width="3.5703125" style="563" customWidth="1"/>
    <col min="14571" max="14571" width="5" style="563" customWidth="1"/>
    <col min="14572" max="14572" width="4" style="563" customWidth="1"/>
    <col min="14573" max="14574" width="4.5703125" style="563" customWidth="1"/>
    <col min="14575" max="14575" width="4.42578125" style="563" customWidth="1"/>
    <col min="14576" max="14576" width="4" style="563" customWidth="1"/>
    <col min="14577" max="14577" width="3.5703125" style="563" customWidth="1"/>
    <col min="14578" max="14579" width="4.5703125" style="563" customWidth="1"/>
    <col min="14580" max="14580" width="4" style="563" customWidth="1"/>
    <col min="14581" max="14582" width="4.42578125" style="563" customWidth="1"/>
    <col min="14583" max="14583" width="3.5703125" style="563" customWidth="1"/>
    <col min="14584" max="14584" width="4.42578125" style="563" customWidth="1"/>
    <col min="14585" max="14585" width="5.5703125" style="563" customWidth="1"/>
    <col min="14586" max="14586" width="3.5703125" style="563" customWidth="1"/>
    <col min="14587" max="14587" width="4" style="563" customWidth="1"/>
    <col min="14588" max="14588" width="4.5703125" style="563" customWidth="1"/>
    <col min="14589" max="14591" width="4.42578125" style="563" customWidth="1"/>
    <col min="14592" max="14593" width="4.5703125" style="563" customWidth="1"/>
    <col min="14594" max="14594" width="4" style="563" customWidth="1"/>
    <col min="14595" max="14595" width="4.5703125" style="563" customWidth="1"/>
    <col min="14596" max="14596" width="6" style="563" customWidth="1"/>
    <col min="14597" max="14597" width="8.5703125" style="563" customWidth="1"/>
    <col min="14598" max="14817" width="11.42578125" style="563"/>
    <col min="14818" max="14818" width="6.42578125" style="563" customWidth="1"/>
    <col min="14819" max="14819" width="47.5703125" style="563" customWidth="1"/>
    <col min="14820" max="14821" width="5" style="563" customWidth="1"/>
    <col min="14822" max="14822" width="5.42578125" style="563" customWidth="1"/>
    <col min="14823" max="14823" width="4.5703125" style="563" customWidth="1"/>
    <col min="14824" max="14825" width="4.42578125" style="563" customWidth="1"/>
    <col min="14826" max="14826" width="3.5703125" style="563" customWidth="1"/>
    <col min="14827" max="14827" width="5" style="563" customWidth="1"/>
    <col min="14828" max="14828" width="4" style="563" customWidth="1"/>
    <col min="14829" max="14830" width="4.5703125" style="563" customWidth="1"/>
    <col min="14831" max="14831" width="4.42578125" style="563" customWidth="1"/>
    <col min="14832" max="14832" width="4" style="563" customWidth="1"/>
    <col min="14833" max="14833" width="3.5703125" style="563" customWidth="1"/>
    <col min="14834" max="14835" width="4.5703125" style="563" customWidth="1"/>
    <col min="14836" max="14836" width="4" style="563" customWidth="1"/>
    <col min="14837" max="14838" width="4.42578125" style="563" customWidth="1"/>
    <col min="14839" max="14839" width="3.5703125" style="563" customWidth="1"/>
    <col min="14840" max="14840" width="4.42578125" style="563" customWidth="1"/>
    <col min="14841" max="14841" width="5.5703125" style="563" customWidth="1"/>
    <col min="14842" max="14842" width="3.5703125" style="563" customWidth="1"/>
    <col min="14843" max="14843" width="4" style="563" customWidth="1"/>
    <col min="14844" max="14844" width="4.5703125" style="563" customWidth="1"/>
    <col min="14845" max="14847" width="4.42578125" style="563" customWidth="1"/>
    <col min="14848" max="14849" width="4.5703125" style="563" customWidth="1"/>
    <col min="14850" max="14850" width="4" style="563" customWidth="1"/>
    <col min="14851" max="14851" width="4.5703125" style="563" customWidth="1"/>
    <col min="14852" max="14852" width="6" style="563" customWidth="1"/>
    <col min="14853" max="14853" width="8.5703125" style="563" customWidth="1"/>
    <col min="14854" max="15073" width="11.42578125" style="563"/>
    <col min="15074" max="15074" width="6.42578125" style="563" customWidth="1"/>
    <col min="15075" max="15075" width="47.5703125" style="563" customWidth="1"/>
    <col min="15076" max="15077" width="5" style="563" customWidth="1"/>
    <col min="15078" max="15078" width="5.42578125" style="563" customWidth="1"/>
    <col min="15079" max="15079" width="4.5703125" style="563" customWidth="1"/>
    <col min="15080" max="15081" width="4.42578125" style="563" customWidth="1"/>
    <col min="15082" max="15082" width="3.5703125" style="563" customWidth="1"/>
    <col min="15083" max="15083" width="5" style="563" customWidth="1"/>
    <col min="15084" max="15084" width="4" style="563" customWidth="1"/>
    <col min="15085" max="15086" width="4.5703125" style="563" customWidth="1"/>
    <col min="15087" max="15087" width="4.42578125" style="563" customWidth="1"/>
    <col min="15088" max="15088" width="4" style="563" customWidth="1"/>
    <col min="15089" max="15089" width="3.5703125" style="563" customWidth="1"/>
    <col min="15090" max="15091" width="4.5703125" style="563" customWidth="1"/>
    <col min="15092" max="15092" width="4" style="563" customWidth="1"/>
    <col min="15093" max="15094" width="4.42578125" style="563" customWidth="1"/>
    <col min="15095" max="15095" width="3.5703125" style="563" customWidth="1"/>
    <col min="15096" max="15096" width="4.42578125" style="563" customWidth="1"/>
    <col min="15097" max="15097" width="5.5703125" style="563" customWidth="1"/>
    <col min="15098" max="15098" width="3.5703125" style="563" customWidth="1"/>
    <col min="15099" max="15099" width="4" style="563" customWidth="1"/>
    <col min="15100" max="15100" width="4.5703125" style="563" customWidth="1"/>
    <col min="15101" max="15103" width="4.42578125" style="563" customWidth="1"/>
    <col min="15104" max="15105" width="4.5703125" style="563" customWidth="1"/>
    <col min="15106" max="15106" width="4" style="563" customWidth="1"/>
    <col min="15107" max="15107" width="4.5703125" style="563" customWidth="1"/>
    <col min="15108" max="15108" width="6" style="563" customWidth="1"/>
    <col min="15109" max="15109" width="8.5703125" style="563" customWidth="1"/>
    <col min="15110" max="15329" width="11.42578125" style="563"/>
    <col min="15330" max="15330" width="6.42578125" style="563" customWidth="1"/>
    <col min="15331" max="15331" width="47.5703125" style="563" customWidth="1"/>
    <col min="15332" max="15333" width="5" style="563" customWidth="1"/>
    <col min="15334" max="15334" width="5.42578125" style="563" customWidth="1"/>
    <col min="15335" max="15335" width="4.5703125" style="563" customWidth="1"/>
    <col min="15336" max="15337" width="4.42578125" style="563" customWidth="1"/>
    <col min="15338" max="15338" width="3.5703125" style="563" customWidth="1"/>
    <col min="15339" max="15339" width="5" style="563" customWidth="1"/>
    <col min="15340" max="15340" width="4" style="563" customWidth="1"/>
    <col min="15341" max="15342" width="4.5703125" style="563" customWidth="1"/>
    <col min="15343" max="15343" width="4.42578125" style="563" customWidth="1"/>
    <col min="15344" max="15344" width="4" style="563" customWidth="1"/>
    <col min="15345" max="15345" width="3.5703125" style="563" customWidth="1"/>
    <col min="15346" max="15347" width="4.5703125" style="563" customWidth="1"/>
    <col min="15348" max="15348" width="4" style="563" customWidth="1"/>
    <col min="15349" max="15350" width="4.42578125" style="563" customWidth="1"/>
    <col min="15351" max="15351" width="3.5703125" style="563" customWidth="1"/>
    <col min="15352" max="15352" width="4.42578125" style="563" customWidth="1"/>
    <col min="15353" max="15353" width="5.5703125" style="563" customWidth="1"/>
    <col min="15354" max="15354" width="3.5703125" style="563" customWidth="1"/>
    <col min="15355" max="15355" width="4" style="563" customWidth="1"/>
    <col min="15356" max="15356" width="4.5703125" style="563" customWidth="1"/>
    <col min="15357" max="15359" width="4.42578125" style="563" customWidth="1"/>
    <col min="15360" max="15361" width="4.5703125" style="563" customWidth="1"/>
    <col min="15362" max="15362" width="4" style="563" customWidth="1"/>
    <col min="15363" max="15363" width="4.5703125" style="563" customWidth="1"/>
    <col min="15364" max="15364" width="6" style="563" customWidth="1"/>
    <col min="15365" max="15365" width="8.5703125" style="563" customWidth="1"/>
    <col min="15366" max="15585" width="11.42578125" style="563"/>
    <col min="15586" max="15586" width="6.42578125" style="563" customWidth="1"/>
    <col min="15587" max="15587" width="47.5703125" style="563" customWidth="1"/>
    <col min="15588" max="15589" width="5" style="563" customWidth="1"/>
    <col min="15590" max="15590" width="5.42578125" style="563" customWidth="1"/>
    <col min="15591" max="15591" width="4.5703125" style="563" customWidth="1"/>
    <col min="15592" max="15593" width="4.42578125" style="563" customWidth="1"/>
    <col min="15594" max="15594" width="3.5703125" style="563" customWidth="1"/>
    <col min="15595" max="15595" width="5" style="563" customWidth="1"/>
    <col min="15596" max="15596" width="4" style="563" customWidth="1"/>
    <col min="15597" max="15598" width="4.5703125" style="563" customWidth="1"/>
    <col min="15599" max="15599" width="4.42578125" style="563" customWidth="1"/>
    <col min="15600" max="15600" width="4" style="563" customWidth="1"/>
    <col min="15601" max="15601" width="3.5703125" style="563" customWidth="1"/>
    <col min="15602" max="15603" width="4.5703125" style="563" customWidth="1"/>
    <col min="15604" max="15604" width="4" style="563" customWidth="1"/>
    <col min="15605" max="15606" width="4.42578125" style="563" customWidth="1"/>
    <col min="15607" max="15607" width="3.5703125" style="563" customWidth="1"/>
    <col min="15608" max="15608" width="4.42578125" style="563" customWidth="1"/>
    <col min="15609" max="15609" width="5.5703125" style="563" customWidth="1"/>
    <col min="15610" max="15610" width="3.5703125" style="563" customWidth="1"/>
    <col min="15611" max="15611" width="4" style="563" customWidth="1"/>
    <col min="15612" max="15612" width="4.5703125" style="563" customWidth="1"/>
    <col min="15613" max="15615" width="4.42578125" style="563" customWidth="1"/>
    <col min="15616" max="15617" width="4.5703125" style="563" customWidth="1"/>
    <col min="15618" max="15618" width="4" style="563" customWidth="1"/>
    <col min="15619" max="15619" width="4.5703125" style="563" customWidth="1"/>
    <col min="15620" max="15620" width="6" style="563" customWidth="1"/>
    <col min="15621" max="15621" width="8.5703125" style="563" customWidth="1"/>
    <col min="15622" max="15841" width="11.42578125" style="563"/>
    <col min="15842" max="15842" width="6.42578125" style="563" customWidth="1"/>
    <col min="15843" max="15843" width="47.5703125" style="563" customWidth="1"/>
    <col min="15844" max="15845" width="5" style="563" customWidth="1"/>
    <col min="15846" max="15846" width="5.42578125" style="563" customWidth="1"/>
    <col min="15847" max="15847" width="4.5703125" style="563" customWidth="1"/>
    <col min="15848" max="15849" width="4.42578125" style="563" customWidth="1"/>
    <col min="15850" max="15850" width="3.5703125" style="563" customWidth="1"/>
    <col min="15851" max="15851" width="5" style="563" customWidth="1"/>
    <col min="15852" max="15852" width="4" style="563" customWidth="1"/>
    <col min="15853" max="15854" width="4.5703125" style="563" customWidth="1"/>
    <col min="15855" max="15855" width="4.42578125" style="563" customWidth="1"/>
    <col min="15856" max="15856" width="4" style="563" customWidth="1"/>
    <col min="15857" max="15857" width="3.5703125" style="563" customWidth="1"/>
    <col min="15858" max="15859" width="4.5703125" style="563" customWidth="1"/>
    <col min="15860" max="15860" width="4" style="563" customWidth="1"/>
    <col min="15861" max="15862" width="4.42578125" style="563" customWidth="1"/>
    <col min="15863" max="15863" width="3.5703125" style="563" customWidth="1"/>
    <col min="15864" max="15864" width="4.42578125" style="563" customWidth="1"/>
    <col min="15865" max="15865" width="5.5703125" style="563" customWidth="1"/>
    <col min="15866" max="15866" width="3.5703125" style="563" customWidth="1"/>
    <col min="15867" max="15867" width="4" style="563" customWidth="1"/>
    <col min="15868" max="15868" width="4.5703125" style="563" customWidth="1"/>
    <col min="15869" max="15871" width="4.42578125" style="563" customWidth="1"/>
    <col min="15872" max="15873" width="4.5703125" style="563" customWidth="1"/>
    <col min="15874" max="15874" width="4" style="563" customWidth="1"/>
    <col min="15875" max="15875" width="4.5703125" style="563" customWidth="1"/>
    <col min="15876" max="15876" width="6" style="563" customWidth="1"/>
    <col min="15877" max="15877" width="8.5703125" style="563" customWidth="1"/>
    <col min="15878" max="16097" width="11.42578125" style="563"/>
    <col min="16098" max="16098" width="6.42578125" style="563" customWidth="1"/>
    <col min="16099" max="16099" width="47.5703125" style="563" customWidth="1"/>
    <col min="16100" max="16101" width="5" style="563" customWidth="1"/>
    <col min="16102" max="16102" width="5.42578125" style="563" customWidth="1"/>
    <col min="16103" max="16103" width="4.5703125" style="563" customWidth="1"/>
    <col min="16104" max="16105" width="4.42578125" style="563" customWidth="1"/>
    <col min="16106" max="16106" width="3.5703125" style="563" customWidth="1"/>
    <col min="16107" max="16107" width="5" style="563" customWidth="1"/>
    <col min="16108" max="16108" width="4" style="563" customWidth="1"/>
    <col min="16109" max="16110" width="4.5703125" style="563" customWidth="1"/>
    <col min="16111" max="16111" width="4.42578125" style="563" customWidth="1"/>
    <col min="16112" max="16112" width="4" style="563" customWidth="1"/>
    <col min="16113" max="16113" width="3.5703125" style="563" customWidth="1"/>
    <col min="16114" max="16115" width="4.5703125" style="563" customWidth="1"/>
    <col min="16116" max="16116" width="4" style="563" customWidth="1"/>
    <col min="16117" max="16118" width="4.42578125" style="563" customWidth="1"/>
    <col min="16119" max="16119" width="3.5703125" style="563" customWidth="1"/>
    <col min="16120" max="16120" width="4.42578125" style="563" customWidth="1"/>
    <col min="16121" max="16121" width="5.5703125" style="563" customWidth="1"/>
    <col min="16122" max="16122" width="3.5703125" style="563" customWidth="1"/>
    <col min="16123" max="16123" width="4" style="563" customWidth="1"/>
    <col min="16124" max="16124" width="4.5703125" style="563" customWidth="1"/>
    <col min="16125" max="16127" width="4.42578125" style="563" customWidth="1"/>
    <col min="16128" max="16129" width="4.5703125" style="563" customWidth="1"/>
    <col min="16130" max="16130" width="4" style="563" customWidth="1"/>
    <col min="16131" max="16131" width="4.5703125" style="563" customWidth="1"/>
    <col min="16132" max="16132" width="6" style="563" customWidth="1"/>
    <col min="16133" max="16133" width="8.5703125" style="563" customWidth="1"/>
    <col min="16134" max="16384" width="11.42578125" style="563"/>
  </cols>
  <sheetData>
    <row r="1" spans="1:9">
      <c r="A1" s="2571" t="s">
        <v>283</v>
      </c>
      <c r="B1" s="2571"/>
      <c r="C1" s="2571"/>
    </row>
    <row r="2" spans="1:9">
      <c r="A2" s="2572" t="s">
        <v>1801</v>
      </c>
      <c r="B2" s="2572"/>
      <c r="C2" s="2572"/>
    </row>
    <row r="3" spans="1:9">
      <c r="A3" s="621"/>
    </row>
    <row r="4" spans="1:9">
      <c r="A4" s="623"/>
      <c r="B4" s="2573" t="s">
        <v>1799</v>
      </c>
      <c r="C4" s="2573"/>
    </row>
    <row r="5" spans="1:9" ht="12.75" customHeight="1">
      <c r="A5" s="623"/>
      <c r="B5" s="2574" t="e">
        <v>#REF!</v>
      </c>
      <c r="C5" s="2575"/>
    </row>
    <row r="6" spans="1:9" ht="13.5" customHeight="1">
      <c r="B6" s="625"/>
      <c r="C6" s="567"/>
    </row>
    <row r="7" spans="1:9" ht="13.5" customHeight="1">
      <c r="B7" s="625"/>
      <c r="C7" s="567"/>
    </row>
    <row r="8" spans="1:9" ht="13.5" customHeight="1" thickBot="1">
      <c r="B8" s="625"/>
      <c r="C8" s="567"/>
      <c r="D8" s="1061"/>
    </row>
    <row r="9" spans="1:9" ht="13.5" thickBot="1">
      <c r="A9" s="2576" t="s">
        <v>285</v>
      </c>
      <c r="B9" s="2576" t="s">
        <v>20</v>
      </c>
      <c r="C9" s="568"/>
      <c r="D9" s="571" t="s">
        <v>358</v>
      </c>
      <c r="E9" s="756" t="s">
        <v>26</v>
      </c>
      <c r="F9" s="755" t="s">
        <v>1821</v>
      </c>
      <c r="G9" s="755" t="s">
        <v>1820</v>
      </c>
      <c r="H9" s="572" t="s">
        <v>25</v>
      </c>
      <c r="I9" s="563" t="s">
        <v>2</v>
      </c>
    </row>
    <row r="10" spans="1:9" ht="13.5" thickBot="1">
      <c r="A10" s="2577"/>
      <c r="B10" s="2577"/>
      <c r="C10" s="573" t="s">
        <v>286</v>
      </c>
      <c r="D10" s="1062" t="s">
        <v>287</v>
      </c>
      <c r="E10" s="752" t="s">
        <v>287</v>
      </c>
      <c r="F10" s="755"/>
      <c r="G10" s="755"/>
      <c r="H10" s="572"/>
    </row>
    <row r="11" spans="1:9" s="585" customFormat="1" ht="13.5" hidden="1" thickBot="1">
      <c r="A11" s="809" t="s">
        <v>33</v>
      </c>
      <c r="B11" s="810" t="s">
        <v>1131</v>
      </c>
      <c r="C11" s="631"/>
      <c r="D11" s="1055">
        <v>0</v>
      </c>
      <c r="E11" s="991"/>
      <c r="F11" s="587"/>
      <c r="G11" s="757"/>
      <c r="H11" s="754"/>
    </row>
    <row r="12" spans="1:9" s="566" customFormat="1" ht="13.5" hidden="1" thickBot="1">
      <c r="A12" s="610" t="s">
        <v>35</v>
      </c>
      <c r="B12" s="320" t="s">
        <v>1132</v>
      </c>
      <c r="C12" s="596"/>
      <c r="D12" s="1055">
        <v>0</v>
      </c>
      <c r="E12" s="991"/>
      <c r="F12" s="587"/>
      <c r="G12" s="756"/>
      <c r="H12" s="751"/>
    </row>
    <row r="13" spans="1:9" s="566" customFormat="1" ht="13.5" hidden="1" thickBot="1">
      <c r="A13" s="610" t="s">
        <v>536</v>
      </c>
      <c r="B13" s="325" t="s">
        <v>1133</v>
      </c>
      <c r="C13" s="1143" t="s">
        <v>64</v>
      </c>
      <c r="D13" s="1055">
        <v>0</v>
      </c>
      <c r="E13" s="991">
        <v>0</v>
      </c>
      <c r="F13" s="587">
        <v>0</v>
      </c>
      <c r="G13" s="756" t="s">
        <v>1454</v>
      </c>
      <c r="H13" s="753">
        <v>1</v>
      </c>
    </row>
    <row r="14" spans="1:9" s="566" customFormat="1" ht="13.5" hidden="1" thickBot="1">
      <c r="A14" s="610" t="s">
        <v>537</v>
      </c>
      <c r="B14" s="326" t="s">
        <v>1134</v>
      </c>
      <c r="C14" s="1143" t="s">
        <v>64</v>
      </c>
      <c r="D14" s="1055">
        <v>0</v>
      </c>
      <c r="E14" s="991">
        <v>0</v>
      </c>
      <c r="F14" s="587">
        <v>0</v>
      </c>
      <c r="G14" s="756" t="s">
        <v>1454</v>
      </c>
      <c r="H14" s="753">
        <v>1</v>
      </c>
    </row>
    <row r="15" spans="1:9" s="566" customFormat="1" ht="13.5" hidden="1" thickBot="1">
      <c r="A15" s="610" t="s">
        <v>538</v>
      </c>
      <c r="B15" s="325" t="s">
        <v>1135</v>
      </c>
      <c r="C15" s="596" t="s">
        <v>64</v>
      </c>
      <c r="D15" s="1055">
        <v>0</v>
      </c>
      <c r="E15" s="991">
        <v>0</v>
      </c>
      <c r="F15" s="587">
        <v>0</v>
      </c>
      <c r="G15" s="756" t="s">
        <v>1454</v>
      </c>
      <c r="H15" s="753">
        <v>1</v>
      </c>
    </row>
    <row r="16" spans="1:9" s="566" customFormat="1" ht="13.5" hidden="1" thickBot="1">
      <c r="A16" s="610" t="s">
        <v>539</v>
      </c>
      <c r="B16" s="326" t="s">
        <v>1136</v>
      </c>
      <c r="C16" s="1143" t="s">
        <v>64</v>
      </c>
      <c r="D16" s="1055">
        <v>0</v>
      </c>
      <c r="E16" s="991">
        <v>0</v>
      </c>
      <c r="F16" s="587">
        <v>0</v>
      </c>
      <c r="G16" s="756" t="s">
        <v>1454</v>
      </c>
      <c r="H16" s="753">
        <v>1</v>
      </c>
    </row>
    <row r="17" spans="1:14" s="566" customFormat="1" ht="13.5" hidden="1" thickBot="1">
      <c r="A17" s="610" t="s">
        <v>540</v>
      </c>
      <c r="B17" s="326" t="s">
        <v>1137</v>
      </c>
      <c r="C17" s="1143" t="s">
        <v>1449</v>
      </c>
      <c r="D17" s="1055">
        <v>0</v>
      </c>
      <c r="E17" s="991">
        <v>1</v>
      </c>
      <c r="F17" s="587">
        <v>1</v>
      </c>
      <c r="G17" s="747" t="s">
        <v>1454</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3.5" hidden="1" thickBot="1">
      <c r="A19" s="814" t="s">
        <v>542</v>
      </c>
      <c r="B19" s="743" t="s">
        <v>1139</v>
      </c>
      <c r="C19" s="744" t="s">
        <v>40</v>
      </c>
      <c r="D19" s="1055">
        <v>0</v>
      </c>
      <c r="E19" s="991">
        <v>963.6</v>
      </c>
      <c r="F19" s="587">
        <v>963.6</v>
      </c>
      <c r="G19" s="835" t="s">
        <v>1456</v>
      </c>
      <c r="H19" s="823">
        <v>60.399999999999977</v>
      </c>
      <c r="I19" s="921">
        <v>1024</v>
      </c>
      <c r="J19" s="835">
        <v>-416.4</v>
      </c>
      <c r="K19" s="835"/>
      <c r="L19" s="835"/>
      <c r="M19" s="835"/>
      <c r="N19" s="835"/>
    </row>
    <row r="20" spans="1:14" s="566" customFormat="1" ht="13.5" hidden="1" thickBot="1">
      <c r="A20" s="610" t="s">
        <v>543</v>
      </c>
      <c r="B20" s="616" t="s">
        <v>1140</v>
      </c>
      <c r="C20" s="536" t="s">
        <v>40</v>
      </c>
      <c r="D20" s="1055">
        <v>0</v>
      </c>
      <c r="E20" s="991">
        <v>0</v>
      </c>
      <c r="F20" s="587">
        <v>0</v>
      </c>
      <c r="G20" s="756" t="s">
        <v>1457</v>
      </c>
      <c r="H20" s="753">
        <v>759.49</v>
      </c>
      <c r="J20" s="584">
        <v>60.399999999999977</v>
      </c>
      <c r="K20" s="566">
        <v>-13.879999999999999</v>
      </c>
    </row>
    <row r="21" spans="1:14" s="566" customFormat="1" ht="13.5" hidden="1" thickBot="1">
      <c r="A21" s="498" t="s">
        <v>544</v>
      </c>
      <c r="B21" s="614" t="s">
        <v>1141</v>
      </c>
      <c r="C21" s="685"/>
      <c r="D21" s="1055">
        <v>0</v>
      </c>
      <c r="E21" s="991">
        <v>0</v>
      </c>
      <c r="F21" s="587">
        <v>0</v>
      </c>
      <c r="G21" s="756"/>
      <c r="H21" s="753">
        <v>0</v>
      </c>
    </row>
    <row r="22" spans="1:14" s="566" customFormat="1" ht="13.5" hidden="1" thickBot="1">
      <c r="A22" s="610" t="s">
        <v>545</v>
      </c>
      <c r="B22" s="610" t="s">
        <v>1141</v>
      </c>
      <c r="C22" s="536" t="s">
        <v>64</v>
      </c>
      <c r="D22" s="1055">
        <v>0</v>
      </c>
      <c r="E22" s="991">
        <v>0</v>
      </c>
      <c r="F22" s="587">
        <v>0</v>
      </c>
      <c r="G22" s="757" t="s">
        <v>1454</v>
      </c>
      <c r="H22" s="753">
        <v>1</v>
      </c>
    </row>
    <row r="23" spans="1:14" s="566" customFormat="1" ht="13.5" hidden="1" thickBot="1">
      <c r="A23" s="610" t="s">
        <v>546</v>
      </c>
      <c r="B23" s="616" t="s">
        <v>1143</v>
      </c>
      <c r="C23" s="536" t="s">
        <v>64</v>
      </c>
      <c r="D23" s="1055">
        <v>0</v>
      </c>
      <c r="E23" s="991">
        <v>0</v>
      </c>
      <c r="F23" s="587">
        <v>0</v>
      </c>
      <c r="G23" s="756" t="s">
        <v>1454</v>
      </c>
      <c r="H23" s="753">
        <v>1</v>
      </c>
    </row>
    <row r="24" spans="1:14" s="566" customFormat="1" ht="13.5" hidden="1" thickBot="1">
      <c r="A24" s="498" t="s">
        <v>547</v>
      </c>
      <c r="B24" s="614" t="s">
        <v>1144</v>
      </c>
      <c r="C24" s="685"/>
      <c r="D24" s="1055">
        <v>0</v>
      </c>
      <c r="E24" s="991">
        <v>0</v>
      </c>
      <c r="F24" s="587">
        <v>0</v>
      </c>
      <c r="G24" s="756"/>
      <c r="H24" s="753">
        <v>0</v>
      </c>
    </row>
    <row r="25" spans="1:14" s="566" customFormat="1" ht="13.5" hidden="1" thickBot="1">
      <c r="A25" s="610" t="s">
        <v>548</v>
      </c>
      <c r="B25" s="610" t="s">
        <v>1145</v>
      </c>
      <c r="C25" s="536" t="s">
        <v>37</v>
      </c>
      <c r="D25" s="1055">
        <v>0</v>
      </c>
      <c r="E25" s="991">
        <v>656.8</v>
      </c>
      <c r="F25" s="587">
        <v>656.8</v>
      </c>
      <c r="G25" s="756" t="s">
        <v>1455</v>
      </c>
      <c r="H25" s="753">
        <v>0</v>
      </c>
    </row>
    <row r="26" spans="1:14" s="566" customFormat="1" ht="13.5" hidden="1" thickBot="1">
      <c r="A26" s="610" t="s">
        <v>549</v>
      </c>
      <c r="B26" s="610" t="s">
        <v>1818</v>
      </c>
      <c r="C26" s="536" t="s">
        <v>37</v>
      </c>
      <c r="D26" s="1055">
        <v>0</v>
      </c>
      <c r="E26" s="991">
        <v>154.35</v>
      </c>
      <c r="F26" s="587">
        <v>154.35</v>
      </c>
      <c r="G26" s="756" t="s">
        <v>1455</v>
      </c>
      <c r="H26" s="753">
        <v>502.44999999999993</v>
      </c>
      <c r="J26" s="566">
        <v>4.0266666666666655</v>
      </c>
    </row>
    <row r="27" spans="1:14" s="585" customFormat="1" ht="13.5" hidden="1" thickBot="1">
      <c r="A27" s="498" t="s">
        <v>550</v>
      </c>
      <c r="B27" s="614" t="s">
        <v>1146</v>
      </c>
      <c r="C27" s="685"/>
      <c r="D27" s="1055">
        <v>0</v>
      </c>
      <c r="E27" s="991">
        <v>0</v>
      </c>
      <c r="F27" s="587">
        <v>0</v>
      </c>
      <c r="G27" s="756"/>
      <c r="H27" s="753">
        <v>0</v>
      </c>
    </row>
    <row r="28" spans="1:14" s="566" customFormat="1" ht="13.5" hidden="1" thickBot="1">
      <c r="A28" s="610" t="s">
        <v>551</v>
      </c>
      <c r="B28" s="616" t="s">
        <v>1147</v>
      </c>
      <c r="C28" s="536" t="s">
        <v>64</v>
      </c>
      <c r="D28" s="1055">
        <v>0</v>
      </c>
      <c r="E28" s="991">
        <v>0</v>
      </c>
      <c r="F28" s="587">
        <v>0</v>
      </c>
      <c r="G28" s="756" t="s">
        <v>1454</v>
      </c>
      <c r="H28" s="753">
        <v>1</v>
      </c>
    </row>
    <row r="29" spans="1:14" s="566" customFormat="1" ht="13.5" hidden="1" thickBot="1">
      <c r="A29" s="610" t="s">
        <v>552</v>
      </c>
      <c r="B29" s="616" t="s">
        <v>1148</v>
      </c>
      <c r="C29" s="536" t="s">
        <v>36</v>
      </c>
      <c r="D29" s="1055">
        <v>0</v>
      </c>
      <c r="E29" s="991">
        <v>0</v>
      </c>
      <c r="F29" s="587">
        <v>0</v>
      </c>
      <c r="G29" s="756" t="s">
        <v>1458</v>
      </c>
      <c r="H29" s="753">
        <v>30</v>
      </c>
    </row>
    <row r="30" spans="1:14" s="585" customFormat="1" ht="13.5" hidden="1" thickBot="1">
      <c r="A30" s="610" t="s">
        <v>553</v>
      </c>
      <c r="B30" s="616" t="s">
        <v>1149</v>
      </c>
      <c r="C30" s="536" t="s">
        <v>64</v>
      </c>
      <c r="D30" s="1055">
        <v>0</v>
      </c>
      <c r="E30" s="991">
        <v>0</v>
      </c>
      <c r="F30" s="587">
        <v>0</v>
      </c>
      <c r="G30" s="756" t="s">
        <v>1454</v>
      </c>
      <c r="H30" s="753">
        <v>1</v>
      </c>
    </row>
    <row r="31" spans="1:14" s="566" customFormat="1" ht="13.5" hidden="1" thickBot="1">
      <c r="A31" s="610" t="s">
        <v>554</v>
      </c>
      <c r="B31" s="616" t="s">
        <v>1150</v>
      </c>
      <c r="C31" s="536" t="s">
        <v>64</v>
      </c>
      <c r="D31" s="1055">
        <v>0</v>
      </c>
      <c r="E31" s="991">
        <v>0</v>
      </c>
      <c r="F31" s="587">
        <v>0</v>
      </c>
      <c r="G31" s="756" t="s">
        <v>1454</v>
      </c>
      <c r="H31" s="753">
        <v>1</v>
      </c>
    </row>
    <row r="32" spans="1:14" s="566" customFormat="1" ht="13.5" hidden="1" thickBot="1">
      <c r="A32" s="610" t="s">
        <v>555</v>
      </c>
      <c r="B32" s="616" t="s">
        <v>1151</v>
      </c>
      <c r="C32" s="536" t="s">
        <v>64</v>
      </c>
      <c r="D32" s="1055">
        <v>0</v>
      </c>
      <c r="E32" s="991">
        <v>0</v>
      </c>
      <c r="F32" s="587">
        <v>0</v>
      </c>
      <c r="G32" s="756" t="s">
        <v>1454</v>
      </c>
      <c r="H32" s="753">
        <v>1</v>
      </c>
    </row>
    <row r="33" spans="1:8" s="566" customFormat="1" ht="13.5" hidden="1" thickBot="1">
      <c r="A33" s="610" t="s">
        <v>556</v>
      </c>
      <c r="B33" s="616" t="s">
        <v>1152</v>
      </c>
      <c r="C33" s="536" t="s">
        <v>64</v>
      </c>
      <c r="D33" s="1055">
        <v>0</v>
      </c>
      <c r="E33" s="991">
        <v>0</v>
      </c>
      <c r="F33" s="587">
        <v>0</v>
      </c>
      <c r="G33" s="757" t="s">
        <v>1454</v>
      </c>
      <c r="H33" s="753">
        <v>1</v>
      </c>
    </row>
    <row r="34" spans="1:8" s="566" customFormat="1">
      <c r="A34" s="612" t="s">
        <v>42</v>
      </c>
      <c r="B34" s="612" t="s">
        <v>1153</v>
      </c>
      <c r="C34" s="685"/>
      <c r="D34" s="1055">
        <v>0</v>
      </c>
      <c r="E34" s="991">
        <v>0</v>
      </c>
      <c r="F34" s="587">
        <v>0</v>
      </c>
      <c r="G34" s="756"/>
      <c r="H34" s="753">
        <v>0</v>
      </c>
    </row>
    <row r="35" spans="1:8" s="585" customFormat="1">
      <c r="A35" s="498" t="s">
        <v>43</v>
      </c>
      <c r="B35" s="614" t="s">
        <v>1154</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557</v>
      </c>
      <c r="B37" s="610" t="s">
        <v>1155</v>
      </c>
      <c r="C37" s="536" t="s">
        <v>40</v>
      </c>
      <c r="D37" s="1055">
        <v>0</v>
      </c>
      <c r="E37" s="991"/>
      <c r="F37" s="587"/>
      <c r="G37" s="756"/>
      <c r="H37" s="753"/>
    </row>
    <row r="38" spans="1:8" s="585" customFormat="1" hidden="1">
      <c r="A38" s="610" t="s">
        <v>558</v>
      </c>
      <c r="B38" s="610" t="s">
        <v>1156</v>
      </c>
      <c r="C38" s="536" t="s">
        <v>40</v>
      </c>
      <c r="D38" s="1055">
        <v>0</v>
      </c>
      <c r="E38" s="991"/>
      <c r="F38" s="587"/>
      <c r="G38" s="756"/>
      <c r="H38" s="753"/>
    </row>
    <row r="39" spans="1:8" s="585" customFormat="1" hidden="1">
      <c r="A39" s="610" t="s">
        <v>559</v>
      </c>
      <c r="B39" s="610" t="s">
        <v>1157</v>
      </c>
      <c r="C39" s="536" t="s">
        <v>40</v>
      </c>
      <c r="D39" s="1055">
        <v>0</v>
      </c>
      <c r="E39" s="991"/>
      <c r="F39" s="587"/>
      <c r="G39" s="756"/>
      <c r="H39" s="753"/>
    </row>
    <row r="40" spans="1:8" s="566" customFormat="1" hidden="1">
      <c r="A40" s="610" t="s">
        <v>560</v>
      </c>
      <c r="B40" s="610" t="s">
        <v>1158</v>
      </c>
      <c r="C40" s="536" t="s">
        <v>37</v>
      </c>
      <c r="D40" s="1055">
        <v>0</v>
      </c>
      <c r="E40" s="991">
        <v>0</v>
      </c>
      <c r="F40" s="587">
        <v>0</v>
      </c>
      <c r="G40" s="756" t="s">
        <v>1462</v>
      </c>
      <c r="H40" s="753">
        <v>26.03</v>
      </c>
    </row>
    <row r="41" spans="1:8" s="566" customFormat="1" hidden="1">
      <c r="A41" s="610" t="s">
        <v>561</v>
      </c>
      <c r="B41" s="610" t="s">
        <v>1159</v>
      </c>
      <c r="C41" s="536" t="s">
        <v>40</v>
      </c>
      <c r="D41" s="1055">
        <v>0</v>
      </c>
      <c r="E41" s="991">
        <v>0</v>
      </c>
      <c r="F41" s="587">
        <v>0</v>
      </c>
      <c r="G41" s="757" t="s">
        <v>1463</v>
      </c>
      <c r="H41" s="753">
        <v>27.56</v>
      </c>
    </row>
    <row r="42" spans="1:8" s="566" customFormat="1" hidden="1">
      <c r="A42" s="610" t="s">
        <v>562</v>
      </c>
      <c r="B42" s="610" t="s">
        <v>1160</v>
      </c>
      <c r="C42" s="620" t="s">
        <v>40</v>
      </c>
      <c r="D42" s="1055">
        <v>0</v>
      </c>
      <c r="E42" s="991">
        <v>0</v>
      </c>
      <c r="F42" s="587">
        <v>0</v>
      </c>
      <c r="G42" s="756" t="s">
        <v>1463</v>
      </c>
      <c r="H42" s="753">
        <v>27.56</v>
      </c>
    </row>
    <row r="43" spans="1:8" s="566" customFormat="1" hidden="1">
      <c r="A43" s="613" t="s">
        <v>563</v>
      </c>
      <c r="B43" s="613" t="s">
        <v>1161</v>
      </c>
      <c r="C43" s="685"/>
      <c r="D43" s="1055">
        <v>0</v>
      </c>
      <c r="E43" s="991">
        <v>0</v>
      </c>
      <c r="F43" s="587">
        <v>0</v>
      </c>
      <c r="G43" s="756"/>
      <c r="H43" s="753">
        <v>0</v>
      </c>
    </row>
    <row r="44" spans="1:8" s="566" customFormat="1" hidden="1">
      <c r="A44" s="610" t="s">
        <v>564</v>
      </c>
      <c r="B44" s="610" t="s">
        <v>1162</v>
      </c>
      <c r="C44" s="536" t="s">
        <v>40</v>
      </c>
      <c r="D44" s="1055">
        <v>0</v>
      </c>
      <c r="E44" s="991">
        <v>0</v>
      </c>
      <c r="F44" s="587">
        <v>0</v>
      </c>
      <c r="G44" s="756" t="s">
        <v>1464</v>
      </c>
      <c r="H44" s="753">
        <v>7.7</v>
      </c>
    </row>
    <row r="45" spans="1:8" s="566" customFormat="1" hidden="1">
      <c r="A45" s="610" t="s">
        <v>565</v>
      </c>
      <c r="B45" s="610" t="s">
        <v>1163</v>
      </c>
      <c r="C45" s="536" t="s">
        <v>37</v>
      </c>
      <c r="D45" s="1055">
        <v>0</v>
      </c>
      <c r="E45" s="991">
        <v>0</v>
      </c>
      <c r="F45" s="587">
        <v>0</v>
      </c>
      <c r="G45" s="756" t="s">
        <v>1465</v>
      </c>
      <c r="H45" s="753">
        <v>13.46</v>
      </c>
    </row>
    <row r="46" spans="1:8" s="566" customFormat="1" hidden="1">
      <c r="A46" s="610" t="s">
        <v>566</v>
      </c>
      <c r="B46" s="610" t="s">
        <v>1164</v>
      </c>
      <c r="C46" s="536" t="s">
        <v>40</v>
      </c>
      <c r="D46" s="1055">
        <v>0</v>
      </c>
      <c r="E46" s="991">
        <v>0</v>
      </c>
      <c r="F46" s="587">
        <v>0</v>
      </c>
      <c r="G46" s="756" t="s">
        <v>1466</v>
      </c>
      <c r="H46" s="753">
        <v>2.97</v>
      </c>
    </row>
    <row r="47" spans="1:8" s="566" customFormat="1" hidden="1">
      <c r="A47" s="610" t="s">
        <v>567</v>
      </c>
      <c r="B47" s="610" t="s">
        <v>1165</v>
      </c>
      <c r="C47" s="536" t="s">
        <v>40</v>
      </c>
      <c r="D47" s="1055">
        <v>0</v>
      </c>
      <c r="E47" s="991">
        <v>0</v>
      </c>
      <c r="F47" s="587">
        <v>0</v>
      </c>
      <c r="G47" s="756" t="s">
        <v>1467</v>
      </c>
      <c r="H47" s="753">
        <v>0.84</v>
      </c>
    </row>
    <row r="48" spans="1:8" s="566" customFormat="1" hidden="1">
      <c r="A48" s="610" t="s">
        <v>568</v>
      </c>
      <c r="B48" s="610" t="s">
        <v>1166</v>
      </c>
      <c r="C48" s="536" t="s">
        <v>37</v>
      </c>
      <c r="D48" s="1055">
        <v>0</v>
      </c>
      <c r="E48" s="991">
        <v>0</v>
      </c>
      <c r="F48" s="587">
        <v>0</v>
      </c>
      <c r="G48" s="756" t="s">
        <v>1468</v>
      </c>
      <c r="H48" s="753">
        <v>23.65</v>
      </c>
    </row>
    <row r="49" spans="1:8" s="566" customFormat="1" hidden="1">
      <c r="A49" s="610" t="s">
        <v>569</v>
      </c>
      <c r="B49" s="610" t="s">
        <v>1167</v>
      </c>
      <c r="C49" s="536" t="s">
        <v>37</v>
      </c>
      <c r="D49" s="1055">
        <v>0</v>
      </c>
      <c r="E49" s="991">
        <v>0</v>
      </c>
      <c r="F49" s="587">
        <v>0</v>
      </c>
      <c r="G49" s="756" t="s">
        <v>1462</v>
      </c>
      <c r="H49" s="753">
        <v>26.03</v>
      </c>
    </row>
    <row r="50" spans="1:8" s="566" customFormat="1">
      <c r="A50" s="613" t="s">
        <v>570</v>
      </c>
      <c r="B50" s="613" t="s">
        <v>1168</v>
      </c>
      <c r="C50" s="685"/>
      <c r="D50" s="1055">
        <v>0</v>
      </c>
      <c r="E50" s="991">
        <v>0</v>
      </c>
      <c r="F50" s="587">
        <v>0</v>
      </c>
      <c r="G50" s="756"/>
      <c r="H50" s="753">
        <v>0</v>
      </c>
    </row>
    <row r="51" spans="1:8" s="566" customFormat="1" hidden="1">
      <c r="A51" s="610" t="s">
        <v>571</v>
      </c>
      <c r="B51" s="610" t="s">
        <v>1169</v>
      </c>
      <c r="C51" s="685"/>
      <c r="D51" s="1055">
        <v>0</v>
      </c>
      <c r="E51" s="991">
        <v>0</v>
      </c>
      <c r="F51" s="587">
        <v>0</v>
      </c>
      <c r="G51" s="756"/>
      <c r="H51" s="753">
        <v>0</v>
      </c>
    </row>
    <row r="52" spans="1:8" s="566" customFormat="1" hidden="1">
      <c r="A52" s="610" t="s">
        <v>572</v>
      </c>
      <c r="B52" s="610" t="s">
        <v>1170</v>
      </c>
      <c r="C52" s="536" t="s">
        <v>40</v>
      </c>
      <c r="D52" s="1055">
        <v>0</v>
      </c>
      <c r="E52" s="991">
        <v>0</v>
      </c>
      <c r="F52" s="587">
        <v>0</v>
      </c>
      <c r="G52" s="756" t="s">
        <v>1469</v>
      </c>
      <c r="H52" s="753">
        <v>4.6100000000000003</v>
      </c>
    </row>
    <row r="53" spans="1:8" s="566" customFormat="1" hidden="1">
      <c r="A53" s="610" t="s">
        <v>573</v>
      </c>
      <c r="B53" s="610" t="s">
        <v>1171</v>
      </c>
      <c r="C53" s="536" t="s">
        <v>48</v>
      </c>
      <c r="D53" s="1055">
        <v>0</v>
      </c>
      <c r="E53" s="991">
        <v>0</v>
      </c>
      <c r="F53" s="587">
        <v>0</v>
      </c>
      <c r="G53" s="756" t="s">
        <v>1470</v>
      </c>
      <c r="H53" s="753">
        <v>192.7</v>
      </c>
    </row>
    <row r="54" spans="1:8" s="566" customFormat="1" hidden="1">
      <c r="A54" s="610" t="s">
        <v>574</v>
      </c>
      <c r="B54" s="610" t="s">
        <v>1172</v>
      </c>
      <c r="C54" s="685"/>
      <c r="D54" s="1055">
        <v>0</v>
      </c>
      <c r="E54" s="991">
        <v>0</v>
      </c>
      <c r="F54" s="587">
        <v>0</v>
      </c>
      <c r="G54" s="756"/>
      <c r="H54" s="753">
        <v>0</v>
      </c>
    </row>
    <row r="55" spans="1:8" s="566" customFormat="1" hidden="1">
      <c r="A55" s="610" t="s">
        <v>575</v>
      </c>
      <c r="B55" s="610" t="s">
        <v>1173</v>
      </c>
      <c r="C55" s="536" t="s">
        <v>40</v>
      </c>
      <c r="D55" s="1055">
        <v>0</v>
      </c>
      <c r="E55" s="991">
        <v>0</v>
      </c>
      <c r="F55" s="587">
        <v>0</v>
      </c>
      <c r="G55" s="756" t="s">
        <v>1471</v>
      </c>
      <c r="H55" s="753">
        <v>1.93</v>
      </c>
    </row>
    <row r="56" spans="1:8" s="566" customFormat="1" hidden="1">
      <c r="A56" s="610" t="s">
        <v>576</v>
      </c>
      <c r="B56" s="610" t="s">
        <v>1174</v>
      </c>
      <c r="C56" s="536" t="s">
        <v>37</v>
      </c>
      <c r="D56" s="1055">
        <v>0</v>
      </c>
      <c r="E56" s="991">
        <v>0</v>
      </c>
      <c r="F56" s="587">
        <v>0</v>
      </c>
      <c r="G56" s="756" t="s">
        <v>1472</v>
      </c>
      <c r="H56" s="753">
        <v>15.42</v>
      </c>
    </row>
    <row r="57" spans="1:8" s="566" customFormat="1" hidden="1">
      <c r="A57" s="610" t="s">
        <v>577</v>
      </c>
      <c r="B57" s="610" t="s">
        <v>1175</v>
      </c>
      <c r="C57" s="536" t="s">
        <v>48</v>
      </c>
      <c r="D57" s="1055">
        <v>0</v>
      </c>
      <c r="E57" s="991">
        <v>0</v>
      </c>
      <c r="F57" s="587">
        <v>0</v>
      </c>
      <c r="G57" s="757" t="s">
        <v>1473</v>
      </c>
      <c r="H57" s="753">
        <v>275.55</v>
      </c>
    </row>
    <row r="58" spans="1:8" s="566" customFormat="1" hidden="1">
      <c r="A58" s="610" t="s">
        <v>578</v>
      </c>
      <c r="B58" s="610" t="s">
        <v>1176</v>
      </c>
      <c r="C58" s="685"/>
      <c r="D58" s="1055">
        <v>0</v>
      </c>
      <c r="E58" s="991">
        <v>0</v>
      </c>
      <c r="F58" s="587">
        <v>0</v>
      </c>
      <c r="G58" s="757"/>
      <c r="H58" s="753">
        <v>0</v>
      </c>
    </row>
    <row r="59" spans="1:8" s="566" customFormat="1" hidden="1">
      <c r="A59" s="610" t="s">
        <v>579</v>
      </c>
      <c r="B59" s="610" t="s">
        <v>1177</v>
      </c>
      <c r="C59" s="536" t="s">
        <v>40</v>
      </c>
      <c r="D59" s="1055">
        <v>0</v>
      </c>
      <c r="E59" s="991">
        <v>0</v>
      </c>
      <c r="F59" s="587">
        <v>0</v>
      </c>
      <c r="G59" s="756" t="s">
        <v>1474</v>
      </c>
      <c r="H59" s="753">
        <v>2.83</v>
      </c>
    </row>
    <row r="60" spans="1:8" s="566" customFormat="1" hidden="1">
      <c r="A60" s="610" t="s">
        <v>580</v>
      </c>
      <c r="B60" s="610" t="s">
        <v>1178</v>
      </c>
      <c r="C60" s="536" t="s">
        <v>37</v>
      </c>
      <c r="D60" s="1055">
        <v>0</v>
      </c>
      <c r="E60" s="991">
        <v>0</v>
      </c>
      <c r="F60" s="587">
        <v>0</v>
      </c>
      <c r="G60" s="756" t="s">
        <v>1475</v>
      </c>
      <c r="H60" s="753">
        <v>40.020000000000003</v>
      </c>
    </row>
    <row r="61" spans="1:8" s="566" customFormat="1" hidden="1">
      <c r="A61" s="610" t="s">
        <v>581</v>
      </c>
      <c r="B61" s="610" t="s">
        <v>1179</v>
      </c>
      <c r="C61" s="536" t="s">
        <v>48</v>
      </c>
      <c r="D61" s="1055">
        <v>0</v>
      </c>
      <c r="E61" s="991">
        <v>0</v>
      </c>
      <c r="F61" s="587">
        <v>0</v>
      </c>
      <c r="G61" s="756" t="s">
        <v>1476</v>
      </c>
      <c r="H61" s="753">
        <v>444.48</v>
      </c>
    </row>
    <row r="62" spans="1:8" s="566" customFormat="1">
      <c r="A62" s="610" t="s">
        <v>582</v>
      </c>
      <c r="B62" s="610" t="s">
        <v>1180</v>
      </c>
      <c r="C62" s="685"/>
      <c r="D62" s="1055">
        <v>0</v>
      </c>
      <c r="E62" s="991">
        <v>0</v>
      </c>
      <c r="F62" s="587">
        <v>0</v>
      </c>
      <c r="G62" s="756"/>
      <c r="H62" s="753">
        <v>0</v>
      </c>
    </row>
    <row r="63" spans="1:8" s="566" customFormat="1">
      <c r="A63" s="610" t="s">
        <v>583</v>
      </c>
      <c r="B63" s="610" t="s">
        <v>1181</v>
      </c>
      <c r="C63" s="536" t="s">
        <v>40</v>
      </c>
      <c r="D63" s="1101">
        <v>0.85</v>
      </c>
      <c r="E63" s="991">
        <v>0</v>
      </c>
      <c r="F63" s="587">
        <v>0.85</v>
      </c>
      <c r="G63" s="756" t="s">
        <v>1477</v>
      </c>
      <c r="H63" s="753">
        <v>0.64</v>
      </c>
    </row>
    <row r="64" spans="1:8" s="566" customFormat="1">
      <c r="A64" s="610" t="s">
        <v>584</v>
      </c>
      <c r="B64" s="610" t="s">
        <v>1182</v>
      </c>
      <c r="C64" s="620" t="s">
        <v>37</v>
      </c>
      <c r="D64" s="1101">
        <v>8.9600000000000009</v>
      </c>
      <c r="E64" s="991">
        <v>0</v>
      </c>
      <c r="F64" s="587">
        <v>8.9600000000000009</v>
      </c>
      <c r="G64" s="756" t="s">
        <v>1478</v>
      </c>
      <c r="H64" s="753">
        <v>10.75</v>
      </c>
    </row>
    <row r="65" spans="1:8" s="566" customFormat="1" hidden="1">
      <c r="A65" s="610" t="s">
        <v>585</v>
      </c>
      <c r="B65" s="610" t="s">
        <v>1183</v>
      </c>
      <c r="C65" s="536" t="s">
        <v>48</v>
      </c>
      <c r="D65" s="1055">
        <v>0</v>
      </c>
      <c r="E65" s="991">
        <v>0</v>
      </c>
      <c r="F65" s="587">
        <v>0</v>
      </c>
      <c r="G65" s="756" t="s">
        <v>1479</v>
      </c>
      <c r="H65" s="753">
        <v>659.98</v>
      </c>
    </row>
    <row r="66" spans="1:8" s="566" customFormat="1" hidden="1">
      <c r="A66" s="610" t="s">
        <v>586</v>
      </c>
      <c r="B66" s="610" t="s">
        <v>1184</v>
      </c>
      <c r="C66" s="685"/>
      <c r="D66" s="1055">
        <v>0</v>
      </c>
      <c r="E66" s="991">
        <v>0</v>
      </c>
      <c r="F66" s="587">
        <v>0</v>
      </c>
      <c r="G66" s="756"/>
      <c r="H66" s="753">
        <v>0</v>
      </c>
    </row>
    <row r="67" spans="1:8" s="566" customFormat="1" hidden="1">
      <c r="A67" s="610" t="s">
        <v>587</v>
      </c>
      <c r="B67" s="610" t="s">
        <v>1185</v>
      </c>
      <c r="C67" s="536" t="s">
        <v>40</v>
      </c>
      <c r="D67" s="1055">
        <v>0</v>
      </c>
      <c r="E67" s="991">
        <v>0</v>
      </c>
      <c r="F67" s="587">
        <v>0</v>
      </c>
      <c r="G67" s="756" t="s">
        <v>1480</v>
      </c>
      <c r="H67" s="753">
        <v>4.54</v>
      </c>
    </row>
    <row r="68" spans="1:8" s="566" customFormat="1" hidden="1">
      <c r="A68" s="610" t="s">
        <v>588</v>
      </c>
      <c r="B68" s="610" t="s">
        <v>1186</v>
      </c>
      <c r="C68" s="536" t="s">
        <v>37</v>
      </c>
      <c r="D68" s="1055">
        <v>0</v>
      </c>
      <c r="E68" s="991">
        <v>0</v>
      </c>
      <c r="F68" s="587">
        <v>0</v>
      </c>
      <c r="G68" s="756" t="s">
        <v>1481</v>
      </c>
      <c r="H68" s="753">
        <v>38.93</v>
      </c>
    </row>
    <row r="69" spans="1:8" s="566" customFormat="1" hidden="1">
      <c r="A69" s="610" t="s">
        <v>589</v>
      </c>
      <c r="B69" s="610" t="s">
        <v>1187</v>
      </c>
      <c r="C69" s="536" t="s">
        <v>48</v>
      </c>
      <c r="D69" s="1055">
        <v>0</v>
      </c>
      <c r="E69" s="991">
        <v>0</v>
      </c>
      <c r="F69" s="587">
        <v>0</v>
      </c>
      <c r="G69" s="756" t="s">
        <v>1482</v>
      </c>
      <c r="H69" s="753">
        <v>563.80999999999995</v>
      </c>
    </row>
    <row r="70" spans="1:8" s="566" customFormat="1" hidden="1">
      <c r="A70" s="610" t="s">
        <v>590</v>
      </c>
      <c r="B70" s="610" t="s">
        <v>1188</v>
      </c>
      <c r="C70" s="685"/>
      <c r="D70" s="1055">
        <v>0</v>
      </c>
      <c r="E70" s="991">
        <v>0</v>
      </c>
      <c r="F70" s="587">
        <v>0</v>
      </c>
      <c r="G70" s="757"/>
      <c r="H70" s="753">
        <v>0</v>
      </c>
    </row>
    <row r="71" spans="1:8" s="566" customFormat="1" hidden="1">
      <c r="A71" s="610" t="s">
        <v>591</v>
      </c>
      <c r="B71" s="610" t="s">
        <v>1189</v>
      </c>
      <c r="C71" s="536" t="s">
        <v>40</v>
      </c>
      <c r="D71" s="1055">
        <v>0</v>
      </c>
      <c r="E71" s="991">
        <v>0</v>
      </c>
      <c r="F71" s="587">
        <v>0</v>
      </c>
      <c r="G71" s="756" t="s">
        <v>1483</v>
      </c>
      <c r="H71" s="753">
        <v>3.65</v>
      </c>
    </row>
    <row r="72" spans="1:8" s="566" customFormat="1" hidden="1">
      <c r="A72" s="610" t="s">
        <v>592</v>
      </c>
      <c r="B72" s="610" t="s">
        <v>1190</v>
      </c>
      <c r="C72" s="536" t="s">
        <v>37</v>
      </c>
      <c r="D72" s="1055">
        <v>0</v>
      </c>
      <c r="E72" s="991">
        <v>0</v>
      </c>
      <c r="F72" s="587">
        <v>0</v>
      </c>
      <c r="G72" s="756" t="s">
        <v>1484</v>
      </c>
      <c r="H72" s="753">
        <v>41.77</v>
      </c>
    </row>
    <row r="73" spans="1:8" s="566" customFormat="1" hidden="1">
      <c r="A73" s="610" t="s">
        <v>593</v>
      </c>
      <c r="B73" s="610" t="s">
        <v>1191</v>
      </c>
      <c r="C73" s="536" t="s">
        <v>48</v>
      </c>
      <c r="D73" s="1055">
        <v>0</v>
      </c>
      <c r="E73" s="991">
        <v>0</v>
      </c>
      <c r="F73" s="587">
        <v>0</v>
      </c>
      <c r="G73" s="756" t="s">
        <v>1485</v>
      </c>
      <c r="H73" s="753">
        <v>298.24</v>
      </c>
    </row>
    <row r="74" spans="1:8" s="566" customFormat="1" hidden="1">
      <c r="A74" s="610" t="s">
        <v>594</v>
      </c>
      <c r="B74" s="610" t="s">
        <v>1192</v>
      </c>
      <c r="C74" s="620" t="s">
        <v>1449</v>
      </c>
      <c r="D74" s="1055">
        <v>0</v>
      </c>
      <c r="E74" s="991">
        <v>0</v>
      </c>
      <c r="F74" s="587">
        <v>0</v>
      </c>
      <c r="G74" s="756" t="s">
        <v>1486</v>
      </c>
      <c r="H74" s="753">
        <v>347.95</v>
      </c>
    </row>
    <row r="75" spans="1:8" s="566" customFormat="1" hidden="1">
      <c r="A75" s="610" t="s">
        <v>595</v>
      </c>
      <c r="B75" s="610" t="s">
        <v>1193</v>
      </c>
      <c r="C75" s="685"/>
      <c r="D75" s="1055">
        <v>0</v>
      </c>
      <c r="E75" s="991">
        <v>0</v>
      </c>
      <c r="F75" s="587">
        <v>0</v>
      </c>
      <c r="G75" s="756"/>
      <c r="H75" s="753">
        <v>0</v>
      </c>
    </row>
    <row r="76" spans="1:8" s="566" customFormat="1" hidden="1">
      <c r="A76" s="610" t="s">
        <v>596</v>
      </c>
      <c r="B76" s="610" t="s">
        <v>1194</v>
      </c>
      <c r="C76" s="536" t="s">
        <v>40</v>
      </c>
      <c r="D76" s="1055">
        <v>0</v>
      </c>
      <c r="E76" s="991">
        <v>0</v>
      </c>
      <c r="F76" s="587">
        <v>0</v>
      </c>
      <c r="G76" s="756" t="s">
        <v>1487</v>
      </c>
      <c r="H76" s="753">
        <v>1.2</v>
      </c>
    </row>
    <row r="77" spans="1:8" s="566" customFormat="1" hidden="1">
      <c r="A77" s="610" t="s">
        <v>597</v>
      </c>
      <c r="B77" s="610" t="s">
        <v>1195</v>
      </c>
      <c r="C77" s="536" t="s">
        <v>37</v>
      </c>
      <c r="D77" s="1055">
        <v>0</v>
      </c>
      <c r="E77" s="991">
        <v>0</v>
      </c>
      <c r="F77" s="587">
        <v>0</v>
      </c>
      <c r="G77" s="756" t="s">
        <v>1488</v>
      </c>
      <c r="H77" s="753">
        <v>16</v>
      </c>
    </row>
    <row r="78" spans="1:8" s="566" customFormat="1" hidden="1">
      <c r="A78" s="610" t="s">
        <v>598</v>
      </c>
      <c r="B78" s="610" t="s">
        <v>1196</v>
      </c>
      <c r="C78" s="536" t="s">
        <v>48</v>
      </c>
      <c r="D78" s="1055">
        <v>0</v>
      </c>
      <c r="E78" s="991">
        <v>0</v>
      </c>
      <c r="F78" s="587">
        <v>0</v>
      </c>
      <c r="G78" s="756" t="s">
        <v>1489</v>
      </c>
      <c r="H78" s="753">
        <v>124.05</v>
      </c>
    </row>
    <row r="79" spans="1:8" s="566" customFormat="1" hidden="1">
      <c r="A79" s="613" t="s">
        <v>599</v>
      </c>
      <c r="B79" s="613" t="s">
        <v>1197</v>
      </c>
      <c r="C79" s="685"/>
      <c r="D79" s="1055">
        <v>0</v>
      </c>
      <c r="E79" s="991">
        <v>0</v>
      </c>
      <c r="F79" s="587">
        <v>0</v>
      </c>
      <c r="G79" s="756"/>
      <c r="H79" s="753">
        <v>0</v>
      </c>
    </row>
    <row r="80" spans="1:8" s="566" customFormat="1" hidden="1">
      <c r="A80" s="610" t="s">
        <v>600</v>
      </c>
      <c r="B80" s="610" t="s">
        <v>1198</v>
      </c>
      <c r="C80" s="536" t="s">
        <v>38</v>
      </c>
      <c r="D80" s="1055">
        <v>0</v>
      </c>
      <c r="E80" s="991">
        <v>0</v>
      </c>
      <c r="F80" s="587">
        <v>0</v>
      </c>
      <c r="G80" s="756" t="s">
        <v>1490</v>
      </c>
      <c r="H80" s="753">
        <v>59.04</v>
      </c>
    </row>
    <row r="81" spans="1:8" s="566" customFormat="1" hidden="1">
      <c r="A81" s="613" t="s">
        <v>601</v>
      </c>
      <c r="B81" s="613" t="s">
        <v>1199</v>
      </c>
      <c r="C81" s="696"/>
      <c r="D81" s="1055">
        <v>0</v>
      </c>
      <c r="E81" s="991">
        <v>0</v>
      </c>
      <c r="F81" s="587">
        <v>0</v>
      </c>
      <c r="G81" s="756"/>
      <c r="H81" s="753">
        <v>0</v>
      </c>
    </row>
    <row r="82" spans="1:8" s="566" customFormat="1" hidden="1">
      <c r="A82" s="610" t="s">
        <v>602</v>
      </c>
      <c r="B82" s="610" t="s">
        <v>1200</v>
      </c>
      <c r="C82" s="536" t="s">
        <v>38</v>
      </c>
      <c r="D82" s="1055">
        <v>0</v>
      </c>
      <c r="E82" s="991">
        <v>0</v>
      </c>
      <c r="F82" s="587">
        <v>0</v>
      </c>
      <c r="G82" s="756" t="s">
        <v>1491</v>
      </c>
      <c r="H82" s="753">
        <v>100.3</v>
      </c>
    </row>
    <row r="83" spans="1:8" s="566" customFormat="1" hidden="1">
      <c r="A83" s="610" t="s">
        <v>603</v>
      </c>
      <c r="B83" s="610" t="s">
        <v>225</v>
      </c>
      <c r="C83" s="536" t="s">
        <v>1449</v>
      </c>
      <c r="D83" s="1055">
        <v>0</v>
      </c>
      <c r="E83" s="991">
        <v>0</v>
      </c>
      <c r="F83" s="587">
        <v>0</v>
      </c>
      <c r="G83" s="757" t="s">
        <v>1492</v>
      </c>
      <c r="H83" s="753">
        <v>15</v>
      </c>
    </row>
    <row r="84" spans="1:8" s="566" customFormat="1">
      <c r="A84" s="498" t="s">
        <v>44</v>
      </c>
      <c r="B84" s="614" t="s">
        <v>1201</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604</v>
      </c>
      <c r="B86" s="610" t="s">
        <v>1155</v>
      </c>
      <c r="C86" s="536" t="s">
        <v>40</v>
      </c>
      <c r="D86" s="1055">
        <v>0</v>
      </c>
      <c r="E86" s="991">
        <v>0</v>
      </c>
      <c r="F86" s="587">
        <v>0</v>
      </c>
      <c r="G86" s="756" t="s">
        <v>1493</v>
      </c>
      <c r="H86" s="753">
        <v>34.270000000000003</v>
      </c>
    </row>
    <row r="87" spans="1:8" s="566" customFormat="1" hidden="1">
      <c r="A87" s="610" t="s">
        <v>605</v>
      </c>
      <c r="B87" s="610" t="s">
        <v>1156</v>
      </c>
      <c r="C87" s="536" t="s">
        <v>40</v>
      </c>
      <c r="D87" s="1055">
        <v>0</v>
      </c>
      <c r="E87" s="991">
        <v>0</v>
      </c>
      <c r="F87" s="587">
        <v>0</v>
      </c>
      <c r="G87" s="756" t="s">
        <v>1494</v>
      </c>
      <c r="H87" s="753">
        <v>16.989999999999998</v>
      </c>
    </row>
    <row r="88" spans="1:8" s="566" customFormat="1" hidden="1">
      <c r="A88" s="610" t="s">
        <v>606</v>
      </c>
      <c r="B88" s="610" t="s">
        <v>1157</v>
      </c>
      <c r="C88" s="620" t="s">
        <v>40</v>
      </c>
      <c r="D88" s="1055">
        <v>0</v>
      </c>
      <c r="E88" s="991">
        <v>0</v>
      </c>
      <c r="F88" s="587">
        <v>0</v>
      </c>
      <c r="G88" s="756" t="s">
        <v>1495</v>
      </c>
      <c r="H88" s="753">
        <v>28.37</v>
      </c>
    </row>
    <row r="89" spans="1:8" s="566" customFormat="1" hidden="1">
      <c r="A89" s="610" t="s">
        <v>607</v>
      </c>
      <c r="B89" s="610" t="s">
        <v>1158</v>
      </c>
      <c r="C89" s="536" t="s">
        <v>37</v>
      </c>
      <c r="D89" s="1055">
        <v>0</v>
      </c>
      <c r="E89" s="991">
        <v>0</v>
      </c>
      <c r="F89" s="587">
        <v>0</v>
      </c>
      <c r="G89" s="756" t="s">
        <v>1496</v>
      </c>
      <c r="H89" s="753">
        <v>57.19</v>
      </c>
    </row>
    <row r="90" spans="1:8" s="566" customFormat="1" hidden="1">
      <c r="A90" s="610" t="s">
        <v>608</v>
      </c>
      <c r="B90" s="610" t="s">
        <v>1159</v>
      </c>
      <c r="C90" s="536" t="s">
        <v>40</v>
      </c>
      <c r="D90" s="1055">
        <v>0</v>
      </c>
      <c r="E90" s="991">
        <v>0</v>
      </c>
      <c r="F90" s="587">
        <v>0</v>
      </c>
      <c r="G90" s="756" t="s">
        <v>1497</v>
      </c>
      <c r="H90" s="753">
        <v>28.61</v>
      </c>
    </row>
    <row r="91" spans="1:8" s="566" customFormat="1" hidden="1">
      <c r="A91" s="610" t="s">
        <v>609</v>
      </c>
      <c r="B91" s="610" t="s">
        <v>1160</v>
      </c>
      <c r="C91" s="536" t="s">
        <v>40</v>
      </c>
      <c r="D91" s="1055">
        <v>0</v>
      </c>
      <c r="E91" s="991">
        <v>0</v>
      </c>
      <c r="F91" s="587">
        <v>0</v>
      </c>
      <c r="G91" s="756" t="s">
        <v>1497</v>
      </c>
      <c r="H91" s="753">
        <v>28.61</v>
      </c>
    </row>
    <row r="92" spans="1:8" s="566" customFormat="1" hidden="1">
      <c r="A92" s="613" t="s">
        <v>55</v>
      </c>
      <c r="B92" s="613" t="s">
        <v>1161</v>
      </c>
      <c r="C92" s="685"/>
      <c r="D92" s="1055">
        <v>0</v>
      </c>
      <c r="E92" s="991">
        <v>0</v>
      </c>
      <c r="F92" s="587">
        <v>0</v>
      </c>
      <c r="G92" s="756"/>
      <c r="H92" s="753">
        <v>0</v>
      </c>
    </row>
    <row r="93" spans="1:8" s="566" customFormat="1" hidden="1">
      <c r="A93" s="610" t="s">
        <v>610</v>
      </c>
      <c r="B93" s="610" t="s">
        <v>1202</v>
      </c>
      <c r="C93" s="536" t="s">
        <v>37</v>
      </c>
      <c r="D93" s="1055">
        <v>0</v>
      </c>
      <c r="E93" s="991">
        <v>0</v>
      </c>
      <c r="F93" s="587">
        <v>0</v>
      </c>
      <c r="G93" s="756" t="s">
        <v>1498</v>
      </c>
      <c r="H93" s="753">
        <v>26.55</v>
      </c>
    </row>
    <row r="94" spans="1:8" s="939" customFormat="1" hidden="1">
      <c r="A94" s="928" t="s">
        <v>611</v>
      </c>
      <c r="B94" s="928" t="s">
        <v>1203</v>
      </c>
      <c r="C94" s="929" t="s">
        <v>40</v>
      </c>
      <c r="D94" s="1055">
        <v>0</v>
      </c>
      <c r="E94" s="991">
        <v>0</v>
      </c>
      <c r="F94" s="587">
        <v>0</v>
      </c>
      <c r="G94" s="937" t="s">
        <v>1499</v>
      </c>
      <c r="H94" s="938">
        <v>12.87</v>
      </c>
    </row>
    <row r="95" spans="1:8" s="939" customFormat="1" hidden="1">
      <c r="A95" s="928" t="s">
        <v>612</v>
      </c>
      <c r="B95" s="928" t="s">
        <v>1204</v>
      </c>
      <c r="C95" s="929" t="s">
        <v>40</v>
      </c>
      <c r="D95" s="1055">
        <v>0</v>
      </c>
      <c r="E95" s="991">
        <v>0</v>
      </c>
      <c r="F95" s="587">
        <v>0</v>
      </c>
      <c r="G95" s="937" t="s">
        <v>1500</v>
      </c>
      <c r="H95" s="938">
        <v>2.68</v>
      </c>
    </row>
    <row r="96" spans="1:8" s="939" customFormat="1" hidden="1">
      <c r="A96" s="928" t="s">
        <v>613</v>
      </c>
      <c r="B96" s="928" t="s">
        <v>1166</v>
      </c>
      <c r="C96" s="942" t="s">
        <v>37</v>
      </c>
      <c r="D96" s="1055">
        <v>0</v>
      </c>
      <c r="E96" s="991">
        <v>0</v>
      </c>
      <c r="F96" s="587">
        <v>0</v>
      </c>
      <c r="G96" s="937" t="s">
        <v>1501</v>
      </c>
      <c r="H96" s="938">
        <v>96.66</v>
      </c>
    </row>
    <row r="97" spans="1:8" s="566" customFormat="1" hidden="1">
      <c r="A97" s="610" t="s">
        <v>614</v>
      </c>
      <c r="B97" s="610" t="s">
        <v>1167</v>
      </c>
      <c r="C97" s="536" t="s">
        <v>37</v>
      </c>
      <c r="D97" s="1055">
        <v>0</v>
      </c>
      <c r="E97" s="991">
        <v>0</v>
      </c>
      <c r="F97" s="587">
        <v>0</v>
      </c>
      <c r="G97" s="756" t="s">
        <v>1496</v>
      </c>
      <c r="H97" s="753">
        <v>57.19</v>
      </c>
    </row>
    <row r="98" spans="1:8" s="566" customFormat="1">
      <c r="A98" s="613" t="s">
        <v>615</v>
      </c>
      <c r="B98" s="613" t="s">
        <v>1168</v>
      </c>
      <c r="C98" s="685"/>
      <c r="D98" s="1055">
        <v>0</v>
      </c>
      <c r="E98" s="991">
        <v>0</v>
      </c>
      <c r="F98" s="587">
        <v>0</v>
      </c>
      <c r="G98" s="756"/>
      <c r="H98" s="753">
        <v>0</v>
      </c>
    </row>
    <row r="99" spans="1:8" s="566" customFormat="1" hidden="1">
      <c r="A99" s="610" t="s">
        <v>616</v>
      </c>
      <c r="B99" s="610" t="s">
        <v>1169</v>
      </c>
      <c r="C99" s="685"/>
      <c r="D99" s="1055">
        <v>0</v>
      </c>
      <c r="E99" s="991">
        <v>0</v>
      </c>
      <c r="F99" s="587">
        <v>0</v>
      </c>
      <c r="G99" s="756"/>
      <c r="H99" s="753">
        <v>0</v>
      </c>
    </row>
    <row r="100" spans="1:8" s="566" customFormat="1" hidden="1">
      <c r="A100" s="610" t="s">
        <v>617</v>
      </c>
      <c r="B100" s="610" t="s">
        <v>1205</v>
      </c>
      <c r="C100" s="536" t="s">
        <v>40</v>
      </c>
      <c r="D100" s="1055">
        <v>0</v>
      </c>
      <c r="E100" s="991">
        <v>0</v>
      </c>
      <c r="F100" s="587">
        <v>0</v>
      </c>
      <c r="G100" s="756" t="s">
        <v>1502</v>
      </c>
      <c r="H100" s="753">
        <v>8.06</v>
      </c>
    </row>
    <row r="101" spans="1:8" s="566" customFormat="1" hidden="1">
      <c r="A101" s="610" t="s">
        <v>618</v>
      </c>
      <c r="B101" s="610" t="s">
        <v>1171</v>
      </c>
      <c r="C101" s="536" t="s">
        <v>48</v>
      </c>
      <c r="D101" s="1055">
        <v>0</v>
      </c>
      <c r="E101" s="991">
        <v>0</v>
      </c>
      <c r="F101" s="587">
        <v>0</v>
      </c>
      <c r="G101" s="756" t="s">
        <v>1503</v>
      </c>
      <c r="H101" s="753">
        <v>337.22</v>
      </c>
    </row>
    <row r="102" spans="1:8" s="566" customFormat="1" hidden="1">
      <c r="A102" s="610" t="s">
        <v>619</v>
      </c>
      <c r="B102" s="610" t="s">
        <v>1172</v>
      </c>
      <c r="C102" s="685"/>
      <c r="D102" s="1055">
        <v>0</v>
      </c>
      <c r="E102" s="991">
        <v>0</v>
      </c>
      <c r="F102" s="587">
        <v>0</v>
      </c>
      <c r="G102" s="756"/>
      <c r="H102" s="753">
        <v>0</v>
      </c>
    </row>
    <row r="103" spans="1:8" s="566" customFormat="1" hidden="1">
      <c r="A103" s="610" t="s">
        <v>620</v>
      </c>
      <c r="B103" s="610" t="s">
        <v>1206</v>
      </c>
      <c r="C103" s="536" t="s">
        <v>40</v>
      </c>
      <c r="D103" s="1055">
        <v>0</v>
      </c>
      <c r="E103" s="991">
        <v>0</v>
      </c>
      <c r="F103" s="587">
        <v>0</v>
      </c>
      <c r="G103" s="756" t="s">
        <v>1504</v>
      </c>
      <c r="H103" s="753">
        <v>3.81</v>
      </c>
    </row>
    <row r="104" spans="1:8" s="566" customFormat="1" hidden="1">
      <c r="A104" s="610" t="s">
        <v>621</v>
      </c>
      <c r="B104" s="610" t="s">
        <v>1174</v>
      </c>
      <c r="C104" s="620" t="s">
        <v>37</v>
      </c>
      <c r="D104" s="1055">
        <v>0</v>
      </c>
      <c r="E104" s="991">
        <v>0</v>
      </c>
      <c r="F104" s="587">
        <v>0</v>
      </c>
      <c r="G104" s="756" t="s">
        <v>1505</v>
      </c>
      <c r="H104" s="753">
        <v>30.45</v>
      </c>
    </row>
    <row r="105" spans="1:8" s="566" customFormat="1" hidden="1">
      <c r="A105" s="610" t="s">
        <v>622</v>
      </c>
      <c r="B105" s="610" t="s">
        <v>1175</v>
      </c>
      <c r="C105" s="536" t="s">
        <v>48</v>
      </c>
      <c r="D105" s="1055">
        <v>0</v>
      </c>
      <c r="E105" s="991">
        <v>0</v>
      </c>
      <c r="F105" s="587">
        <v>0</v>
      </c>
      <c r="G105" s="756" t="s">
        <v>1506</v>
      </c>
      <c r="H105" s="753">
        <v>322.07</v>
      </c>
    </row>
    <row r="106" spans="1:8" s="566" customFormat="1" hidden="1">
      <c r="A106" s="610" t="s">
        <v>623</v>
      </c>
      <c r="B106" s="610" t="s">
        <v>1176</v>
      </c>
      <c r="C106" s="685"/>
      <c r="D106" s="1055">
        <v>0</v>
      </c>
      <c r="E106" s="991">
        <v>0</v>
      </c>
      <c r="F106" s="587">
        <v>0</v>
      </c>
      <c r="G106" s="756"/>
      <c r="H106" s="753">
        <v>0</v>
      </c>
    </row>
    <row r="107" spans="1:8" s="566" customFormat="1" hidden="1">
      <c r="A107" s="610" t="s">
        <v>624</v>
      </c>
      <c r="B107" s="610" t="s">
        <v>1207</v>
      </c>
      <c r="C107" s="536" t="s">
        <v>40</v>
      </c>
      <c r="D107" s="1055">
        <v>0</v>
      </c>
      <c r="E107" s="991">
        <v>0</v>
      </c>
      <c r="F107" s="587">
        <v>0</v>
      </c>
      <c r="G107" s="756" t="s">
        <v>1507</v>
      </c>
      <c r="H107" s="753">
        <v>5.95</v>
      </c>
    </row>
    <row r="108" spans="1:8" s="566" customFormat="1" hidden="1">
      <c r="A108" s="610" t="s">
        <v>625</v>
      </c>
      <c r="B108" s="610" t="s">
        <v>1178</v>
      </c>
      <c r="C108" s="536" t="s">
        <v>37</v>
      </c>
      <c r="D108" s="1055">
        <v>0</v>
      </c>
      <c r="E108" s="991">
        <v>0</v>
      </c>
      <c r="F108" s="587">
        <v>0</v>
      </c>
      <c r="G108" s="757" t="s">
        <v>1508</v>
      </c>
      <c r="H108" s="753">
        <v>77.91</v>
      </c>
    </row>
    <row r="109" spans="1:8" s="566" customFormat="1" hidden="1">
      <c r="A109" s="610" t="s">
        <v>626</v>
      </c>
      <c r="B109" s="610" t="s">
        <v>1179</v>
      </c>
      <c r="C109" s="536" t="s">
        <v>48</v>
      </c>
      <c r="D109" s="1055">
        <v>0</v>
      </c>
      <c r="E109" s="991">
        <v>0</v>
      </c>
      <c r="F109" s="587">
        <v>0</v>
      </c>
      <c r="G109" s="756" t="s">
        <v>1509</v>
      </c>
      <c r="H109" s="753">
        <v>2582.91</v>
      </c>
    </row>
    <row r="110" spans="1:8" s="566" customFormat="1">
      <c r="A110" s="613" t="s">
        <v>615</v>
      </c>
      <c r="B110" s="610" t="s">
        <v>1180</v>
      </c>
      <c r="C110" s="685"/>
      <c r="D110" s="1055">
        <v>0</v>
      </c>
      <c r="E110" s="991">
        <v>0</v>
      </c>
      <c r="F110" s="587">
        <v>0</v>
      </c>
      <c r="G110" s="756"/>
      <c r="H110" s="753">
        <v>0</v>
      </c>
    </row>
    <row r="111" spans="1:8" s="566" customFormat="1">
      <c r="A111" s="613" t="s">
        <v>615</v>
      </c>
      <c r="B111" s="610" t="s">
        <v>1181</v>
      </c>
      <c r="C111" s="536" t="s">
        <v>40</v>
      </c>
      <c r="D111" s="1101">
        <v>0.31</v>
      </c>
      <c r="E111" s="991">
        <v>0</v>
      </c>
      <c r="F111" s="587">
        <v>0.31</v>
      </c>
      <c r="G111" s="756" t="s">
        <v>1510</v>
      </c>
      <c r="H111" s="753">
        <v>2.5099999999999998</v>
      </c>
    </row>
    <row r="112" spans="1:8" s="566" customFormat="1" hidden="1">
      <c r="A112" s="610" t="s">
        <v>631</v>
      </c>
      <c r="B112" s="610" t="s">
        <v>1184</v>
      </c>
      <c r="C112" s="685"/>
      <c r="D112" s="1055">
        <v>0</v>
      </c>
      <c r="E112" s="991">
        <v>0</v>
      </c>
      <c r="F112" s="587">
        <v>0</v>
      </c>
      <c r="G112" s="756"/>
      <c r="H112" s="753">
        <v>0</v>
      </c>
    </row>
    <row r="113" spans="1:8" s="566" customFormat="1" hidden="1">
      <c r="A113" s="610" t="s">
        <v>632</v>
      </c>
      <c r="B113" s="610" t="s">
        <v>1185</v>
      </c>
      <c r="C113" s="536" t="s">
        <v>40</v>
      </c>
      <c r="D113" s="1055">
        <v>0</v>
      </c>
      <c r="E113" s="991">
        <v>0</v>
      </c>
      <c r="F113" s="587">
        <v>0</v>
      </c>
      <c r="G113" s="756" t="s">
        <v>1513</v>
      </c>
      <c r="H113" s="753">
        <v>10.33</v>
      </c>
    </row>
    <row r="114" spans="1:8" s="566" customFormat="1" hidden="1">
      <c r="A114" s="610" t="s">
        <v>633</v>
      </c>
      <c r="B114" s="610" t="s">
        <v>1186</v>
      </c>
      <c r="C114" s="536" t="s">
        <v>37</v>
      </c>
      <c r="D114" s="1055">
        <v>0</v>
      </c>
      <c r="E114" s="991">
        <v>0</v>
      </c>
      <c r="F114" s="587">
        <v>0</v>
      </c>
      <c r="G114" s="756" t="s">
        <v>1514</v>
      </c>
      <c r="H114" s="753">
        <v>116.46</v>
      </c>
    </row>
    <row r="115" spans="1:8" s="566" customFormat="1" hidden="1">
      <c r="A115" s="610" t="s">
        <v>634</v>
      </c>
      <c r="B115" s="610" t="s">
        <v>1187</v>
      </c>
      <c r="C115" s="536" t="s">
        <v>48</v>
      </c>
      <c r="D115" s="1055">
        <v>0</v>
      </c>
      <c r="E115" s="991">
        <v>0</v>
      </c>
      <c r="F115" s="587">
        <v>0</v>
      </c>
      <c r="G115" s="756" t="s">
        <v>1515</v>
      </c>
      <c r="H115" s="753">
        <v>1452.85</v>
      </c>
    </row>
    <row r="116" spans="1:8" s="566" customFormat="1" hidden="1">
      <c r="A116" s="610" t="s">
        <v>635</v>
      </c>
      <c r="B116" s="610" t="s">
        <v>1188</v>
      </c>
      <c r="C116" s="536"/>
      <c r="D116" s="1055">
        <v>0</v>
      </c>
      <c r="E116" s="991">
        <v>0</v>
      </c>
      <c r="F116" s="587">
        <v>0</v>
      </c>
      <c r="G116" s="756"/>
      <c r="H116" s="753">
        <v>0</v>
      </c>
    </row>
    <row r="117" spans="1:8" s="566" customFormat="1" hidden="1">
      <c r="A117" s="610" t="s">
        <v>636</v>
      </c>
      <c r="B117" s="610" t="s">
        <v>1189</v>
      </c>
      <c r="C117" s="536" t="s">
        <v>40</v>
      </c>
      <c r="D117" s="1055">
        <v>0</v>
      </c>
      <c r="E117" s="991">
        <v>0</v>
      </c>
      <c r="F117" s="587">
        <v>0</v>
      </c>
      <c r="G117" s="756" t="s">
        <v>1516</v>
      </c>
      <c r="H117" s="753">
        <v>8.94</v>
      </c>
    </row>
    <row r="118" spans="1:8" s="566" customFormat="1" hidden="1">
      <c r="A118" s="610" t="s">
        <v>637</v>
      </c>
      <c r="B118" s="610" t="s">
        <v>1190</v>
      </c>
      <c r="C118" s="536" t="s">
        <v>37</v>
      </c>
      <c r="D118" s="1055">
        <v>0</v>
      </c>
      <c r="E118" s="991">
        <v>0</v>
      </c>
      <c r="F118" s="587">
        <v>0</v>
      </c>
      <c r="G118" s="756" t="s">
        <v>1517</v>
      </c>
      <c r="H118" s="753">
        <v>102.17</v>
      </c>
    </row>
    <row r="119" spans="1:8" s="566" customFormat="1" hidden="1">
      <c r="A119" s="610" t="s">
        <v>638</v>
      </c>
      <c r="B119" s="610" t="s">
        <v>1191</v>
      </c>
      <c r="C119" s="536" t="s">
        <v>48</v>
      </c>
      <c r="D119" s="1055">
        <v>0</v>
      </c>
      <c r="E119" s="991">
        <v>0</v>
      </c>
      <c r="F119" s="587">
        <v>0</v>
      </c>
      <c r="G119" s="756" t="s">
        <v>1518</v>
      </c>
      <c r="H119" s="753">
        <v>1062.45</v>
      </c>
    </row>
    <row r="120" spans="1:8" s="566" customFormat="1" hidden="1">
      <c r="A120" s="610" t="s">
        <v>639</v>
      </c>
      <c r="B120" s="610" t="s">
        <v>1192</v>
      </c>
      <c r="C120" s="536" t="s">
        <v>1449</v>
      </c>
      <c r="D120" s="1055">
        <v>0</v>
      </c>
      <c r="E120" s="991">
        <v>0</v>
      </c>
      <c r="F120" s="587">
        <v>0</v>
      </c>
      <c r="G120" s="756" t="s">
        <v>1519</v>
      </c>
      <c r="H120" s="753">
        <v>851.11</v>
      </c>
    </row>
    <row r="121" spans="1:8" s="566" customFormat="1" hidden="1">
      <c r="A121" s="610" t="s">
        <v>640</v>
      </c>
      <c r="B121" s="610" t="s">
        <v>1193</v>
      </c>
      <c r="C121" s="685"/>
      <c r="D121" s="1055">
        <v>0</v>
      </c>
      <c r="E121" s="991">
        <v>0</v>
      </c>
      <c r="F121" s="587">
        <v>0</v>
      </c>
      <c r="G121" s="756"/>
      <c r="H121" s="753">
        <v>0</v>
      </c>
    </row>
    <row r="122" spans="1:8" s="566" customFormat="1" hidden="1">
      <c r="A122" s="610" t="s">
        <v>641</v>
      </c>
      <c r="B122" s="610" t="s">
        <v>1194</v>
      </c>
      <c r="C122" s="536" t="s">
        <v>40</v>
      </c>
      <c r="D122" s="1055">
        <v>0</v>
      </c>
      <c r="E122" s="991">
        <v>0</v>
      </c>
      <c r="F122" s="587">
        <v>0</v>
      </c>
      <c r="G122" s="756" t="s">
        <v>1520</v>
      </c>
      <c r="H122" s="753">
        <v>2.66</v>
      </c>
    </row>
    <row r="123" spans="1:8" s="566" customFormat="1" hidden="1">
      <c r="A123" s="610" t="s">
        <v>642</v>
      </c>
      <c r="B123" s="610" t="s">
        <v>1195</v>
      </c>
      <c r="C123" s="536" t="s">
        <v>37</v>
      </c>
      <c r="D123" s="1055">
        <v>0</v>
      </c>
      <c r="E123" s="991">
        <v>0</v>
      </c>
      <c r="F123" s="587">
        <v>0</v>
      </c>
      <c r="G123" s="756" t="s">
        <v>1511</v>
      </c>
      <c r="H123" s="753">
        <v>35.44</v>
      </c>
    </row>
    <row r="124" spans="1:8" s="566" customFormat="1" hidden="1">
      <c r="A124" s="610" t="s">
        <v>643</v>
      </c>
      <c r="B124" s="610" t="s">
        <v>1196</v>
      </c>
      <c r="C124" s="536" t="s">
        <v>48</v>
      </c>
      <c r="D124" s="1055">
        <v>0</v>
      </c>
      <c r="E124" s="991">
        <v>0</v>
      </c>
      <c r="F124" s="587">
        <v>0</v>
      </c>
      <c r="G124" s="756" t="s">
        <v>1521</v>
      </c>
      <c r="H124" s="753">
        <v>179.59</v>
      </c>
    </row>
    <row r="125" spans="1:8" s="566" customFormat="1" hidden="1">
      <c r="A125" s="613" t="s">
        <v>644</v>
      </c>
      <c r="B125" s="613" t="s">
        <v>1197</v>
      </c>
      <c r="C125" s="685"/>
      <c r="D125" s="1055">
        <v>0</v>
      </c>
      <c r="E125" s="991">
        <v>0</v>
      </c>
      <c r="F125" s="587">
        <v>0</v>
      </c>
      <c r="G125" s="756"/>
      <c r="H125" s="753">
        <v>0</v>
      </c>
    </row>
    <row r="126" spans="1:8" s="566" customFormat="1" hidden="1">
      <c r="A126" s="610" t="s">
        <v>645</v>
      </c>
      <c r="B126" s="610" t="s">
        <v>1198</v>
      </c>
      <c r="C126" s="536" t="s">
        <v>38</v>
      </c>
      <c r="D126" s="1055">
        <v>0</v>
      </c>
      <c r="E126" s="991">
        <v>0</v>
      </c>
      <c r="F126" s="587">
        <v>0</v>
      </c>
      <c r="G126" s="756" t="s">
        <v>1522</v>
      </c>
      <c r="H126" s="753">
        <v>158.4</v>
      </c>
    </row>
    <row r="127" spans="1:8" s="566" customFormat="1" hidden="1">
      <c r="A127" s="613" t="s">
        <v>646</v>
      </c>
      <c r="B127" s="613" t="s">
        <v>1199</v>
      </c>
      <c r="C127" s="696"/>
      <c r="D127" s="1055">
        <v>0</v>
      </c>
      <c r="E127" s="991">
        <v>0</v>
      </c>
      <c r="F127" s="587">
        <v>0</v>
      </c>
      <c r="G127" s="757"/>
      <c r="H127" s="753">
        <v>0</v>
      </c>
    </row>
    <row r="128" spans="1:8" s="566" customFormat="1" hidden="1">
      <c r="A128" s="610" t="s">
        <v>647</v>
      </c>
      <c r="B128" s="610" t="s">
        <v>1200</v>
      </c>
      <c r="C128" s="536" t="s">
        <v>38</v>
      </c>
      <c r="D128" s="1055">
        <v>0</v>
      </c>
      <c r="E128" s="991">
        <v>0</v>
      </c>
      <c r="F128" s="587">
        <v>0</v>
      </c>
      <c r="G128" s="757" t="s">
        <v>1523</v>
      </c>
      <c r="H128" s="753">
        <v>83.2</v>
      </c>
    </row>
    <row r="129" spans="1:8" s="566" customFormat="1" hidden="1">
      <c r="A129" s="610" t="s">
        <v>648</v>
      </c>
      <c r="B129" s="610" t="s">
        <v>225</v>
      </c>
      <c r="C129" s="536" t="s">
        <v>1449</v>
      </c>
      <c r="D129" s="1055">
        <v>0</v>
      </c>
      <c r="E129" s="991">
        <v>0</v>
      </c>
      <c r="F129" s="587">
        <v>0</v>
      </c>
      <c r="G129" s="756" t="s">
        <v>1492</v>
      </c>
      <c r="H129" s="753">
        <v>15</v>
      </c>
    </row>
    <row r="130" spans="1:8" s="566" customFormat="1">
      <c r="A130" s="498" t="s">
        <v>52</v>
      </c>
      <c r="B130" s="614" t="s">
        <v>1208</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1524</v>
      </c>
      <c r="H131" s="753">
        <v>28.51</v>
      </c>
    </row>
    <row r="132" spans="1:8" s="566" customFormat="1">
      <c r="A132" s="610" t="s">
        <v>651</v>
      </c>
      <c r="B132" s="610" t="s">
        <v>1157</v>
      </c>
      <c r="C132" s="620" t="s">
        <v>40</v>
      </c>
      <c r="D132" s="1101">
        <v>4.5</v>
      </c>
      <c r="E132" s="991">
        <v>0</v>
      </c>
      <c r="F132" s="587">
        <v>4.5</v>
      </c>
      <c r="G132" s="756" t="s">
        <v>1527</v>
      </c>
      <c r="H132" s="753">
        <v>67.83</v>
      </c>
    </row>
    <row r="133" spans="1:8" s="566" customFormat="1">
      <c r="A133" s="610" t="s">
        <v>652</v>
      </c>
      <c r="B133" s="610" t="s">
        <v>1158</v>
      </c>
      <c r="C133" s="620" t="s">
        <v>37</v>
      </c>
      <c r="D133" s="1101">
        <v>55.87</v>
      </c>
      <c r="E133" s="991">
        <v>0</v>
      </c>
      <c r="F133" s="587">
        <v>55.87</v>
      </c>
      <c r="G133" s="756" t="s">
        <v>1528</v>
      </c>
      <c r="H133" s="753">
        <v>-38.679999999999993</v>
      </c>
    </row>
    <row r="134" spans="1:8" s="566" customFormat="1" hidden="1">
      <c r="A134" s="613" t="s">
        <v>57</v>
      </c>
      <c r="B134" s="613" t="s">
        <v>1161</v>
      </c>
      <c r="C134" s="696"/>
      <c r="D134" s="1055">
        <v>0</v>
      </c>
      <c r="E134" s="991">
        <v>0</v>
      </c>
      <c r="F134" s="587">
        <v>0</v>
      </c>
      <c r="G134" s="757" t="s">
        <v>1529</v>
      </c>
      <c r="H134" s="753">
        <v>23.07</v>
      </c>
    </row>
    <row r="135" spans="1:8" s="566" customFormat="1" hidden="1">
      <c r="A135" s="610" t="s">
        <v>655</v>
      </c>
      <c r="B135" s="610" t="s">
        <v>1202</v>
      </c>
      <c r="C135" s="620" t="s">
        <v>37</v>
      </c>
      <c r="D135" s="1055">
        <v>0</v>
      </c>
      <c r="E135" s="991">
        <v>0</v>
      </c>
      <c r="F135" s="587">
        <v>0</v>
      </c>
      <c r="G135" s="756" t="s">
        <v>1530</v>
      </c>
      <c r="H135" s="753">
        <v>10.4</v>
      </c>
    </row>
    <row r="136" spans="1:8" s="939" customFormat="1" hidden="1">
      <c r="A136" s="928" t="s">
        <v>656</v>
      </c>
      <c r="B136" s="928" t="s">
        <v>1203</v>
      </c>
      <c r="C136" s="942" t="s">
        <v>40</v>
      </c>
      <c r="D136" s="1055">
        <v>0</v>
      </c>
      <c r="E136" s="991">
        <v>0</v>
      </c>
      <c r="F136" s="587">
        <v>0</v>
      </c>
      <c r="G136" s="937" t="s">
        <v>1531</v>
      </c>
      <c r="H136" s="938">
        <v>2.1800000000000002</v>
      </c>
    </row>
    <row r="137" spans="1:8" s="939" customFormat="1" hidden="1">
      <c r="A137" s="928" t="s">
        <v>657</v>
      </c>
      <c r="B137" s="928" t="s">
        <v>1204</v>
      </c>
      <c r="C137" s="942" t="s">
        <v>40</v>
      </c>
      <c r="D137" s="1055">
        <v>0</v>
      </c>
      <c r="E137" s="991">
        <v>0</v>
      </c>
      <c r="F137" s="587">
        <v>0</v>
      </c>
      <c r="G137" s="937" t="s">
        <v>1532</v>
      </c>
      <c r="H137" s="938">
        <v>29.03</v>
      </c>
    </row>
    <row r="138" spans="1:8" s="566" customFormat="1" hidden="1">
      <c r="A138" s="610" t="s">
        <v>658</v>
      </c>
      <c r="B138" s="610" t="s">
        <v>1166</v>
      </c>
      <c r="C138" s="620" t="s">
        <v>37</v>
      </c>
      <c r="D138" s="1055">
        <v>0</v>
      </c>
      <c r="E138" s="991">
        <v>0</v>
      </c>
      <c r="F138" s="587">
        <v>0</v>
      </c>
      <c r="G138" s="756" t="s">
        <v>1527</v>
      </c>
      <c r="H138" s="753">
        <v>72.33</v>
      </c>
    </row>
    <row r="139" spans="1:8" s="566" customFormat="1" hidden="1">
      <c r="A139" s="610" t="s">
        <v>659</v>
      </c>
      <c r="B139" s="610" t="s">
        <v>1167</v>
      </c>
      <c r="C139" s="620" t="s">
        <v>37</v>
      </c>
      <c r="D139" s="1055">
        <v>0</v>
      </c>
      <c r="E139" s="991">
        <v>0</v>
      </c>
      <c r="F139" s="587">
        <v>0</v>
      </c>
      <c r="G139" s="756"/>
      <c r="H139" s="753">
        <v>0</v>
      </c>
    </row>
    <row r="140" spans="1:8" s="566" customFormat="1">
      <c r="A140" s="613" t="s">
        <v>660</v>
      </c>
      <c r="B140" s="613" t="s">
        <v>1168</v>
      </c>
      <c r="C140" s="696"/>
      <c r="D140" s="1055">
        <v>0</v>
      </c>
      <c r="E140" s="991">
        <v>0</v>
      </c>
      <c r="F140" s="587">
        <v>0</v>
      </c>
      <c r="G140" s="756"/>
      <c r="H140" s="753">
        <v>0</v>
      </c>
    </row>
    <row r="141" spans="1:8" s="566" customFormat="1" hidden="1">
      <c r="A141" s="610" t="s">
        <v>661</v>
      </c>
      <c r="B141" s="610" t="s">
        <v>1169</v>
      </c>
      <c r="C141" s="696"/>
      <c r="D141" s="1055">
        <v>0</v>
      </c>
      <c r="E141" s="991">
        <v>0</v>
      </c>
      <c r="F141" s="587">
        <v>0</v>
      </c>
      <c r="G141" s="756" t="s">
        <v>1533</v>
      </c>
      <c r="H141" s="753">
        <v>6.34</v>
      </c>
    </row>
    <row r="142" spans="1:8" s="566" customFormat="1" hidden="1">
      <c r="A142" s="610" t="s">
        <v>662</v>
      </c>
      <c r="B142" s="610" t="s">
        <v>1205</v>
      </c>
      <c r="C142" s="620" t="s">
        <v>40</v>
      </c>
      <c r="D142" s="1055">
        <v>0</v>
      </c>
      <c r="E142" s="991">
        <v>0</v>
      </c>
      <c r="F142" s="587">
        <v>0</v>
      </c>
      <c r="G142" s="756" t="s">
        <v>1534</v>
      </c>
      <c r="H142" s="753">
        <v>264.95999999999998</v>
      </c>
    </row>
    <row r="143" spans="1:8" s="566" customFormat="1" hidden="1">
      <c r="A143" s="610" t="s">
        <v>663</v>
      </c>
      <c r="B143" s="610" t="s">
        <v>1171</v>
      </c>
      <c r="C143" s="620" t="s">
        <v>48</v>
      </c>
      <c r="D143" s="1055">
        <v>0</v>
      </c>
      <c r="E143" s="991">
        <v>0</v>
      </c>
      <c r="F143" s="587">
        <v>0</v>
      </c>
      <c r="G143" s="756"/>
      <c r="H143" s="753">
        <v>0</v>
      </c>
    </row>
    <row r="144" spans="1:8" s="566" customFormat="1" hidden="1">
      <c r="A144" s="610" t="s">
        <v>664</v>
      </c>
      <c r="B144" s="610" t="s">
        <v>1172</v>
      </c>
      <c r="C144" s="696"/>
      <c r="D144" s="1055">
        <v>0</v>
      </c>
      <c r="E144" s="991">
        <v>0</v>
      </c>
      <c r="F144" s="587">
        <v>0</v>
      </c>
      <c r="G144" s="756" t="s">
        <v>1535</v>
      </c>
      <c r="H144" s="753">
        <v>3.77</v>
      </c>
    </row>
    <row r="145" spans="1:8" s="566" customFormat="1" hidden="1">
      <c r="A145" s="610" t="s">
        <v>665</v>
      </c>
      <c r="B145" s="610" t="s">
        <v>1206</v>
      </c>
      <c r="C145" s="620" t="s">
        <v>40</v>
      </c>
      <c r="D145" s="1055">
        <v>0</v>
      </c>
      <c r="E145" s="991">
        <v>0</v>
      </c>
      <c r="F145" s="587">
        <v>0</v>
      </c>
      <c r="G145" s="756" t="s">
        <v>1536</v>
      </c>
      <c r="H145" s="753">
        <v>30.18</v>
      </c>
    </row>
    <row r="146" spans="1:8" s="566" customFormat="1" hidden="1">
      <c r="A146" s="610" t="s">
        <v>666</v>
      </c>
      <c r="B146" s="610" t="s">
        <v>1174</v>
      </c>
      <c r="C146" s="620" t="s">
        <v>37</v>
      </c>
      <c r="D146" s="1055">
        <v>0</v>
      </c>
      <c r="E146" s="991">
        <v>0</v>
      </c>
      <c r="F146" s="587">
        <v>0</v>
      </c>
      <c r="G146" s="756" t="s">
        <v>1537</v>
      </c>
      <c r="H146" s="753">
        <v>365.33</v>
      </c>
    </row>
    <row r="147" spans="1:8" s="566" customFormat="1" ht="13.35" hidden="1" customHeight="1">
      <c r="A147" s="610" t="s">
        <v>667</v>
      </c>
      <c r="B147" s="610" t="s">
        <v>1175</v>
      </c>
      <c r="C147" s="620" t="s">
        <v>48</v>
      </c>
      <c r="D147" s="1055">
        <v>0</v>
      </c>
      <c r="E147" s="991">
        <v>0</v>
      </c>
      <c r="F147" s="587">
        <v>0</v>
      </c>
      <c r="G147" s="756"/>
      <c r="H147" s="753">
        <v>0</v>
      </c>
    </row>
    <row r="148" spans="1:8" s="566" customFormat="1" ht="13.35" hidden="1" customHeight="1">
      <c r="A148" s="610" t="s">
        <v>668</v>
      </c>
      <c r="B148" s="610" t="s">
        <v>1176</v>
      </c>
      <c r="C148" s="620"/>
      <c r="D148" s="1055">
        <v>0</v>
      </c>
      <c r="E148" s="991">
        <v>0</v>
      </c>
      <c r="F148" s="587">
        <v>0</v>
      </c>
      <c r="G148" s="756" t="s">
        <v>1538</v>
      </c>
      <c r="H148" s="753">
        <v>6.4</v>
      </c>
    </row>
    <row r="149" spans="1:8" s="566" customFormat="1" ht="13.35" hidden="1" customHeight="1">
      <c r="A149" s="610" t="s">
        <v>669</v>
      </c>
      <c r="B149" s="610" t="s">
        <v>1207</v>
      </c>
      <c r="C149" s="620" t="s">
        <v>40</v>
      </c>
      <c r="D149" s="1055">
        <v>0</v>
      </c>
      <c r="E149" s="991">
        <v>0</v>
      </c>
      <c r="F149" s="587">
        <v>0</v>
      </c>
      <c r="G149" s="756" t="s">
        <v>1539</v>
      </c>
      <c r="H149" s="753">
        <v>76.7</v>
      </c>
    </row>
    <row r="150" spans="1:8" s="566" customFormat="1" ht="13.35" hidden="1" customHeight="1">
      <c r="A150" s="610" t="s">
        <v>670</v>
      </c>
      <c r="B150" s="610" t="s">
        <v>1178</v>
      </c>
      <c r="C150" s="620" t="s">
        <v>37</v>
      </c>
      <c r="D150" s="1055">
        <v>0</v>
      </c>
      <c r="E150" s="991">
        <v>0</v>
      </c>
      <c r="F150" s="587">
        <v>0</v>
      </c>
      <c r="G150" s="756" t="s">
        <v>1540</v>
      </c>
      <c r="H150" s="753">
        <v>1929.18</v>
      </c>
    </row>
    <row r="151" spans="1:8" s="566" customFormat="1" ht="13.35" hidden="1" customHeight="1">
      <c r="A151" s="610" t="s">
        <v>671</v>
      </c>
      <c r="B151" s="610" t="s">
        <v>1179</v>
      </c>
      <c r="C151" s="620" t="s">
        <v>48</v>
      </c>
      <c r="D151" s="1055">
        <v>0</v>
      </c>
      <c r="E151" s="991">
        <v>0</v>
      </c>
      <c r="F151" s="587">
        <v>0</v>
      </c>
      <c r="G151" s="756"/>
      <c r="H151" s="753">
        <v>0</v>
      </c>
    </row>
    <row r="152" spans="1:8" s="566" customFormat="1" ht="13.35" customHeight="1">
      <c r="A152" s="610" t="s">
        <v>672</v>
      </c>
      <c r="B152" s="610" t="s">
        <v>1180</v>
      </c>
      <c r="C152" s="696"/>
      <c r="D152" s="1055">
        <v>0</v>
      </c>
      <c r="E152" s="991">
        <v>0</v>
      </c>
      <c r="F152" s="587">
        <v>0</v>
      </c>
      <c r="G152" s="756" t="s">
        <v>1541</v>
      </c>
      <c r="H152" s="753">
        <v>3.44</v>
      </c>
    </row>
    <row r="153" spans="1:8" s="566" customFormat="1" ht="13.35" customHeight="1">
      <c r="A153" s="610" t="s">
        <v>673</v>
      </c>
      <c r="B153" s="610" t="s">
        <v>1181</v>
      </c>
      <c r="C153" s="620" t="s">
        <v>40</v>
      </c>
      <c r="D153" s="1101">
        <v>0.45</v>
      </c>
      <c r="E153" s="991">
        <v>0</v>
      </c>
      <c r="F153" s="587">
        <v>0.45</v>
      </c>
      <c r="G153" s="756" t="s">
        <v>1542</v>
      </c>
      <c r="H153" s="753">
        <v>21.01</v>
      </c>
    </row>
    <row r="154" spans="1:8" s="566" customFormat="1" ht="13.35" customHeight="1">
      <c r="A154" s="610" t="s">
        <v>674</v>
      </c>
      <c r="B154" s="610" t="s">
        <v>1182</v>
      </c>
      <c r="C154" s="620" t="s">
        <v>37</v>
      </c>
      <c r="D154" s="1101">
        <v>17.39</v>
      </c>
      <c r="E154" s="991">
        <v>0</v>
      </c>
      <c r="F154" s="587">
        <v>17.39</v>
      </c>
      <c r="G154" s="756" t="s">
        <v>1543</v>
      </c>
      <c r="H154" s="753">
        <v>285.51</v>
      </c>
    </row>
    <row r="155" spans="1:8" s="566" customFormat="1" ht="13.35" hidden="1" customHeight="1">
      <c r="A155" s="610" t="s">
        <v>676</v>
      </c>
      <c r="B155" s="610" t="s">
        <v>1184</v>
      </c>
      <c r="C155" s="696"/>
      <c r="D155" s="1055">
        <v>0</v>
      </c>
      <c r="E155" s="991">
        <v>0</v>
      </c>
      <c r="F155" s="587">
        <v>0</v>
      </c>
      <c r="G155" s="756" t="s">
        <v>1544</v>
      </c>
      <c r="H155" s="753">
        <v>11.56</v>
      </c>
    </row>
    <row r="156" spans="1:8" s="566" customFormat="1" ht="13.35" hidden="1" customHeight="1">
      <c r="A156" s="610" t="s">
        <v>677</v>
      </c>
      <c r="B156" s="610" t="s">
        <v>1185</v>
      </c>
      <c r="C156" s="620" t="s">
        <v>40</v>
      </c>
      <c r="D156" s="1055">
        <v>0</v>
      </c>
      <c r="E156" s="991">
        <v>0</v>
      </c>
      <c r="F156" s="587">
        <v>0</v>
      </c>
      <c r="G156" s="756" t="s">
        <v>1545</v>
      </c>
      <c r="H156" s="753">
        <v>101.84</v>
      </c>
    </row>
    <row r="157" spans="1:8" s="566" customFormat="1" ht="13.35" hidden="1" customHeight="1">
      <c r="A157" s="610" t="s">
        <v>678</v>
      </c>
      <c r="B157" s="610" t="s">
        <v>1186</v>
      </c>
      <c r="C157" s="620" t="s">
        <v>37</v>
      </c>
      <c r="D157" s="1055">
        <v>0</v>
      </c>
      <c r="E157" s="991">
        <v>0</v>
      </c>
      <c r="F157" s="587">
        <v>0</v>
      </c>
      <c r="G157" s="756" t="s">
        <v>1546</v>
      </c>
      <c r="H157" s="753">
        <v>1333.5</v>
      </c>
    </row>
    <row r="158" spans="1:8" s="566" customFormat="1" ht="13.35" hidden="1" customHeight="1">
      <c r="A158" s="610" t="s">
        <v>679</v>
      </c>
      <c r="B158" s="610" t="s">
        <v>1187</v>
      </c>
      <c r="C158" s="620" t="s">
        <v>48</v>
      </c>
      <c r="D158" s="1055">
        <v>0</v>
      </c>
      <c r="E158" s="991">
        <v>0</v>
      </c>
      <c r="F158" s="587">
        <v>0</v>
      </c>
      <c r="G158" s="756"/>
      <c r="H158" s="753">
        <v>0</v>
      </c>
    </row>
    <row r="159" spans="1:8" s="566" customFormat="1" ht="13.35" hidden="1" customHeight="1">
      <c r="A159" s="610" t="s">
        <v>680</v>
      </c>
      <c r="B159" s="610" t="s">
        <v>1188</v>
      </c>
      <c r="C159" s="696"/>
      <c r="D159" s="1055">
        <v>0</v>
      </c>
      <c r="E159" s="991">
        <v>0</v>
      </c>
      <c r="F159" s="587">
        <v>0</v>
      </c>
      <c r="G159" s="756" t="s">
        <v>1547</v>
      </c>
      <c r="H159" s="753">
        <v>13.47</v>
      </c>
    </row>
    <row r="160" spans="1:8" s="566" customFormat="1" ht="13.35" hidden="1" customHeight="1">
      <c r="A160" s="610" t="s">
        <v>681</v>
      </c>
      <c r="B160" s="610" t="s">
        <v>1189</v>
      </c>
      <c r="C160" s="620" t="s">
        <v>40</v>
      </c>
      <c r="D160" s="1055">
        <v>0</v>
      </c>
      <c r="E160" s="991">
        <v>0</v>
      </c>
      <c r="F160" s="587">
        <v>0</v>
      </c>
      <c r="G160" s="756" t="s">
        <v>1548</v>
      </c>
      <c r="H160" s="753">
        <v>153.93</v>
      </c>
    </row>
    <row r="161" spans="1:8" s="566" customFormat="1" ht="13.35" hidden="1" customHeight="1">
      <c r="A161" s="610" t="s">
        <v>682</v>
      </c>
      <c r="B161" s="610" t="s">
        <v>1190</v>
      </c>
      <c r="C161" s="620" t="s">
        <v>37</v>
      </c>
      <c r="D161" s="1055">
        <v>0</v>
      </c>
      <c r="E161" s="991">
        <v>0</v>
      </c>
      <c r="F161" s="587">
        <v>0</v>
      </c>
      <c r="G161" s="756" t="s">
        <v>1549</v>
      </c>
      <c r="H161" s="753">
        <v>1781.46</v>
      </c>
    </row>
    <row r="162" spans="1:8" s="566" customFormat="1" ht="13.35" hidden="1" customHeight="1">
      <c r="A162" s="610" t="s">
        <v>683</v>
      </c>
      <c r="B162" s="610" t="s">
        <v>1191</v>
      </c>
      <c r="C162" s="620" t="s">
        <v>48</v>
      </c>
      <c r="D162" s="1055">
        <v>0</v>
      </c>
      <c r="E162" s="991">
        <v>0</v>
      </c>
      <c r="F162" s="587">
        <v>0</v>
      </c>
      <c r="G162" s="756" t="s">
        <v>1550</v>
      </c>
      <c r="H162" s="753">
        <v>1146.1400000000001</v>
      </c>
    </row>
    <row r="163" spans="1:8" s="566" customFormat="1" ht="13.35" hidden="1" customHeight="1">
      <c r="A163" s="610" t="s">
        <v>684</v>
      </c>
      <c r="B163" s="610" t="s">
        <v>1192</v>
      </c>
      <c r="C163" s="620" t="s">
        <v>1449</v>
      </c>
      <c r="D163" s="1055">
        <v>0</v>
      </c>
      <c r="E163" s="991">
        <v>0</v>
      </c>
      <c r="F163" s="587">
        <v>0</v>
      </c>
      <c r="G163" s="756"/>
      <c r="H163" s="753">
        <v>0</v>
      </c>
    </row>
    <row r="164" spans="1:8" s="566" customFormat="1" ht="13.35" hidden="1" customHeight="1">
      <c r="A164" s="610" t="s">
        <v>685</v>
      </c>
      <c r="B164" s="610" t="s">
        <v>1193</v>
      </c>
      <c r="C164" s="696"/>
      <c r="D164" s="1055">
        <v>0</v>
      </c>
      <c r="E164" s="991">
        <v>0</v>
      </c>
      <c r="F164" s="587">
        <v>0</v>
      </c>
      <c r="G164" s="756" t="s">
        <v>1551</v>
      </c>
      <c r="H164" s="753">
        <v>2.57</v>
      </c>
    </row>
    <row r="165" spans="1:8" s="566" customFormat="1" ht="13.35" hidden="1" customHeight="1">
      <c r="A165" s="610" t="s">
        <v>686</v>
      </c>
      <c r="B165" s="610" t="s">
        <v>1194</v>
      </c>
      <c r="C165" s="620" t="s">
        <v>40</v>
      </c>
      <c r="D165" s="1055">
        <v>0</v>
      </c>
      <c r="E165" s="991">
        <v>0</v>
      </c>
      <c r="F165" s="587">
        <v>0</v>
      </c>
      <c r="G165" s="756" t="s">
        <v>1493</v>
      </c>
      <c r="H165" s="753">
        <v>34.270000000000003</v>
      </c>
    </row>
    <row r="166" spans="1:8" s="566" customFormat="1" ht="13.35" hidden="1" customHeight="1">
      <c r="A166" s="610" t="s">
        <v>687</v>
      </c>
      <c r="B166" s="610" t="s">
        <v>1195</v>
      </c>
      <c r="C166" s="620" t="s">
        <v>37</v>
      </c>
      <c r="D166" s="1055">
        <v>0</v>
      </c>
      <c r="E166" s="991">
        <v>0</v>
      </c>
      <c r="F166" s="587">
        <v>0</v>
      </c>
      <c r="G166" s="756" t="s">
        <v>1552</v>
      </c>
      <c r="H166" s="753">
        <v>178.66</v>
      </c>
    </row>
    <row r="167" spans="1:8" s="566" customFormat="1" ht="13.35" hidden="1" customHeight="1">
      <c r="A167" s="610" t="s">
        <v>688</v>
      </c>
      <c r="B167" s="610" t="s">
        <v>1196</v>
      </c>
      <c r="C167" s="620" t="s">
        <v>48</v>
      </c>
      <c r="D167" s="1055">
        <v>0</v>
      </c>
      <c r="E167" s="991">
        <v>0</v>
      </c>
      <c r="F167" s="587">
        <v>0</v>
      </c>
      <c r="G167" s="756"/>
      <c r="H167" s="753">
        <v>0</v>
      </c>
    </row>
    <row r="168" spans="1:8" s="566" customFormat="1" ht="13.35" hidden="1" customHeight="1">
      <c r="A168" s="613" t="s">
        <v>689</v>
      </c>
      <c r="B168" s="613" t="s">
        <v>1197</v>
      </c>
      <c r="C168" s="696"/>
      <c r="D168" s="1055">
        <v>0</v>
      </c>
      <c r="E168" s="991">
        <v>0</v>
      </c>
      <c r="F168" s="587">
        <v>0</v>
      </c>
      <c r="G168" s="756" t="s">
        <v>1553</v>
      </c>
      <c r="H168" s="753">
        <v>377.52</v>
      </c>
    </row>
    <row r="169" spans="1:8" s="566" customFormat="1" ht="13.35" hidden="1" customHeight="1">
      <c r="A169" s="610" t="s">
        <v>690</v>
      </c>
      <c r="B169" s="610" t="s">
        <v>1198</v>
      </c>
      <c r="C169" s="620" t="s">
        <v>38</v>
      </c>
      <c r="D169" s="1055">
        <v>0</v>
      </c>
      <c r="E169" s="991">
        <v>0</v>
      </c>
      <c r="F169" s="587">
        <v>0</v>
      </c>
      <c r="G169" s="756"/>
      <c r="H169" s="753">
        <v>0</v>
      </c>
    </row>
    <row r="170" spans="1:8" s="566" customFormat="1" ht="13.35" hidden="1" customHeight="1">
      <c r="A170" s="613" t="s">
        <v>691</v>
      </c>
      <c r="B170" s="613" t="s">
        <v>1199</v>
      </c>
      <c r="C170" s="620"/>
      <c r="D170" s="1055">
        <v>0</v>
      </c>
      <c r="E170" s="991">
        <v>0</v>
      </c>
      <c r="F170" s="587">
        <v>0</v>
      </c>
      <c r="G170" s="756" t="s">
        <v>1554</v>
      </c>
      <c r="H170" s="753">
        <v>75.400000000000006</v>
      </c>
    </row>
    <row r="171" spans="1:8" s="566" customFormat="1" ht="13.35" hidden="1" customHeight="1">
      <c r="A171" s="610" t="s">
        <v>692</v>
      </c>
      <c r="B171" s="610" t="s">
        <v>1200</v>
      </c>
      <c r="C171" s="620" t="s">
        <v>38</v>
      </c>
      <c r="D171" s="1055">
        <v>0</v>
      </c>
      <c r="E171" s="991">
        <v>0</v>
      </c>
      <c r="F171" s="587">
        <v>0</v>
      </c>
      <c r="G171" s="756" t="s">
        <v>1492</v>
      </c>
      <c r="H171" s="753">
        <v>15</v>
      </c>
    </row>
    <row r="172" spans="1:8" s="566" customFormat="1" ht="13.35" hidden="1" customHeight="1">
      <c r="A172" s="610" t="s">
        <v>693</v>
      </c>
      <c r="B172" s="610" t="s">
        <v>225</v>
      </c>
      <c r="C172" s="620" t="s">
        <v>1449</v>
      </c>
      <c r="D172" s="1055">
        <v>0</v>
      </c>
      <c r="E172" s="991">
        <v>0</v>
      </c>
      <c r="F172" s="587">
        <v>0</v>
      </c>
      <c r="G172" s="756"/>
      <c r="H172" s="753">
        <v>0</v>
      </c>
    </row>
    <row r="173" spans="1:8" s="566" customFormat="1" ht="13.35" customHeight="1">
      <c r="A173" s="498" t="s">
        <v>515</v>
      </c>
      <c r="B173" s="614" t="s">
        <v>1209</v>
      </c>
      <c r="C173" s="696"/>
      <c r="D173" s="1055">
        <v>0</v>
      </c>
      <c r="E173" s="991">
        <v>0</v>
      </c>
      <c r="F173" s="587">
        <v>0</v>
      </c>
      <c r="G173" s="756"/>
      <c r="H173" s="753">
        <v>0</v>
      </c>
    </row>
    <row r="174" spans="1:8" s="566" customFormat="1" ht="13.35" customHeight="1">
      <c r="A174" s="613" t="s">
        <v>516</v>
      </c>
      <c r="B174" s="613" t="s">
        <v>46</v>
      </c>
      <c r="C174" s="696"/>
      <c r="D174" s="1055">
        <v>0</v>
      </c>
      <c r="E174" s="991">
        <v>0</v>
      </c>
      <c r="F174" s="587">
        <v>0</v>
      </c>
      <c r="G174" s="756" t="s">
        <v>1555</v>
      </c>
      <c r="H174" s="753">
        <v>39.86</v>
      </c>
    </row>
    <row r="175" spans="1:8" s="566" customFormat="1" ht="13.35" customHeight="1">
      <c r="A175" s="610" t="s">
        <v>696</v>
      </c>
      <c r="B175" s="610" t="s">
        <v>1157</v>
      </c>
      <c r="C175" s="620" t="s">
        <v>40</v>
      </c>
      <c r="D175" s="1101">
        <v>4.16</v>
      </c>
      <c r="E175" s="991">
        <v>0</v>
      </c>
      <c r="F175" s="587">
        <v>4.16</v>
      </c>
      <c r="G175" s="756" t="s">
        <v>1558</v>
      </c>
      <c r="H175" s="753">
        <v>17.87</v>
      </c>
    </row>
    <row r="176" spans="1:8" s="566" customFormat="1" ht="13.35" customHeight="1" thickBot="1">
      <c r="A176" s="610" t="s">
        <v>697</v>
      </c>
      <c r="B176" s="610" t="s">
        <v>1158</v>
      </c>
      <c r="C176" s="620" t="s">
        <v>37</v>
      </c>
      <c r="D176" s="1101">
        <v>4.76</v>
      </c>
      <c r="E176" s="991">
        <v>0</v>
      </c>
      <c r="F176" s="587">
        <v>4.76</v>
      </c>
      <c r="G176" s="756" t="s">
        <v>1559</v>
      </c>
      <c r="H176" s="753">
        <v>36.800000000000004</v>
      </c>
    </row>
    <row r="177" spans="1:8" s="566" customFormat="1" ht="13.35" hidden="1" customHeight="1">
      <c r="A177" s="613" t="s">
        <v>700</v>
      </c>
      <c r="B177" s="613" t="s">
        <v>1161</v>
      </c>
      <c r="C177" s="696"/>
      <c r="D177" s="1055">
        <v>0</v>
      </c>
      <c r="E177" s="991">
        <v>0</v>
      </c>
      <c r="F177" s="587">
        <v>0</v>
      </c>
      <c r="G177" s="756" t="s">
        <v>1560</v>
      </c>
      <c r="H177" s="753">
        <v>20.28</v>
      </c>
    </row>
    <row r="178" spans="1:8" s="566" customFormat="1" ht="13.35" hidden="1" customHeight="1">
      <c r="A178" s="610" t="s">
        <v>701</v>
      </c>
      <c r="B178" s="610" t="s">
        <v>1162</v>
      </c>
      <c r="C178" s="620" t="s">
        <v>40</v>
      </c>
      <c r="D178" s="1055">
        <v>0</v>
      </c>
      <c r="E178" s="991">
        <v>0</v>
      </c>
      <c r="F178" s="587">
        <v>0</v>
      </c>
      <c r="G178" s="756" t="s">
        <v>1561</v>
      </c>
      <c r="H178" s="753">
        <v>14.79</v>
      </c>
    </row>
    <row r="179" spans="1:8" s="566" customFormat="1" ht="13.35" hidden="1" customHeight="1">
      <c r="A179" s="610" t="s">
        <v>702</v>
      </c>
      <c r="B179" s="610" t="s">
        <v>1202</v>
      </c>
      <c r="C179" s="620" t="s">
        <v>37</v>
      </c>
      <c r="D179" s="1055">
        <v>0</v>
      </c>
      <c r="E179" s="991">
        <v>0</v>
      </c>
      <c r="F179" s="587">
        <v>0</v>
      </c>
      <c r="G179" s="756" t="s">
        <v>1562</v>
      </c>
      <c r="H179" s="753">
        <v>3.22</v>
      </c>
    </row>
    <row r="180" spans="1:8" s="566" customFormat="1" ht="13.35" hidden="1" customHeight="1">
      <c r="A180" s="610" t="s">
        <v>703</v>
      </c>
      <c r="B180" s="610" t="s">
        <v>1203</v>
      </c>
      <c r="C180" s="620" t="s">
        <v>40</v>
      </c>
      <c r="D180" s="1055">
        <v>0</v>
      </c>
      <c r="E180" s="991">
        <v>0</v>
      </c>
      <c r="F180" s="587">
        <v>0</v>
      </c>
      <c r="G180" s="756" t="s">
        <v>1563</v>
      </c>
      <c r="H180" s="753">
        <v>1.61</v>
      </c>
    </row>
    <row r="181" spans="1:8" s="566" customFormat="1" ht="13.35" hidden="1" customHeight="1">
      <c r="A181" s="610" t="s">
        <v>704</v>
      </c>
      <c r="B181" s="610" t="s">
        <v>1204</v>
      </c>
      <c r="C181" s="620" t="s">
        <v>40</v>
      </c>
      <c r="D181" s="1055">
        <v>0</v>
      </c>
      <c r="E181" s="991">
        <v>0</v>
      </c>
      <c r="F181" s="587">
        <v>0</v>
      </c>
      <c r="G181" s="756" t="s">
        <v>1564</v>
      </c>
      <c r="H181" s="753">
        <v>42.4</v>
      </c>
    </row>
    <row r="182" spans="1:8" s="566" customFormat="1" ht="13.35" hidden="1" customHeight="1">
      <c r="A182" s="610" t="s">
        <v>705</v>
      </c>
      <c r="B182" s="610" t="s">
        <v>1166</v>
      </c>
      <c r="C182" s="620" t="s">
        <v>37</v>
      </c>
      <c r="D182" s="1055">
        <v>0</v>
      </c>
      <c r="E182" s="991">
        <v>0</v>
      </c>
      <c r="F182" s="587">
        <v>0</v>
      </c>
      <c r="G182" s="756" t="s">
        <v>1558</v>
      </c>
      <c r="H182" s="753">
        <v>22.03</v>
      </c>
    </row>
    <row r="183" spans="1:8" s="566" customFormat="1" ht="13.35" hidden="1" customHeight="1">
      <c r="A183" s="610" t="s">
        <v>706</v>
      </c>
      <c r="B183" s="610" t="s">
        <v>1167</v>
      </c>
      <c r="C183" s="620" t="s">
        <v>37</v>
      </c>
      <c r="D183" s="1055">
        <v>0</v>
      </c>
      <c r="E183" s="991">
        <v>0</v>
      </c>
      <c r="F183" s="587">
        <v>0</v>
      </c>
      <c r="G183" s="756"/>
      <c r="H183" s="753">
        <v>0</v>
      </c>
    </row>
    <row r="184" spans="1:8" s="566" customFormat="1" ht="13.35" hidden="1" customHeight="1">
      <c r="A184" s="613" t="s">
        <v>707</v>
      </c>
      <c r="B184" s="613" t="s">
        <v>1168</v>
      </c>
      <c r="C184" s="696"/>
      <c r="D184" s="1055">
        <v>0</v>
      </c>
      <c r="E184" s="991">
        <v>0</v>
      </c>
      <c r="F184" s="587">
        <v>0</v>
      </c>
      <c r="G184" s="756"/>
      <c r="H184" s="753">
        <v>0</v>
      </c>
    </row>
    <row r="185" spans="1:8" s="566" customFormat="1" ht="13.35" hidden="1" customHeight="1">
      <c r="A185" s="610" t="s">
        <v>708</v>
      </c>
      <c r="B185" s="610" t="s">
        <v>1169</v>
      </c>
      <c r="C185" s="696"/>
      <c r="D185" s="1055">
        <v>0</v>
      </c>
      <c r="E185" s="991">
        <v>0</v>
      </c>
      <c r="F185" s="587">
        <v>0</v>
      </c>
      <c r="G185" s="756" t="s">
        <v>1469</v>
      </c>
      <c r="H185" s="753">
        <v>4.6100000000000003</v>
      </c>
    </row>
    <row r="186" spans="1:8" s="566" customFormat="1" ht="13.35" hidden="1" customHeight="1">
      <c r="A186" s="610" t="s">
        <v>709</v>
      </c>
      <c r="B186" s="610" t="s">
        <v>1205</v>
      </c>
      <c r="C186" s="620" t="s">
        <v>40</v>
      </c>
      <c r="D186" s="1055">
        <v>0</v>
      </c>
      <c r="E186" s="991">
        <v>0</v>
      </c>
      <c r="F186" s="587">
        <v>0</v>
      </c>
      <c r="G186" s="756" t="s">
        <v>1470</v>
      </c>
      <c r="H186" s="753">
        <v>192.7</v>
      </c>
    </row>
    <row r="187" spans="1:8" s="566" customFormat="1" ht="13.35" hidden="1" customHeight="1">
      <c r="A187" s="610" t="s">
        <v>710</v>
      </c>
      <c r="B187" s="610" t="s">
        <v>1171</v>
      </c>
      <c r="C187" s="620" t="s">
        <v>48</v>
      </c>
      <c r="D187" s="1055">
        <v>0</v>
      </c>
      <c r="E187" s="991">
        <v>0</v>
      </c>
      <c r="F187" s="587">
        <v>0</v>
      </c>
      <c r="G187" s="756"/>
      <c r="H187" s="753">
        <v>0</v>
      </c>
    </row>
    <row r="188" spans="1:8" s="566" customFormat="1" ht="13.35" hidden="1" customHeight="1">
      <c r="A188" s="610" t="s">
        <v>711</v>
      </c>
      <c r="B188" s="610" t="s">
        <v>1172</v>
      </c>
      <c r="C188" s="696"/>
      <c r="D188" s="1055">
        <v>0</v>
      </c>
      <c r="E188" s="991">
        <v>0</v>
      </c>
      <c r="F188" s="587">
        <v>0</v>
      </c>
      <c r="G188" s="756" t="s">
        <v>1565</v>
      </c>
      <c r="H188" s="753">
        <v>2.19</v>
      </c>
    </row>
    <row r="189" spans="1:8" s="566" customFormat="1" ht="13.35" hidden="1" customHeight="1">
      <c r="A189" s="610" t="s">
        <v>712</v>
      </c>
      <c r="B189" s="610" t="s">
        <v>1206</v>
      </c>
      <c r="C189" s="620" t="s">
        <v>40</v>
      </c>
      <c r="D189" s="1055">
        <v>0</v>
      </c>
      <c r="E189" s="991">
        <v>0</v>
      </c>
      <c r="F189" s="587">
        <v>0</v>
      </c>
      <c r="G189" s="756" t="s">
        <v>1566</v>
      </c>
      <c r="H189" s="753">
        <v>17.489999999999998</v>
      </c>
    </row>
    <row r="190" spans="1:8" s="566" customFormat="1" ht="13.35" hidden="1" customHeight="1">
      <c r="A190" s="610" t="s">
        <v>713</v>
      </c>
      <c r="B190" s="610" t="s">
        <v>1174</v>
      </c>
      <c r="C190" s="620" t="s">
        <v>37</v>
      </c>
      <c r="D190" s="1055">
        <v>0</v>
      </c>
      <c r="E190" s="991">
        <v>0</v>
      </c>
      <c r="F190" s="587">
        <v>0</v>
      </c>
      <c r="G190" s="756" t="s">
        <v>1567</v>
      </c>
      <c r="H190" s="753">
        <v>179.25</v>
      </c>
    </row>
    <row r="191" spans="1:8" s="566" customFormat="1" ht="13.35" hidden="1" customHeight="1">
      <c r="A191" s="610" t="s">
        <v>714</v>
      </c>
      <c r="B191" s="610" t="s">
        <v>1175</v>
      </c>
      <c r="C191" s="620" t="s">
        <v>48</v>
      </c>
      <c r="D191" s="1055">
        <v>0</v>
      </c>
      <c r="E191" s="991">
        <v>0</v>
      </c>
      <c r="F191" s="587">
        <v>0</v>
      </c>
      <c r="G191" s="756"/>
      <c r="H191" s="753">
        <v>0</v>
      </c>
    </row>
    <row r="192" spans="1:8" s="566" customFormat="1" ht="13.35" hidden="1" customHeight="1">
      <c r="A192" s="610" t="s">
        <v>715</v>
      </c>
      <c r="B192" s="610" t="s">
        <v>1176</v>
      </c>
      <c r="C192" s="696"/>
      <c r="D192" s="1055">
        <v>0</v>
      </c>
      <c r="E192" s="991">
        <v>0</v>
      </c>
      <c r="F192" s="587">
        <v>0</v>
      </c>
      <c r="G192" s="756" t="s">
        <v>1531</v>
      </c>
      <c r="H192" s="753">
        <v>2.1800000000000002</v>
      </c>
    </row>
    <row r="193" spans="1:8" s="566" customFormat="1" ht="13.35" hidden="1" customHeight="1">
      <c r="A193" s="610" t="s">
        <v>716</v>
      </c>
      <c r="B193" s="610" t="s">
        <v>1207</v>
      </c>
      <c r="C193" s="620" t="s">
        <v>40</v>
      </c>
      <c r="D193" s="1055">
        <v>0</v>
      </c>
      <c r="E193" s="991">
        <v>0</v>
      </c>
      <c r="F193" s="587">
        <v>0</v>
      </c>
      <c r="G193" s="756" t="s">
        <v>1568</v>
      </c>
      <c r="H193" s="753">
        <v>34.799999999999997</v>
      </c>
    </row>
    <row r="194" spans="1:8" s="566" customFormat="1" ht="13.35" hidden="1" customHeight="1">
      <c r="A194" s="610" t="s">
        <v>717</v>
      </c>
      <c r="B194" s="610" t="s">
        <v>1178</v>
      </c>
      <c r="C194" s="620" t="s">
        <v>37</v>
      </c>
      <c r="D194" s="1055">
        <v>0</v>
      </c>
      <c r="E194" s="991">
        <v>0</v>
      </c>
      <c r="F194" s="587">
        <v>0</v>
      </c>
      <c r="G194" s="756" t="s">
        <v>1569</v>
      </c>
      <c r="H194" s="753">
        <v>314.66000000000003</v>
      </c>
    </row>
    <row r="195" spans="1:8" s="566" customFormat="1" ht="13.35" hidden="1" customHeight="1">
      <c r="A195" s="610" t="s">
        <v>718</v>
      </c>
      <c r="B195" s="610" t="s">
        <v>1179</v>
      </c>
      <c r="C195" s="620" t="s">
        <v>48</v>
      </c>
      <c r="D195" s="1055">
        <v>0</v>
      </c>
      <c r="E195" s="991">
        <v>0</v>
      </c>
      <c r="F195" s="587">
        <v>0</v>
      </c>
      <c r="G195" s="756"/>
      <c r="H195" s="753">
        <v>0</v>
      </c>
    </row>
    <row r="196" spans="1:8" s="566" customFormat="1" ht="13.35" hidden="1" customHeight="1">
      <c r="A196" s="610" t="s">
        <v>719</v>
      </c>
      <c r="B196" s="610" t="s">
        <v>1180</v>
      </c>
      <c r="C196" s="696"/>
      <c r="D196" s="1055">
        <v>0</v>
      </c>
      <c r="E196" s="991">
        <v>0</v>
      </c>
      <c r="F196" s="587">
        <v>0</v>
      </c>
      <c r="G196" s="756" t="s">
        <v>1477</v>
      </c>
      <c r="H196" s="753">
        <v>1.49</v>
      </c>
    </row>
    <row r="197" spans="1:8" s="566" customFormat="1" ht="13.35" hidden="1" customHeight="1">
      <c r="A197" s="610" t="s">
        <v>720</v>
      </c>
      <c r="B197" s="610" t="s">
        <v>1181</v>
      </c>
      <c r="C197" s="620" t="s">
        <v>40</v>
      </c>
      <c r="D197" s="1055">
        <v>0</v>
      </c>
      <c r="E197" s="991">
        <v>0</v>
      </c>
      <c r="F197" s="587">
        <v>0</v>
      </c>
      <c r="G197" s="756" t="s">
        <v>1478</v>
      </c>
      <c r="H197" s="753">
        <v>19.71</v>
      </c>
    </row>
    <row r="198" spans="1:8" s="566" customFormat="1" ht="13.35" hidden="1" customHeight="1">
      <c r="A198" s="610" t="s">
        <v>721</v>
      </c>
      <c r="B198" s="610" t="s">
        <v>1182</v>
      </c>
      <c r="C198" s="620" t="s">
        <v>37</v>
      </c>
      <c r="D198" s="1055">
        <v>0</v>
      </c>
      <c r="E198" s="991">
        <v>0</v>
      </c>
      <c r="F198" s="587">
        <v>0</v>
      </c>
      <c r="G198" s="756" t="s">
        <v>1479</v>
      </c>
      <c r="H198" s="753">
        <v>659.98</v>
      </c>
    </row>
    <row r="199" spans="1:8" s="566" customFormat="1" ht="13.35" hidden="1" customHeight="1">
      <c r="A199" s="610" t="s">
        <v>722</v>
      </c>
      <c r="B199" s="610" t="s">
        <v>1183</v>
      </c>
      <c r="C199" s="620" t="s">
        <v>48</v>
      </c>
      <c r="D199" s="1055">
        <v>0</v>
      </c>
      <c r="E199" s="991">
        <v>0</v>
      </c>
      <c r="F199" s="587">
        <v>0</v>
      </c>
      <c r="G199" s="756"/>
      <c r="H199" s="753">
        <v>0</v>
      </c>
    </row>
    <row r="200" spans="1:8" s="566" customFormat="1" ht="13.35" hidden="1" customHeight="1">
      <c r="A200" s="610" t="s">
        <v>723</v>
      </c>
      <c r="B200" s="610" t="s">
        <v>1184</v>
      </c>
      <c r="C200" s="696"/>
      <c r="D200" s="1055">
        <v>0</v>
      </c>
      <c r="E200" s="991">
        <v>0</v>
      </c>
      <c r="F200" s="587">
        <v>0</v>
      </c>
      <c r="G200" s="756" t="s">
        <v>1570</v>
      </c>
      <c r="H200" s="753">
        <v>5.6</v>
      </c>
    </row>
    <row r="201" spans="1:8" s="566" customFormat="1" ht="13.35" hidden="1" customHeight="1">
      <c r="A201" s="610" t="s">
        <v>724</v>
      </c>
      <c r="B201" s="610" t="s">
        <v>1185</v>
      </c>
      <c r="C201" s="620" t="s">
        <v>40</v>
      </c>
      <c r="D201" s="1055">
        <v>0</v>
      </c>
      <c r="E201" s="991">
        <v>0</v>
      </c>
      <c r="F201" s="587">
        <v>0</v>
      </c>
      <c r="G201" s="756" t="s">
        <v>1571</v>
      </c>
      <c r="H201" s="753">
        <v>48.75</v>
      </c>
    </row>
    <row r="202" spans="1:8" s="566" customFormat="1" ht="13.35" hidden="1" customHeight="1">
      <c r="A202" s="610" t="s">
        <v>725</v>
      </c>
      <c r="B202" s="610" t="s">
        <v>1186</v>
      </c>
      <c r="C202" s="620" t="s">
        <v>37</v>
      </c>
      <c r="D202" s="1055">
        <v>0</v>
      </c>
      <c r="E202" s="991">
        <v>0</v>
      </c>
      <c r="F202" s="587">
        <v>0</v>
      </c>
      <c r="G202" s="756" t="s">
        <v>1572</v>
      </c>
      <c r="H202" s="753">
        <v>642.09</v>
      </c>
    </row>
    <row r="203" spans="1:8" s="566" customFormat="1" ht="13.35" hidden="1" customHeight="1">
      <c r="A203" s="610" t="s">
        <v>726</v>
      </c>
      <c r="B203" s="610" t="s">
        <v>1187</v>
      </c>
      <c r="C203" s="620" t="s">
        <v>48</v>
      </c>
      <c r="D203" s="1055">
        <v>0</v>
      </c>
      <c r="E203" s="991">
        <v>0</v>
      </c>
      <c r="F203" s="587">
        <v>0</v>
      </c>
      <c r="G203" s="756"/>
      <c r="H203" s="753">
        <v>0</v>
      </c>
    </row>
    <row r="204" spans="1:8" s="566" customFormat="1" ht="13.35" hidden="1" customHeight="1">
      <c r="A204" s="610" t="s">
        <v>727</v>
      </c>
      <c r="B204" s="610" t="s">
        <v>1188</v>
      </c>
      <c r="C204" s="696"/>
      <c r="D204" s="1055">
        <v>0</v>
      </c>
      <c r="E204" s="991">
        <v>0</v>
      </c>
      <c r="F204" s="587">
        <v>0</v>
      </c>
      <c r="G204" s="756" t="s">
        <v>1573</v>
      </c>
      <c r="H204" s="753">
        <v>3.36</v>
      </c>
    </row>
    <row r="205" spans="1:8" s="566" customFormat="1" ht="13.35" hidden="1" customHeight="1">
      <c r="A205" s="610" t="s">
        <v>728</v>
      </c>
      <c r="B205" s="610" t="s">
        <v>1189</v>
      </c>
      <c r="C205" s="620" t="s">
        <v>40</v>
      </c>
      <c r="D205" s="1055">
        <v>0</v>
      </c>
      <c r="E205" s="991">
        <v>0</v>
      </c>
      <c r="F205" s="587">
        <v>0</v>
      </c>
      <c r="G205" s="756" t="s">
        <v>1574</v>
      </c>
      <c r="H205" s="753">
        <v>38.35</v>
      </c>
    </row>
    <row r="206" spans="1:8" s="566" customFormat="1" ht="13.35" hidden="1" customHeight="1">
      <c r="A206" s="610" t="s">
        <v>729</v>
      </c>
      <c r="B206" s="610" t="s">
        <v>1190</v>
      </c>
      <c r="C206" s="620" t="s">
        <v>37</v>
      </c>
      <c r="D206" s="1055">
        <v>0</v>
      </c>
      <c r="E206" s="991">
        <v>0</v>
      </c>
      <c r="F206" s="587">
        <v>0</v>
      </c>
      <c r="G206" s="756" t="s">
        <v>1575</v>
      </c>
      <c r="H206" s="753">
        <v>276.95999999999998</v>
      </c>
    </row>
    <row r="207" spans="1:8" s="566" customFormat="1" ht="13.35" hidden="1" customHeight="1">
      <c r="A207" s="610" t="s">
        <v>730</v>
      </c>
      <c r="B207" s="610" t="s">
        <v>1191</v>
      </c>
      <c r="C207" s="620" t="s">
        <v>48</v>
      </c>
      <c r="D207" s="1055">
        <v>0</v>
      </c>
      <c r="E207" s="991">
        <v>0</v>
      </c>
      <c r="F207" s="587">
        <v>0</v>
      </c>
      <c r="G207" s="756" t="s">
        <v>1576</v>
      </c>
      <c r="H207" s="753">
        <v>319.48</v>
      </c>
    </row>
    <row r="208" spans="1:8" s="566" customFormat="1" ht="13.35" hidden="1" customHeight="1">
      <c r="A208" s="610" t="s">
        <v>731</v>
      </c>
      <c r="B208" s="610" t="s">
        <v>1192</v>
      </c>
      <c r="C208" s="620" t="s">
        <v>1449</v>
      </c>
      <c r="D208" s="1055">
        <v>0</v>
      </c>
      <c r="E208" s="991">
        <v>0</v>
      </c>
      <c r="F208" s="587">
        <v>0</v>
      </c>
      <c r="G208" s="756"/>
      <c r="H208" s="753">
        <v>0</v>
      </c>
    </row>
    <row r="209" spans="1:8" s="566" customFormat="1" ht="13.35" hidden="1" customHeight="1">
      <c r="A209" s="610" t="s">
        <v>732</v>
      </c>
      <c r="B209" s="610" t="s">
        <v>1193</v>
      </c>
      <c r="C209" s="696"/>
      <c r="D209" s="1055">
        <v>0</v>
      </c>
      <c r="E209" s="991">
        <v>0</v>
      </c>
      <c r="F209" s="587">
        <v>0</v>
      </c>
      <c r="G209" s="756" t="s">
        <v>1577</v>
      </c>
      <c r="H209" s="753">
        <v>1.03</v>
      </c>
    </row>
    <row r="210" spans="1:8" s="566" customFormat="1" ht="13.35" hidden="1" customHeight="1">
      <c r="A210" s="610" t="s">
        <v>733</v>
      </c>
      <c r="B210" s="610" t="s">
        <v>1194</v>
      </c>
      <c r="C210" s="620" t="s">
        <v>40</v>
      </c>
      <c r="D210" s="1055">
        <v>0</v>
      </c>
      <c r="E210" s="991">
        <v>0</v>
      </c>
      <c r="F210" s="587">
        <v>0</v>
      </c>
      <c r="G210" s="756" t="s">
        <v>1578</v>
      </c>
      <c r="H210" s="753">
        <v>13.74</v>
      </c>
    </row>
    <row r="211" spans="1:8" s="566" customFormat="1" ht="13.35" hidden="1" customHeight="1">
      <c r="A211" s="610" t="s">
        <v>734</v>
      </c>
      <c r="B211" s="610" t="s">
        <v>1195</v>
      </c>
      <c r="C211" s="620" t="s">
        <v>37</v>
      </c>
      <c r="D211" s="1055">
        <v>0</v>
      </c>
      <c r="E211" s="991">
        <v>0</v>
      </c>
      <c r="F211" s="587">
        <v>0</v>
      </c>
      <c r="G211" s="756" t="s">
        <v>1579</v>
      </c>
      <c r="H211" s="753">
        <v>65.349999999999994</v>
      </c>
    </row>
    <row r="212" spans="1:8" s="566" customFormat="1" ht="13.35" hidden="1" customHeight="1">
      <c r="A212" s="610" t="s">
        <v>735</v>
      </c>
      <c r="B212" s="610" t="s">
        <v>1196</v>
      </c>
      <c r="C212" s="620" t="s">
        <v>48</v>
      </c>
      <c r="D212" s="1055">
        <v>0</v>
      </c>
      <c r="E212" s="991">
        <v>0</v>
      </c>
      <c r="F212" s="587">
        <v>0</v>
      </c>
      <c r="G212" s="756"/>
      <c r="H212" s="753">
        <v>0</v>
      </c>
    </row>
    <row r="213" spans="1:8" s="566" customFormat="1" ht="13.35" hidden="1" customHeight="1">
      <c r="A213" s="613" t="s">
        <v>736</v>
      </c>
      <c r="B213" s="613" t="s">
        <v>1197</v>
      </c>
      <c r="C213" s="696"/>
      <c r="D213" s="1055">
        <v>0</v>
      </c>
      <c r="E213" s="991">
        <v>0</v>
      </c>
      <c r="F213" s="587">
        <v>0</v>
      </c>
      <c r="G213" s="756" t="s">
        <v>1580</v>
      </c>
      <c r="H213" s="753">
        <v>110.7</v>
      </c>
    </row>
    <row r="214" spans="1:8" s="566" customFormat="1" ht="13.35" hidden="1" customHeight="1">
      <c r="A214" s="610" t="s">
        <v>737</v>
      </c>
      <c r="B214" s="610" t="s">
        <v>1198</v>
      </c>
      <c r="C214" s="620" t="s">
        <v>38</v>
      </c>
      <c r="D214" s="1055">
        <v>0</v>
      </c>
      <c r="E214" s="991">
        <v>0</v>
      </c>
      <c r="F214" s="587">
        <v>0</v>
      </c>
      <c r="G214" s="756"/>
      <c r="H214" s="753">
        <v>0</v>
      </c>
    </row>
    <row r="215" spans="1:8" s="566" customFormat="1" ht="13.35" hidden="1" customHeight="1">
      <c r="A215" s="613" t="s">
        <v>738</v>
      </c>
      <c r="B215" s="613" t="s">
        <v>1199</v>
      </c>
      <c r="C215" s="620"/>
      <c r="D215" s="1055">
        <v>0</v>
      </c>
      <c r="E215" s="991">
        <v>0</v>
      </c>
      <c r="F215" s="587">
        <v>0</v>
      </c>
      <c r="G215" s="756" t="s">
        <v>1581</v>
      </c>
      <c r="H215" s="753">
        <v>46</v>
      </c>
    </row>
    <row r="216" spans="1:8" s="566" customFormat="1" ht="13.35" hidden="1" customHeight="1">
      <c r="A216" s="610" t="s">
        <v>739</v>
      </c>
      <c r="B216" s="610" t="s">
        <v>1200</v>
      </c>
      <c r="C216" s="620" t="s">
        <v>38</v>
      </c>
      <c r="D216" s="1055">
        <v>0</v>
      </c>
      <c r="E216" s="991">
        <v>0</v>
      </c>
      <c r="F216" s="587">
        <v>0</v>
      </c>
      <c r="G216" s="756" t="s">
        <v>1492</v>
      </c>
      <c r="H216" s="753">
        <v>15</v>
      </c>
    </row>
    <row r="217" spans="1:8" s="566" customFormat="1" ht="13.35" hidden="1" customHeight="1">
      <c r="A217" s="610" t="s">
        <v>740</v>
      </c>
      <c r="B217" s="610" t="s">
        <v>225</v>
      </c>
      <c r="C217" s="620" t="s">
        <v>1449</v>
      </c>
      <c r="D217" s="1055">
        <v>0</v>
      </c>
      <c r="E217" s="991">
        <v>0</v>
      </c>
      <c r="F217" s="587">
        <v>0</v>
      </c>
      <c r="G217" s="756"/>
      <c r="H217" s="753">
        <v>0</v>
      </c>
    </row>
    <row r="218" spans="1:8" s="566" customFormat="1" ht="13.35" hidden="1" customHeight="1">
      <c r="A218" s="498" t="s">
        <v>741</v>
      </c>
      <c r="B218" s="614" t="s">
        <v>1210</v>
      </c>
      <c r="C218" s="696"/>
      <c r="D218" s="1055">
        <v>0</v>
      </c>
      <c r="E218" s="991">
        <v>0</v>
      </c>
      <c r="F218" s="587">
        <v>0</v>
      </c>
      <c r="G218" s="756"/>
      <c r="H218" s="753">
        <v>0</v>
      </c>
    </row>
    <row r="219" spans="1:8" s="566" customFormat="1" ht="13.35" hidden="1" customHeight="1">
      <c r="A219" s="613" t="s">
        <v>742</v>
      </c>
      <c r="B219" s="613" t="s">
        <v>46</v>
      </c>
      <c r="C219" s="696"/>
      <c r="D219" s="1055">
        <v>0</v>
      </c>
      <c r="E219" s="991">
        <v>0</v>
      </c>
      <c r="F219" s="587">
        <v>0</v>
      </c>
      <c r="G219" s="756" t="s">
        <v>1582</v>
      </c>
      <c r="H219" s="753">
        <v>467.39</v>
      </c>
    </row>
    <row r="220" spans="1:8" s="566" customFormat="1" ht="13.35" hidden="1" customHeight="1">
      <c r="A220" s="610" t="s">
        <v>743</v>
      </c>
      <c r="B220" s="610" t="s">
        <v>1211</v>
      </c>
      <c r="C220" s="620" t="s">
        <v>40</v>
      </c>
      <c r="D220" s="1055">
        <v>0</v>
      </c>
      <c r="E220" s="991">
        <v>0</v>
      </c>
      <c r="F220" s="587">
        <v>0</v>
      </c>
      <c r="G220" s="787" t="s">
        <v>1583</v>
      </c>
      <c r="H220" s="753">
        <v>560.87</v>
      </c>
    </row>
    <row r="221" spans="1:8" s="566" customFormat="1" ht="13.35" hidden="1" customHeight="1">
      <c r="A221" s="610" t="s">
        <v>744</v>
      </c>
      <c r="B221" s="610" t="s">
        <v>1160</v>
      </c>
      <c r="C221" s="620" t="s">
        <v>40</v>
      </c>
      <c r="D221" s="1055">
        <v>0</v>
      </c>
      <c r="E221" s="991">
        <v>0</v>
      </c>
      <c r="F221" s="587">
        <v>0</v>
      </c>
      <c r="G221" s="787"/>
      <c r="H221" s="753">
        <v>0</v>
      </c>
    </row>
    <row r="222" spans="1:8" s="566" customFormat="1" ht="13.35" hidden="1" customHeight="1">
      <c r="A222" s="613" t="s">
        <v>745</v>
      </c>
      <c r="B222" s="613" t="s">
        <v>1161</v>
      </c>
      <c r="C222" s="620"/>
      <c r="D222" s="1055">
        <v>0</v>
      </c>
      <c r="E222" s="991">
        <v>0</v>
      </c>
      <c r="F222" s="587">
        <v>0</v>
      </c>
      <c r="G222" s="787" t="s">
        <v>1584</v>
      </c>
      <c r="H222" s="753">
        <v>13.83</v>
      </c>
    </row>
    <row r="223" spans="1:8" s="566" customFormat="1" ht="13.35" hidden="1" customHeight="1">
      <c r="A223" s="610" t="s">
        <v>746</v>
      </c>
      <c r="B223" s="610" t="s">
        <v>1203</v>
      </c>
      <c r="C223" s="620" t="s">
        <v>40</v>
      </c>
      <c r="D223" s="1055">
        <v>0</v>
      </c>
      <c r="E223" s="991">
        <v>0</v>
      </c>
      <c r="F223" s="587">
        <v>0</v>
      </c>
      <c r="G223" s="787"/>
      <c r="H223" s="753">
        <v>0</v>
      </c>
    </row>
    <row r="224" spans="1:8" s="566" customFormat="1" ht="13.35" hidden="1" customHeight="1">
      <c r="A224" s="613" t="s">
        <v>747</v>
      </c>
      <c r="B224" s="613" t="s">
        <v>1168</v>
      </c>
      <c r="C224" s="696"/>
      <c r="D224" s="1055">
        <v>0</v>
      </c>
      <c r="E224" s="991">
        <v>0</v>
      </c>
      <c r="F224" s="587">
        <v>0</v>
      </c>
      <c r="G224" s="787"/>
      <c r="H224" s="753">
        <v>0</v>
      </c>
    </row>
    <row r="225" spans="1:8" s="566" customFormat="1" ht="13.35" hidden="1" customHeight="1">
      <c r="A225" s="610" t="s">
        <v>748</v>
      </c>
      <c r="B225" s="610" t="s">
        <v>1176</v>
      </c>
      <c r="C225" s="696"/>
      <c r="D225" s="1055">
        <v>0</v>
      </c>
      <c r="E225" s="991">
        <v>0</v>
      </c>
      <c r="F225" s="587">
        <v>0</v>
      </c>
      <c r="G225" s="787" t="s">
        <v>1585</v>
      </c>
      <c r="H225" s="753">
        <v>4.8899999999999997</v>
      </c>
    </row>
    <row r="226" spans="1:8" s="566" customFormat="1" ht="13.35" hidden="1" customHeight="1">
      <c r="A226" s="610" t="s">
        <v>749</v>
      </c>
      <c r="B226" s="610" t="s">
        <v>1207</v>
      </c>
      <c r="C226" s="620" t="s">
        <v>40</v>
      </c>
      <c r="D226" s="1055">
        <v>0</v>
      </c>
      <c r="E226" s="991">
        <v>0</v>
      </c>
      <c r="F226" s="587">
        <v>0</v>
      </c>
      <c r="G226" s="787" t="s">
        <v>1586</v>
      </c>
      <c r="H226" s="753">
        <v>76.69</v>
      </c>
    </row>
    <row r="227" spans="1:8" s="566" customFormat="1" ht="13.35" hidden="1" customHeight="1">
      <c r="A227" s="610" t="s">
        <v>750</v>
      </c>
      <c r="B227" s="610" t="s">
        <v>1178</v>
      </c>
      <c r="C227" s="620" t="s">
        <v>37</v>
      </c>
      <c r="D227" s="1055">
        <v>0</v>
      </c>
      <c r="E227" s="991">
        <v>0</v>
      </c>
      <c r="F227" s="587">
        <v>0</v>
      </c>
      <c r="G227" s="787" t="s">
        <v>1587</v>
      </c>
      <c r="H227" s="753">
        <v>947.8</v>
      </c>
    </row>
    <row r="228" spans="1:8" s="566" customFormat="1" ht="13.35" hidden="1" customHeight="1">
      <c r="A228" s="610" t="s">
        <v>751</v>
      </c>
      <c r="B228" s="610" t="s">
        <v>1179</v>
      </c>
      <c r="C228" s="620" t="s">
        <v>48</v>
      </c>
      <c r="D228" s="1055">
        <v>0</v>
      </c>
      <c r="E228" s="991">
        <v>0</v>
      </c>
      <c r="F228" s="587">
        <v>0</v>
      </c>
      <c r="G228" s="787"/>
      <c r="H228" s="753">
        <v>0</v>
      </c>
    </row>
    <row r="229" spans="1:8" s="566" customFormat="1" ht="13.35" hidden="1" customHeight="1">
      <c r="A229" s="610" t="s">
        <v>752</v>
      </c>
      <c r="B229" s="610" t="s">
        <v>1184</v>
      </c>
      <c r="C229" s="696"/>
      <c r="D229" s="1055">
        <v>0</v>
      </c>
      <c r="E229" s="991">
        <v>0</v>
      </c>
      <c r="F229" s="587">
        <v>0</v>
      </c>
      <c r="G229" s="787" t="s">
        <v>1588</v>
      </c>
      <c r="H229" s="753">
        <v>4.2300000000000004</v>
      </c>
    </row>
    <row r="230" spans="1:8" s="566" customFormat="1" ht="13.35" hidden="1" customHeight="1">
      <c r="A230" s="610" t="s">
        <v>753</v>
      </c>
      <c r="B230" s="610" t="s">
        <v>1185</v>
      </c>
      <c r="C230" s="620" t="s">
        <v>40</v>
      </c>
      <c r="D230" s="1055">
        <v>0</v>
      </c>
      <c r="E230" s="991">
        <v>0</v>
      </c>
      <c r="F230" s="587">
        <v>0</v>
      </c>
      <c r="G230" s="787" t="s">
        <v>1589</v>
      </c>
      <c r="H230" s="753">
        <v>49.66</v>
      </c>
    </row>
    <row r="231" spans="1:8" s="566" customFormat="1" ht="13.35" hidden="1" customHeight="1">
      <c r="A231" s="610" t="s">
        <v>754</v>
      </c>
      <c r="B231" s="610" t="s">
        <v>1186</v>
      </c>
      <c r="C231" s="620" t="s">
        <v>37</v>
      </c>
      <c r="D231" s="1055">
        <v>0</v>
      </c>
      <c r="E231" s="991">
        <v>0</v>
      </c>
      <c r="F231" s="587">
        <v>0</v>
      </c>
      <c r="G231" s="787" t="s">
        <v>1590</v>
      </c>
      <c r="H231" s="753">
        <v>483.02</v>
      </c>
    </row>
    <row r="232" spans="1:8" s="566" customFormat="1" ht="13.35" hidden="1" customHeight="1">
      <c r="A232" s="610" t="s">
        <v>755</v>
      </c>
      <c r="B232" s="610" t="s">
        <v>1187</v>
      </c>
      <c r="C232" s="620" t="s">
        <v>48</v>
      </c>
      <c r="D232" s="1055">
        <v>0</v>
      </c>
      <c r="E232" s="991">
        <v>0</v>
      </c>
      <c r="F232" s="587">
        <v>0</v>
      </c>
      <c r="G232" s="787"/>
      <c r="H232" s="753">
        <v>0</v>
      </c>
    </row>
    <row r="233" spans="1:8" s="566" customFormat="1" ht="13.35" hidden="1" customHeight="1">
      <c r="A233" s="610" t="s">
        <v>756</v>
      </c>
      <c r="B233" s="610" t="s">
        <v>1212</v>
      </c>
      <c r="C233" s="696"/>
      <c r="D233" s="1055">
        <v>0</v>
      </c>
      <c r="E233" s="991">
        <v>0</v>
      </c>
      <c r="F233" s="587">
        <v>0</v>
      </c>
      <c r="G233" s="787" t="s">
        <v>1591</v>
      </c>
      <c r="H233" s="753">
        <v>4.24</v>
      </c>
    </row>
    <row r="234" spans="1:8" s="566" customFormat="1" ht="13.35" hidden="1" customHeight="1">
      <c r="A234" s="610" t="s">
        <v>757</v>
      </c>
      <c r="B234" s="610" t="s">
        <v>1204</v>
      </c>
      <c r="C234" s="620" t="s">
        <v>40</v>
      </c>
      <c r="D234" s="1055">
        <v>0</v>
      </c>
      <c r="E234" s="991">
        <v>0</v>
      </c>
      <c r="F234" s="587">
        <v>0</v>
      </c>
      <c r="G234" s="787" t="s">
        <v>1592</v>
      </c>
      <c r="H234" s="753">
        <v>56.57</v>
      </c>
    </row>
    <row r="235" spans="1:8" s="566" customFormat="1" ht="13.35" hidden="1" customHeight="1">
      <c r="A235" s="610" t="s">
        <v>758</v>
      </c>
      <c r="B235" s="610" t="s">
        <v>1213</v>
      </c>
      <c r="C235" s="620" t="s">
        <v>37</v>
      </c>
      <c r="D235" s="1055">
        <v>0</v>
      </c>
      <c r="E235" s="991">
        <v>0</v>
      </c>
      <c r="F235" s="587">
        <v>0</v>
      </c>
      <c r="G235" s="787" t="s">
        <v>1593</v>
      </c>
      <c r="H235" s="753">
        <v>438.73</v>
      </c>
    </row>
    <row r="236" spans="1:8" s="566" customFormat="1" ht="13.35" hidden="1" customHeight="1">
      <c r="A236" s="610" t="s">
        <v>759</v>
      </c>
      <c r="B236" s="610" t="s">
        <v>1214</v>
      </c>
      <c r="C236" s="620" t="s">
        <v>48</v>
      </c>
      <c r="D236" s="1055">
        <v>0</v>
      </c>
      <c r="E236" s="991">
        <v>0</v>
      </c>
      <c r="F236" s="587">
        <v>0</v>
      </c>
      <c r="G236" s="787"/>
      <c r="H236" s="753">
        <v>0</v>
      </c>
    </row>
    <row r="237" spans="1:8" s="566" customFormat="1" ht="13.35" hidden="1" customHeight="1">
      <c r="A237" s="613" t="s">
        <v>760</v>
      </c>
      <c r="B237" s="613" t="s">
        <v>1199</v>
      </c>
      <c r="C237" s="696"/>
      <c r="D237" s="1055">
        <v>0</v>
      </c>
      <c r="E237" s="991">
        <v>0</v>
      </c>
      <c r="F237" s="587">
        <v>0</v>
      </c>
      <c r="G237" s="787" t="s">
        <v>1594</v>
      </c>
      <c r="H237" s="753">
        <v>36</v>
      </c>
    </row>
    <row r="238" spans="1:8" s="566" customFormat="1" ht="13.35" hidden="1" customHeight="1">
      <c r="A238" s="610" t="s">
        <v>761</v>
      </c>
      <c r="B238" s="610" t="s">
        <v>1215</v>
      </c>
      <c r="C238" s="620" t="s">
        <v>38</v>
      </c>
      <c r="D238" s="1055">
        <v>0</v>
      </c>
      <c r="E238" s="991">
        <v>0</v>
      </c>
      <c r="F238" s="587">
        <v>0</v>
      </c>
      <c r="G238" s="787"/>
      <c r="H238" s="753">
        <v>0</v>
      </c>
    </row>
    <row r="239" spans="1:8" s="566" customFormat="1" ht="13.35" hidden="1" customHeight="1">
      <c r="A239" s="498" t="s">
        <v>762</v>
      </c>
      <c r="B239" s="614" t="s">
        <v>1216</v>
      </c>
      <c r="C239" s="696"/>
      <c r="D239" s="1055">
        <v>0</v>
      </c>
      <c r="E239" s="991">
        <v>0</v>
      </c>
      <c r="F239" s="587">
        <v>0</v>
      </c>
      <c r="G239" s="787"/>
      <c r="H239" s="753">
        <v>0</v>
      </c>
    </row>
    <row r="240" spans="1:8" s="566" customFormat="1" ht="13.35" hidden="1" customHeight="1">
      <c r="A240" s="613" t="s">
        <v>763</v>
      </c>
      <c r="B240" s="613" t="s">
        <v>46</v>
      </c>
      <c r="C240" s="696"/>
      <c r="D240" s="1055">
        <v>0</v>
      </c>
      <c r="E240" s="991">
        <v>0</v>
      </c>
      <c r="F240" s="587">
        <v>0</v>
      </c>
      <c r="G240" s="787" t="s">
        <v>1595</v>
      </c>
      <c r="H240" s="753">
        <v>441.64</v>
      </c>
    </row>
    <row r="241" spans="1:8" s="566" customFormat="1" ht="13.35" hidden="1" customHeight="1">
      <c r="A241" s="610" t="s">
        <v>764</v>
      </c>
      <c r="B241" s="610" t="s">
        <v>1211</v>
      </c>
      <c r="C241" s="620" t="s">
        <v>40</v>
      </c>
      <c r="D241" s="1055">
        <v>0</v>
      </c>
      <c r="E241" s="991">
        <v>0</v>
      </c>
      <c r="F241" s="587">
        <v>0</v>
      </c>
      <c r="G241" s="787" t="s">
        <v>1596</v>
      </c>
      <c r="H241" s="753">
        <v>574.13</v>
      </c>
    </row>
    <row r="242" spans="1:8" s="566" customFormat="1" ht="13.35" hidden="1" customHeight="1">
      <c r="A242" s="610" t="s">
        <v>765</v>
      </c>
      <c r="B242" s="610" t="s">
        <v>1160</v>
      </c>
      <c r="C242" s="620" t="s">
        <v>40</v>
      </c>
      <c r="D242" s="1055">
        <v>0</v>
      </c>
      <c r="E242" s="991">
        <v>0</v>
      </c>
      <c r="F242" s="587">
        <v>0</v>
      </c>
      <c r="G242" s="787"/>
      <c r="H242" s="753">
        <v>0</v>
      </c>
    </row>
    <row r="243" spans="1:8" s="566" customFormat="1" ht="13.35" hidden="1" customHeight="1">
      <c r="A243" s="613" t="s">
        <v>766</v>
      </c>
      <c r="B243" s="613" t="s">
        <v>1217</v>
      </c>
      <c r="C243" s="696"/>
      <c r="D243" s="1055">
        <v>0</v>
      </c>
      <c r="E243" s="991">
        <v>0</v>
      </c>
      <c r="F243" s="587">
        <v>0</v>
      </c>
      <c r="G243" s="787" t="s">
        <v>1597</v>
      </c>
      <c r="H243" s="753">
        <v>204.01</v>
      </c>
    </row>
    <row r="244" spans="1:8" s="566" customFormat="1" ht="13.35" hidden="1" customHeight="1">
      <c r="A244" s="610" t="s">
        <v>767</v>
      </c>
      <c r="B244" s="610" t="s">
        <v>1218</v>
      </c>
      <c r="C244" s="620" t="s">
        <v>40</v>
      </c>
      <c r="D244" s="1055">
        <v>0</v>
      </c>
      <c r="E244" s="991">
        <v>0</v>
      </c>
      <c r="F244" s="587">
        <v>0</v>
      </c>
      <c r="G244" s="787" t="s">
        <v>1598</v>
      </c>
      <c r="H244" s="753">
        <v>550.44000000000005</v>
      </c>
    </row>
    <row r="245" spans="1:8" s="566" customFormat="1" ht="13.35" hidden="1" customHeight="1">
      <c r="A245" s="610" t="s">
        <v>768</v>
      </c>
      <c r="B245" s="610" t="s">
        <v>1219</v>
      </c>
      <c r="C245" s="620" t="s">
        <v>37</v>
      </c>
      <c r="D245" s="1055">
        <v>0</v>
      </c>
      <c r="E245" s="991">
        <v>0</v>
      </c>
      <c r="F245" s="587">
        <v>0</v>
      </c>
      <c r="G245" s="787" t="s">
        <v>1599</v>
      </c>
      <c r="H245" s="753">
        <v>15448.74</v>
      </c>
    </row>
    <row r="246" spans="1:8" s="566" customFormat="1" ht="13.35" hidden="1" customHeight="1">
      <c r="A246" s="610" t="s">
        <v>769</v>
      </c>
      <c r="B246" s="610" t="s">
        <v>1220</v>
      </c>
      <c r="C246" s="620" t="s">
        <v>48</v>
      </c>
      <c r="D246" s="1055">
        <v>0</v>
      </c>
      <c r="E246" s="991">
        <v>0</v>
      </c>
      <c r="F246" s="587">
        <v>0</v>
      </c>
      <c r="G246" s="787"/>
      <c r="H246" s="753">
        <v>0</v>
      </c>
    </row>
    <row r="247" spans="1:8" s="566" customFormat="1" ht="13.35" hidden="1" customHeight="1">
      <c r="A247" s="613" t="s">
        <v>770</v>
      </c>
      <c r="B247" s="613" t="s">
        <v>1199</v>
      </c>
      <c r="C247" s="696"/>
      <c r="D247" s="1055">
        <v>0</v>
      </c>
      <c r="E247" s="991">
        <v>0</v>
      </c>
      <c r="F247" s="587">
        <v>0</v>
      </c>
      <c r="G247" s="787" t="s">
        <v>1600</v>
      </c>
      <c r="H247" s="753">
        <v>111.93</v>
      </c>
    </row>
    <row r="248" spans="1:8" s="566" customFormat="1" ht="13.35" hidden="1" customHeight="1">
      <c r="A248" s="610" t="s">
        <v>771</v>
      </c>
      <c r="B248" s="610" t="s">
        <v>1221</v>
      </c>
      <c r="C248" s="620" t="s">
        <v>38</v>
      </c>
      <c r="D248" s="1055">
        <v>0</v>
      </c>
      <c r="E248" s="991">
        <v>0</v>
      </c>
      <c r="F248" s="587">
        <v>0</v>
      </c>
      <c r="G248" s="787" t="s">
        <v>1601</v>
      </c>
      <c r="H248" s="753">
        <v>24</v>
      </c>
    </row>
    <row r="249" spans="1:8" s="566" customFormat="1" ht="13.35" hidden="1" customHeight="1">
      <c r="A249" s="610" t="s">
        <v>772</v>
      </c>
      <c r="B249" s="610" t="s">
        <v>225</v>
      </c>
      <c r="C249" s="620" t="s">
        <v>1449</v>
      </c>
      <c r="D249" s="1055">
        <v>0</v>
      </c>
      <c r="E249" s="991">
        <v>0</v>
      </c>
      <c r="F249" s="587">
        <v>0</v>
      </c>
      <c r="G249" s="787"/>
      <c r="H249" s="753">
        <v>0</v>
      </c>
    </row>
    <row r="250" spans="1:8" s="566" customFormat="1" ht="13.35" hidden="1" customHeight="1">
      <c r="A250" s="498" t="s">
        <v>773</v>
      </c>
      <c r="B250" s="614" t="s">
        <v>1222</v>
      </c>
      <c r="C250" s="696"/>
      <c r="D250" s="1055">
        <v>0</v>
      </c>
      <c r="E250" s="991">
        <v>0</v>
      </c>
      <c r="F250" s="587">
        <v>0</v>
      </c>
      <c r="G250" s="787"/>
      <c r="H250" s="753">
        <v>0</v>
      </c>
    </row>
    <row r="251" spans="1:8" s="566" customFormat="1" ht="13.35" hidden="1" customHeight="1">
      <c r="A251" s="613" t="s">
        <v>774</v>
      </c>
      <c r="B251" s="613" t="s">
        <v>46</v>
      </c>
      <c r="C251" s="696"/>
      <c r="D251" s="1055">
        <v>0</v>
      </c>
      <c r="E251" s="991">
        <v>0</v>
      </c>
      <c r="F251" s="587">
        <v>0</v>
      </c>
      <c r="G251" s="787" t="s">
        <v>1602</v>
      </c>
      <c r="H251" s="753">
        <v>95.88</v>
      </c>
    </row>
    <row r="252" spans="1:8" s="566" customFormat="1" ht="13.35" hidden="1" customHeight="1">
      <c r="A252" s="610" t="s">
        <v>775</v>
      </c>
      <c r="B252" s="610" t="s">
        <v>1211</v>
      </c>
      <c r="C252" s="620" t="s">
        <v>40</v>
      </c>
      <c r="D252" s="1055">
        <v>0</v>
      </c>
      <c r="E252" s="991">
        <v>0</v>
      </c>
      <c r="F252" s="587">
        <v>0</v>
      </c>
      <c r="G252" s="787" t="s">
        <v>1603</v>
      </c>
      <c r="H252" s="753">
        <v>124.65</v>
      </c>
    </row>
    <row r="253" spans="1:8" s="566" customFormat="1" ht="13.35" hidden="1" customHeight="1">
      <c r="A253" s="610" t="s">
        <v>776</v>
      </c>
      <c r="B253" s="610" t="s">
        <v>1160</v>
      </c>
      <c r="C253" s="620" t="s">
        <v>40</v>
      </c>
      <c r="D253" s="1055">
        <v>0</v>
      </c>
      <c r="E253" s="991">
        <v>0</v>
      </c>
      <c r="F253" s="587">
        <v>0</v>
      </c>
      <c r="G253" s="787"/>
      <c r="H253" s="753">
        <v>0</v>
      </c>
    </row>
    <row r="254" spans="1:8" s="566" customFormat="1" ht="13.35" hidden="1" customHeight="1">
      <c r="A254" s="613" t="s">
        <v>777</v>
      </c>
      <c r="B254" s="613" t="s">
        <v>1161</v>
      </c>
      <c r="C254" s="696"/>
      <c r="D254" s="1055">
        <v>0</v>
      </c>
      <c r="E254" s="991">
        <v>0</v>
      </c>
      <c r="F254" s="587">
        <v>0</v>
      </c>
      <c r="G254" s="787" t="s">
        <v>1604</v>
      </c>
      <c r="H254" s="753">
        <v>81.67</v>
      </c>
    </row>
    <row r="255" spans="1:8" s="566" customFormat="1" ht="13.35" hidden="1" customHeight="1">
      <c r="A255" s="610" t="s">
        <v>778</v>
      </c>
      <c r="B255" s="610" t="s">
        <v>1203</v>
      </c>
      <c r="C255" s="620" t="s">
        <v>40</v>
      </c>
      <c r="D255" s="1055">
        <v>0</v>
      </c>
      <c r="E255" s="991">
        <v>0</v>
      </c>
      <c r="F255" s="587">
        <v>0</v>
      </c>
      <c r="G255" s="787" t="s">
        <v>1605</v>
      </c>
      <c r="H255" s="753">
        <v>221.37</v>
      </c>
    </row>
    <row r="256" spans="1:8" s="566" customFormat="1" ht="13.35" hidden="1" customHeight="1">
      <c r="A256" s="610" t="s">
        <v>779</v>
      </c>
      <c r="B256" s="610" t="s">
        <v>1223</v>
      </c>
      <c r="C256" s="620" t="s">
        <v>37</v>
      </c>
      <c r="D256" s="1055">
        <v>0</v>
      </c>
      <c r="E256" s="991">
        <v>0</v>
      </c>
      <c r="F256" s="587">
        <v>0</v>
      </c>
      <c r="G256" s="787"/>
      <c r="H256" s="753">
        <v>0</v>
      </c>
    </row>
    <row r="257" spans="1:8" s="566" customFormat="1" ht="13.35" hidden="1" customHeight="1">
      <c r="A257" s="498" t="s">
        <v>780</v>
      </c>
      <c r="B257" s="614" t="s">
        <v>1224</v>
      </c>
      <c r="C257" s="696"/>
      <c r="D257" s="1055">
        <v>0</v>
      </c>
      <c r="E257" s="991">
        <v>0</v>
      </c>
      <c r="F257" s="587">
        <v>0</v>
      </c>
      <c r="G257" s="787"/>
      <c r="H257" s="753">
        <v>0</v>
      </c>
    </row>
    <row r="258" spans="1:8" s="566" customFormat="1" ht="13.35" hidden="1" customHeight="1">
      <c r="A258" s="613" t="s">
        <v>781</v>
      </c>
      <c r="B258" s="613" t="s">
        <v>46</v>
      </c>
      <c r="C258" s="696"/>
      <c r="D258" s="1055">
        <v>0</v>
      </c>
      <c r="E258" s="991">
        <v>0</v>
      </c>
      <c r="F258" s="587">
        <v>0</v>
      </c>
      <c r="G258" s="787" t="s">
        <v>1606</v>
      </c>
      <c r="H258" s="753">
        <v>2.81</v>
      </c>
    </row>
    <row r="259" spans="1:8" s="566" customFormat="1" ht="13.35" hidden="1" customHeight="1">
      <c r="A259" s="610" t="s">
        <v>782</v>
      </c>
      <c r="B259" s="610" t="s">
        <v>1225</v>
      </c>
      <c r="C259" s="620" t="s">
        <v>40</v>
      </c>
      <c r="D259" s="1055">
        <v>0</v>
      </c>
      <c r="E259" s="991">
        <v>0</v>
      </c>
      <c r="F259" s="587">
        <v>0</v>
      </c>
      <c r="G259" s="787" t="s">
        <v>1607</v>
      </c>
      <c r="H259" s="753">
        <v>60</v>
      </c>
    </row>
    <row r="260" spans="1:8" s="566" customFormat="1" ht="13.35" hidden="1" customHeight="1">
      <c r="A260" s="610" t="s">
        <v>783</v>
      </c>
      <c r="B260" s="610" t="s">
        <v>269</v>
      </c>
      <c r="C260" s="620" t="s">
        <v>37</v>
      </c>
      <c r="D260" s="1055">
        <v>0</v>
      </c>
      <c r="E260" s="991">
        <v>0</v>
      </c>
      <c r="F260" s="587">
        <v>0</v>
      </c>
      <c r="G260" s="787" t="s">
        <v>1608</v>
      </c>
      <c r="H260" s="753">
        <v>3.51</v>
      </c>
    </row>
    <row r="261" spans="1:8" s="566" customFormat="1" ht="13.35" hidden="1" customHeight="1">
      <c r="A261" s="610" t="s">
        <v>784</v>
      </c>
      <c r="B261" s="610" t="s">
        <v>1160</v>
      </c>
      <c r="C261" s="620" t="s">
        <v>40</v>
      </c>
      <c r="D261" s="1055">
        <v>0</v>
      </c>
      <c r="E261" s="991">
        <v>0</v>
      </c>
      <c r="F261" s="587">
        <v>0</v>
      </c>
      <c r="G261" s="787"/>
      <c r="H261" s="753">
        <v>0</v>
      </c>
    </row>
    <row r="262" spans="1:8" s="566" customFormat="1" ht="13.35" hidden="1" customHeight="1">
      <c r="A262" s="613" t="s">
        <v>785</v>
      </c>
      <c r="B262" s="613" t="s">
        <v>1161</v>
      </c>
      <c r="C262" s="696"/>
      <c r="D262" s="1055">
        <v>0</v>
      </c>
      <c r="E262" s="991">
        <v>0</v>
      </c>
      <c r="F262" s="587">
        <v>0</v>
      </c>
      <c r="G262" s="787" t="s">
        <v>1609</v>
      </c>
      <c r="H262" s="753">
        <v>2.16</v>
      </c>
    </row>
    <row r="263" spans="1:8" s="566" customFormat="1" ht="13.35" hidden="1" customHeight="1">
      <c r="A263" s="610" t="s">
        <v>786</v>
      </c>
      <c r="B263" s="610" t="s">
        <v>1202</v>
      </c>
      <c r="C263" s="620" t="s">
        <v>37</v>
      </c>
      <c r="D263" s="1055">
        <v>0</v>
      </c>
      <c r="E263" s="991">
        <v>0</v>
      </c>
      <c r="F263" s="587">
        <v>0</v>
      </c>
      <c r="G263" s="787" t="s">
        <v>1607</v>
      </c>
      <c r="H263" s="753">
        <v>60</v>
      </c>
    </row>
    <row r="264" spans="1:8" s="566" customFormat="1" ht="13.35" hidden="1" customHeight="1">
      <c r="A264" s="610" t="s">
        <v>787</v>
      </c>
      <c r="B264" s="610" t="s">
        <v>1226</v>
      </c>
      <c r="C264" s="620" t="s">
        <v>37</v>
      </c>
      <c r="D264" s="1055">
        <v>0</v>
      </c>
      <c r="E264" s="991">
        <v>0</v>
      </c>
      <c r="F264" s="587">
        <v>0</v>
      </c>
      <c r="G264" s="787"/>
      <c r="H264" s="753">
        <v>0</v>
      </c>
    </row>
    <row r="265" spans="1:8" s="566" customFormat="1" ht="13.35" hidden="1" customHeight="1">
      <c r="A265" s="613" t="s">
        <v>788</v>
      </c>
      <c r="B265" s="613" t="s">
        <v>1168</v>
      </c>
      <c r="C265" s="696"/>
      <c r="D265" s="1055">
        <v>0</v>
      </c>
      <c r="E265" s="991">
        <v>0</v>
      </c>
      <c r="F265" s="587">
        <v>0</v>
      </c>
      <c r="G265" s="787"/>
      <c r="H265" s="753">
        <v>0</v>
      </c>
    </row>
    <row r="266" spans="1:8" s="566" customFormat="1" ht="13.35" hidden="1" customHeight="1">
      <c r="A266" s="610" t="s">
        <v>789</v>
      </c>
      <c r="B266" s="610" t="s">
        <v>1169</v>
      </c>
      <c r="C266" s="696"/>
      <c r="D266" s="1055">
        <v>0</v>
      </c>
      <c r="E266" s="991">
        <v>0</v>
      </c>
      <c r="F266" s="587">
        <v>0</v>
      </c>
      <c r="G266" s="787" t="s">
        <v>1610</v>
      </c>
      <c r="H266" s="753">
        <v>2.52</v>
      </c>
    </row>
    <row r="267" spans="1:8" s="566" customFormat="1" ht="13.35" hidden="1" customHeight="1">
      <c r="A267" s="610" t="s">
        <v>790</v>
      </c>
      <c r="B267" s="610" t="s">
        <v>1205</v>
      </c>
      <c r="C267" s="620" t="s">
        <v>40</v>
      </c>
      <c r="D267" s="1055">
        <v>0</v>
      </c>
      <c r="E267" s="991">
        <v>0</v>
      </c>
      <c r="F267" s="587">
        <v>0</v>
      </c>
      <c r="G267" s="787" t="s">
        <v>1611</v>
      </c>
      <c r="H267" s="753">
        <v>186.08</v>
      </c>
    </row>
    <row r="268" spans="1:8" s="566" customFormat="1" ht="13.35" hidden="1" customHeight="1">
      <c r="A268" s="610" t="s">
        <v>791</v>
      </c>
      <c r="B268" s="610" t="s">
        <v>1171</v>
      </c>
      <c r="C268" s="620" t="s">
        <v>48</v>
      </c>
      <c r="D268" s="1055">
        <v>0</v>
      </c>
      <c r="E268" s="991">
        <v>0</v>
      </c>
      <c r="F268" s="587">
        <v>0</v>
      </c>
      <c r="G268" s="787"/>
      <c r="H268" s="753">
        <v>0</v>
      </c>
    </row>
    <row r="269" spans="1:8" s="566" customFormat="1" ht="13.35" hidden="1" customHeight="1">
      <c r="A269" s="613" t="s">
        <v>792</v>
      </c>
      <c r="B269" s="613" t="s">
        <v>1227</v>
      </c>
      <c r="C269" s="696"/>
      <c r="D269" s="1055">
        <v>0</v>
      </c>
      <c r="E269" s="991">
        <v>0</v>
      </c>
      <c r="F269" s="587">
        <v>0</v>
      </c>
      <c r="G269" s="787" t="s">
        <v>1612</v>
      </c>
      <c r="H269" s="753">
        <v>899.99</v>
      </c>
    </row>
    <row r="270" spans="1:8" s="566" customFormat="1" ht="13.35" hidden="1" customHeight="1">
      <c r="A270" s="610" t="s">
        <v>793</v>
      </c>
      <c r="B270" s="610" t="s">
        <v>1228</v>
      </c>
      <c r="C270" s="620" t="s">
        <v>48</v>
      </c>
      <c r="D270" s="1055">
        <v>0</v>
      </c>
      <c r="E270" s="991">
        <v>0</v>
      </c>
      <c r="F270" s="587">
        <v>0</v>
      </c>
      <c r="G270" s="787" t="s">
        <v>1613</v>
      </c>
      <c r="H270" s="753">
        <v>394.52</v>
      </c>
    </row>
    <row r="271" spans="1:8" s="566" customFormat="1" ht="13.35" hidden="1" customHeight="1">
      <c r="A271" s="610" t="s">
        <v>794</v>
      </c>
      <c r="B271" s="610" t="s">
        <v>1229</v>
      </c>
      <c r="C271" s="620" t="s">
        <v>48</v>
      </c>
      <c r="D271" s="1055">
        <v>0</v>
      </c>
      <c r="E271" s="991">
        <v>0</v>
      </c>
      <c r="F271" s="587">
        <v>0</v>
      </c>
      <c r="G271" s="787" t="s">
        <v>1614</v>
      </c>
      <c r="H271" s="753">
        <v>271.91000000000003</v>
      </c>
    </row>
    <row r="272" spans="1:8" s="566" customFormat="1" ht="13.35" hidden="1" customHeight="1">
      <c r="A272" s="610" t="s">
        <v>795</v>
      </c>
      <c r="B272" s="610" t="s">
        <v>1230</v>
      </c>
      <c r="C272" s="620" t="s">
        <v>48</v>
      </c>
      <c r="D272" s="1055">
        <v>0</v>
      </c>
      <c r="E272" s="991">
        <v>0</v>
      </c>
      <c r="F272" s="587">
        <v>0</v>
      </c>
      <c r="G272" s="787" t="s">
        <v>1615</v>
      </c>
      <c r="H272" s="753">
        <v>80.92</v>
      </c>
    </row>
    <row r="273" spans="1:8" s="566" customFormat="1" ht="13.35" hidden="1" customHeight="1">
      <c r="A273" s="610" t="s">
        <v>796</v>
      </c>
      <c r="B273" s="610" t="s">
        <v>1231</v>
      </c>
      <c r="C273" s="620" t="s">
        <v>38</v>
      </c>
      <c r="D273" s="1055">
        <v>0</v>
      </c>
      <c r="E273" s="991">
        <v>0</v>
      </c>
      <c r="F273" s="587">
        <v>0</v>
      </c>
      <c r="G273" s="787" t="s">
        <v>1616</v>
      </c>
      <c r="H273" s="753">
        <v>6</v>
      </c>
    </row>
    <row r="274" spans="1:8" s="566" customFormat="1" ht="13.35" hidden="1" customHeight="1">
      <c r="A274" s="610" t="s">
        <v>797</v>
      </c>
      <c r="B274" s="610" t="s">
        <v>1232</v>
      </c>
      <c r="C274" s="620" t="s">
        <v>1449</v>
      </c>
      <c r="D274" s="1055">
        <v>0</v>
      </c>
      <c r="E274" s="991">
        <v>0</v>
      </c>
      <c r="F274" s="587">
        <v>0</v>
      </c>
      <c r="G274" s="787"/>
      <c r="H274" s="753">
        <v>0</v>
      </c>
    </row>
    <row r="275" spans="1:8" s="566" customFormat="1" ht="13.35" hidden="1" customHeight="1">
      <c r="A275" s="613" t="s">
        <v>798</v>
      </c>
      <c r="B275" s="613" t="s">
        <v>1199</v>
      </c>
      <c r="C275" s="696"/>
      <c r="D275" s="1055">
        <v>0</v>
      </c>
      <c r="E275" s="991">
        <v>0</v>
      </c>
      <c r="F275" s="587">
        <v>0</v>
      </c>
      <c r="G275" s="787" t="s">
        <v>1617</v>
      </c>
      <c r="H275" s="753">
        <v>3</v>
      </c>
    </row>
    <row r="276" spans="1:8" s="566" customFormat="1" ht="14.1" hidden="1" customHeight="1">
      <c r="A276" s="610" t="s">
        <v>799</v>
      </c>
      <c r="B276" s="610" t="s">
        <v>225</v>
      </c>
      <c r="C276" s="620" t="s">
        <v>1449</v>
      </c>
      <c r="D276" s="1055">
        <v>0</v>
      </c>
      <c r="E276" s="991">
        <v>0</v>
      </c>
      <c r="F276" s="587">
        <v>0</v>
      </c>
      <c r="G276" s="787"/>
      <c r="H276" s="753">
        <v>0</v>
      </c>
    </row>
    <row r="277" spans="1:8" s="566" customFormat="1" ht="13.35" customHeight="1">
      <c r="A277" s="612" t="s">
        <v>45</v>
      </c>
      <c r="B277" s="612" t="s">
        <v>1233</v>
      </c>
      <c r="C277" s="696"/>
      <c r="D277" s="1055">
        <v>0</v>
      </c>
      <c r="E277" s="991">
        <v>0</v>
      </c>
      <c r="F277" s="587">
        <v>0</v>
      </c>
      <c r="G277" s="787"/>
      <c r="H277" s="753">
        <v>0</v>
      </c>
    </row>
    <row r="278" spans="1:8" s="566" customFormat="1" ht="13.35" hidden="1" customHeight="1">
      <c r="A278" s="613" t="s">
        <v>49</v>
      </c>
      <c r="B278" s="613" t="s">
        <v>1235</v>
      </c>
      <c r="C278" s="696"/>
      <c r="D278" s="1055">
        <v>0</v>
      </c>
      <c r="E278" s="991">
        <v>0</v>
      </c>
      <c r="F278" s="587">
        <v>0</v>
      </c>
      <c r="G278" s="787" t="s">
        <v>1618</v>
      </c>
      <c r="H278" s="753">
        <v>72.27</v>
      </c>
    </row>
    <row r="279" spans="1:8" s="566" customFormat="1" ht="13.35" hidden="1" customHeight="1">
      <c r="A279" s="610" t="s">
        <v>800</v>
      </c>
      <c r="B279" s="610" t="s">
        <v>1236</v>
      </c>
      <c r="C279" s="620" t="s">
        <v>37</v>
      </c>
      <c r="D279" s="1055">
        <v>0</v>
      </c>
      <c r="E279" s="991">
        <v>0</v>
      </c>
      <c r="F279" s="587">
        <v>0</v>
      </c>
      <c r="G279" s="787" t="s">
        <v>1619</v>
      </c>
      <c r="H279" s="753">
        <v>15.22</v>
      </c>
    </row>
    <row r="280" spans="1:8" s="566" customFormat="1" ht="13.35" hidden="1" customHeight="1">
      <c r="A280" s="610" t="s">
        <v>801</v>
      </c>
      <c r="B280" s="610" t="s">
        <v>1237</v>
      </c>
      <c r="C280" s="620" t="s">
        <v>37</v>
      </c>
      <c r="D280" s="1055">
        <v>0</v>
      </c>
      <c r="E280" s="991">
        <v>0</v>
      </c>
      <c r="F280" s="587">
        <v>0</v>
      </c>
      <c r="G280" s="787"/>
      <c r="H280" s="753">
        <v>0</v>
      </c>
    </row>
    <row r="281" spans="1:8" s="566" customFormat="1" ht="13.35" hidden="1" customHeight="1">
      <c r="A281" s="613" t="s">
        <v>50</v>
      </c>
      <c r="B281" s="613" t="s">
        <v>1238</v>
      </c>
      <c r="C281" s="696"/>
      <c r="D281" s="1055">
        <v>0</v>
      </c>
      <c r="E281" s="991">
        <v>0</v>
      </c>
      <c r="F281" s="587">
        <v>0</v>
      </c>
      <c r="G281" s="787" t="s">
        <v>1620</v>
      </c>
      <c r="H281" s="753">
        <v>123.1</v>
      </c>
    </row>
    <row r="282" spans="1:8" s="566" customFormat="1" ht="13.35" hidden="1" customHeight="1">
      <c r="A282" s="610" t="s">
        <v>802</v>
      </c>
      <c r="B282" s="610" t="s">
        <v>1239</v>
      </c>
      <c r="C282" s="620" t="s">
        <v>37</v>
      </c>
      <c r="D282" s="1055">
        <v>0</v>
      </c>
      <c r="E282" s="991">
        <v>0</v>
      </c>
      <c r="F282" s="587">
        <v>0</v>
      </c>
      <c r="G282" s="787" t="s">
        <v>1621</v>
      </c>
      <c r="H282" s="753">
        <v>54.38</v>
      </c>
    </row>
    <row r="283" spans="1:8" s="566" customFormat="1" ht="13.35" hidden="1" customHeight="1">
      <c r="A283" s="610" t="s">
        <v>803</v>
      </c>
      <c r="B283" s="610" t="s">
        <v>1240</v>
      </c>
      <c r="C283" s="620" t="s">
        <v>37</v>
      </c>
      <c r="D283" s="1055">
        <v>0</v>
      </c>
      <c r="E283" s="991">
        <v>0</v>
      </c>
      <c r="F283" s="587">
        <v>0</v>
      </c>
      <c r="G283" s="787" t="s">
        <v>1622</v>
      </c>
      <c r="H283" s="753">
        <v>34.44</v>
      </c>
    </row>
    <row r="284" spans="1:8" s="566" customFormat="1" ht="13.35" hidden="1" customHeight="1">
      <c r="A284" s="610" t="s">
        <v>804</v>
      </c>
      <c r="B284" s="610" t="s">
        <v>1241</v>
      </c>
      <c r="C284" s="620" t="s">
        <v>37</v>
      </c>
      <c r="D284" s="1055">
        <v>0</v>
      </c>
      <c r="E284" s="991">
        <v>0</v>
      </c>
      <c r="F284" s="587">
        <v>0</v>
      </c>
      <c r="G284" s="787" t="s">
        <v>1623</v>
      </c>
      <c r="H284" s="753">
        <v>30.39</v>
      </c>
    </row>
    <row r="285" spans="1:8" s="566" customFormat="1" ht="13.35" hidden="1" customHeight="1">
      <c r="A285" s="610" t="s">
        <v>805</v>
      </c>
      <c r="B285" s="610" t="s">
        <v>1242</v>
      </c>
      <c r="C285" s="620" t="s">
        <v>37</v>
      </c>
      <c r="D285" s="1055">
        <v>0</v>
      </c>
      <c r="E285" s="991">
        <v>0</v>
      </c>
      <c r="F285" s="587">
        <v>0</v>
      </c>
      <c r="G285" s="787" t="s">
        <v>1624</v>
      </c>
      <c r="H285" s="753">
        <v>39.17</v>
      </c>
    </row>
    <row r="286" spans="1:8" s="566" customFormat="1" ht="13.35" hidden="1" customHeight="1">
      <c r="A286" s="610" t="s">
        <v>806</v>
      </c>
      <c r="B286" s="610" t="s">
        <v>1243</v>
      </c>
      <c r="C286" s="620" t="s">
        <v>37</v>
      </c>
      <c r="D286" s="1055">
        <v>0</v>
      </c>
      <c r="E286" s="991">
        <v>0</v>
      </c>
      <c r="F286" s="587">
        <v>0</v>
      </c>
      <c r="G286" s="787" t="s">
        <v>1625</v>
      </c>
      <c r="H286" s="753">
        <v>68.38</v>
      </c>
    </row>
    <row r="287" spans="1:8" s="566" customFormat="1" ht="13.35" hidden="1" customHeight="1">
      <c r="A287" s="610" t="s">
        <v>807</v>
      </c>
      <c r="B287" s="610" t="s">
        <v>1244</v>
      </c>
      <c r="C287" s="620" t="s">
        <v>38</v>
      </c>
      <c r="D287" s="1055">
        <v>0</v>
      </c>
      <c r="E287" s="991">
        <v>0</v>
      </c>
      <c r="F287" s="587">
        <v>0</v>
      </c>
      <c r="G287" s="787" t="s">
        <v>1626</v>
      </c>
      <c r="H287" s="753">
        <v>228.32</v>
      </c>
    </row>
    <row r="288" spans="1:8" s="566" customFormat="1" ht="13.35" hidden="1" customHeight="1">
      <c r="A288" s="610" t="s">
        <v>808</v>
      </c>
      <c r="B288" s="610" t="s">
        <v>1245</v>
      </c>
      <c r="C288" s="620" t="s">
        <v>38</v>
      </c>
      <c r="D288" s="1055">
        <v>0</v>
      </c>
      <c r="E288" s="991">
        <v>0</v>
      </c>
      <c r="F288" s="587">
        <v>0</v>
      </c>
      <c r="G288" s="787"/>
      <c r="H288" s="753">
        <v>0</v>
      </c>
    </row>
    <row r="289" spans="1:8" s="566" customFormat="1" ht="13.35" hidden="1" customHeight="1">
      <c r="A289" s="613" t="s">
        <v>51</v>
      </c>
      <c r="B289" s="613" t="s">
        <v>1246</v>
      </c>
      <c r="C289" s="696"/>
      <c r="D289" s="1055">
        <v>0</v>
      </c>
      <c r="E289" s="991">
        <v>0</v>
      </c>
      <c r="F289" s="587">
        <v>0</v>
      </c>
      <c r="G289" s="787" t="s">
        <v>1627</v>
      </c>
      <c r="H289" s="753">
        <v>90.62</v>
      </c>
    </row>
    <row r="290" spans="1:8" s="566" customFormat="1" ht="13.35" hidden="1" customHeight="1">
      <c r="A290" s="610" t="s">
        <v>809</v>
      </c>
      <c r="B290" s="610" t="s">
        <v>1247</v>
      </c>
      <c r="C290" s="620" t="s">
        <v>37</v>
      </c>
      <c r="D290" s="1055">
        <v>0</v>
      </c>
      <c r="E290" s="991">
        <v>0</v>
      </c>
      <c r="F290" s="587">
        <v>0</v>
      </c>
      <c r="G290" s="787"/>
      <c r="H290" s="753">
        <v>0</v>
      </c>
    </row>
    <row r="291" spans="1:8" s="566" customFormat="1" ht="13.35" hidden="1" customHeight="1">
      <c r="A291" s="613" t="s">
        <v>277</v>
      </c>
      <c r="B291" s="613" t="s">
        <v>1248</v>
      </c>
      <c r="C291" s="696"/>
      <c r="D291" s="1055">
        <v>0</v>
      </c>
      <c r="E291" s="991">
        <v>0</v>
      </c>
      <c r="F291" s="587">
        <v>0</v>
      </c>
      <c r="G291" s="787" t="s">
        <v>1628</v>
      </c>
      <c r="H291" s="753">
        <v>72.22</v>
      </c>
    </row>
    <row r="292" spans="1:8" s="566" customFormat="1" ht="13.35" hidden="1" customHeight="1">
      <c r="A292" s="610" t="s">
        <v>810</v>
      </c>
      <c r="B292" s="610" t="s">
        <v>1249</v>
      </c>
      <c r="C292" s="620" t="s">
        <v>37</v>
      </c>
      <c r="D292" s="1055">
        <v>0</v>
      </c>
      <c r="E292" s="991">
        <v>0</v>
      </c>
      <c r="F292" s="587">
        <v>0</v>
      </c>
      <c r="G292" s="787" t="s">
        <v>1629</v>
      </c>
      <c r="H292" s="753">
        <v>56.44</v>
      </c>
    </row>
    <row r="293" spans="1:8" s="566" customFormat="1" ht="13.35" hidden="1" customHeight="1">
      <c r="A293" s="610" t="s">
        <v>811</v>
      </c>
      <c r="B293" s="610" t="s">
        <v>1250</v>
      </c>
      <c r="C293" s="620" t="s">
        <v>37</v>
      </c>
      <c r="D293" s="1055">
        <v>0</v>
      </c>
      <c r="E293" s="991">
        <v>0</v>
      </c>
      <c r="F293" s="587">
        <v>0</v>
      </c>
      <c r="G293" s="787" t="s">
        <v>1630</v>
      </c>
      <c r="H293" s="753">
        <v>15.78</v>
      </c>
    </row>
    <row r="294" spans="1:8" s="566" customFormat="1" ht="13.35" hidden="1" customHeight="1">
      <c r="A294" s="610" t="s">
        <v>812</v>
      </c>
      <c r="B294" s="610" t="s">
        <v>1251</v>
      </c>
      <c r="C294" s="620" t="s">
        <v>37</v>
      </c>
      <c r="D294" s="1055">
        <v>0</v>
      </c>
      <c r="E294" s="991">
        <v>0</v>
      </c>
      <c r="F294" s="587">
        <v>0</v>
      </c>
      <c r="G294" s="787"/>
      <c r="H294" s="753">
        <v>0</v>
      </c>
    </row>
    <row r="295" spans="1:8" s="566" customFormat="1" ht="13.35" hidden="1" customHeight="1">
      <c r="A295" s="613" t="s">
        <v>279</v>
      </c>
      <c r="B295" s="613" t="s">
        <v>1252</v>
      </c>
      <c r="C295" s="696"/>
      <c r="D295" s="1055">
        <v>0</v>
      </c>
      <c r="E295" s="991">
        <v>0</v>
      </c>
      <c r="F295" s="587">
        <v>0</v>
      </c>
      <c r="G295" s="787" t="s">
        <v>1631</v>
      </c>
      <c r="H295" s="753">
        <v>11.52</v>
      </c>
    </row>
    <row r="296" spans="1:8" s="566" customFormat="1" ht="13.35" hidden="1" customHeight="1">
      <c r="A296" s="610" t="s">
        <v>813</v>
      </c>
      <c r="B296" s="610" t="s">
        <v>1253</v>
      </c>
      <c r="C296" s="620" t="s">
        <v>38</v>
      </c>
      <c r="D296" s="1055">
        <v>0</v>
      </c>
      <c r="E296" s="991">
        <v>0</v>
      </c>
      <c r="F296" s="587">
        <v>0</v>
      </c>
      <c r="G296" s="787" t="s">
        <v>1632</v>
      </c>
      <c r="H296" s="753">
        <v>5.18</v>
      </c>
    </row>
    <row r="297" spans="1:8" s="566" customFormat="1" ht="13.35" hidden="1" customHeight="1">
      <c r="A297" s="610" t="s">
        <v>814</v>
      </c>
      <c r="B297" s="610" t="s">
        <v>1254</v>
      </c>
      <c r="C297" s="620" t="s">
        <v>37</v>
      </c>
      <c r="D297" s="1055">
        <v>0</v>
      </c>
      <c r="E297" s="991">
        <v>0</v>
      </c>
      <c r="F297" s="587">
        <v>0</v>
      </c>
      <c r="G297" s="787"/>
      <c r="H297" s="753">
        <v>0</v>
      </c>
    </row>
    <row r="298" spans="1:8" s="566" customFormat="1" ht="13.35" hidden="1" customHeight="1">
      <c r="A298" s="613" t="s">
        <v>280</v>
      </c>
      <c r="B298" s="613" t="s">
        <v>1255</v>
      </c>
      <c r="C298" s="696"/>
      <c r="D298" s="1055">
        <v>0</v>
      </c>
      <c r="E298" s="991">
        <v>0</v>
      </c>
      <c r="F298" s="587">
        <v>0</v>
      </c>
      <c r="G298" s="787" t="s">
        <v>1633</v>
      </c>
      <c r="H298" s="753">
        <v>73.5</v>
      </c>
    </row>
    <row r="299" spans="1:8" s="566" customFormat="1" ht="13.35" hidden="1" customHeight="1">
      <c r="A299" s="610" t="s">
        <v>815</v>
      </c>
      <c r="B299" s="610" t="s">
        <v>1256</v>
      </c>
      <c r="C299" s="620" t="s">
        <v>37</v>
      </c>
      <c r="D299" s="1055">
        <v>0</v>
      </c>
      <c r="E299" s="991">
        <v>0</v>
      </c>
      <c r="F299" s="587">
        <v>0</v>
      </c>
      <c r="G299" s="787"/>
      <c r="H299" s="753">
        <v>0</v>
      </c>
    </row>
    <row r="300" spans="1:8" s="566" customFormat="1" ht="13.35" hidden="1" customHeight="1">
      <c r="A300" s="613" t="s">
        <v>281</v>
      </c>
      <c r="B300" s="613" t="s">
        <v>1257</v>
      </c>
      <c r="C300" s="696"/>
      <c r="D300" s="1055">
        <v>0</v>
      </c>
      <c r="E300" s="991">
        <v>0</v>
      </c>
      <c r="F300" s="587">
        <v>0</v>
      </c>
      <c r="G300" s="787" t="s">
        <v>1634</v>
      </c>
      <c r="H300" s="753">
        <v>15.8</v>
      </c>
    </row>
    <row r="301" spans="1:8" s="566" customFormat="1" ht="13.35" hidden="1" customHeight="1">
      <c r="A301" s="610" t="s">
        <v>816</v>
      </c>
      <c r="B301" s="610" t="s">
        <v>1258</v>
      </c>
      <c r="C301" s="620" t="s">
        <v>37</v>
      </c>
      <c r="D301" s="1055">
        <v>0</v>
      </c>
      <c r="E301" s="991">
        <v>0</v>
      </c>
      <c r="F301" s="587">
        <v>0</v>
      </c>
      <c r="G301" s="787" t="s">
        <v>1635</v>
      </c>
      <c r="H301" s="753">
        <v>27.62</v>
      </c>
    </row>
    <row r="302" spans="1:8" s="566" customFormat="1" ht="13.35" hidden="1" customHeight="1">
      <c r="A302" s="610" t="s">
        <v>817</v>
      </c>
      <c r="B302" s="610" t="s">
        <v>1259</v>
      </c>
      <c r="C302" s="620" t="s">
        <v>38</v>
      </c>
      <c r="D302" s="1055">
        <v>0</v>
      </c>
      <c r="E302" s="991">
        <v>0</v>
      </c>
      <c r="F302" s="587">
        <v>0</v>
      </c>
      <c r="G302" s="787" t="s">
        <v>1636</v>
      </c>
      <c r="H302" s="753">
        <v>30.2</v>
      </c>
    </row>
    <row r="303" spans="1:8" s="566" customFormat="1" ht="13.35" hidden="1" customHeight="1">
      <c r="A303" s="610" t="s">
        <v>818</v>
      </c>
      <c r="B303" s="610" t="s">
        <v>1260</v>
      </c>
      <c r="C303" s="620" t="s">
        <v>38</v>
      </c>
      <c r="D303" s="1055">
        <v>0</v>
      </c>
      <c r="E303" s="991">
        <v>0</v>
      </c>
      <c r="F303" s="587">
        <v>0</v>
      </c>
      <c r="G303" s="787"/>
      <c r="H303" s="753">
        <v>0</v>
      </c>
    </row>
    <row r="304" spans="1:8" s="566" customFormat="1" ht="13.35" hidden="1" customHeight="1">
      <c r="A304" s="613" t="s">
        <v>282</v>
      </c>
      <c r="B304" s="613" t="s">
        <v>1197</v>
      </c>
      <c r="C304" s="696"/>
      <c r="D304" s="1055">
        <v>0</v>
      </c>
      <c r="E304" s="991">
        <v>0</v>
      </c>
      <c r="F304" s="587">
        <v>0</v>
      </c>
      <c r="G304" s="787" t="s">
        <v>1637</v>
      </c>
      <c r="H304" s="753">
        <v>90.78</v>
      </c>
    </row>
    <row r="305" spans="1:8" s="566" customFormat="1" ht="13.35" hidden="1" customHeight="1">
      <c r="A305" s="610" t="s">
        <v>819</v>
      </c>
      <c r="B305" s="610" t="s">
        <v>1261</v>
      </c>
      <c r="C305" s="620" t="s">
        <v>37</v>
      </c>
      <c r="D305" s="1055">
        <v>0</v>
      </c>
      <c r="E305" s="991">
        <v>0</v>
      </c>
      <c r="F305" s="587">
        <v>0</v>
      </c>
      <c r="G305" s="787" t="s">
        <v>1638</v>
      </c>
      <c r="H305" s="753">
        <v>29.18</v>
      </c>
    </row>
    <row r="306" spans="1:8" s="566" customFormat="1" ht="13.35" hidden="1" customHeight="1">
      <c r="A306" s="610" t="s">
        <v>820</v>
      </c>
      <c r="B306" s="610" t="s">
        <v>1262</v>
      </c>
      <c r="C306" s="620" t="s">
        <v>38</v>
      </c>
      <c r="D306" s="1055">
        <v>0</v>
      </c>
      <c r="E306" s="991">
        <v>0</v>
      </c>
      <c r="F306" s="587">
        <v>0</v>
      </c>
      <c r="G306" s="787"/>
      <c r="H306" s="753">
        <v>0</v>
      </c>
    </row>
    <row r="307" spans="1:8" s="566" customFormat="1" ht="13.35" hidden="1" customHeight="1">
      <c r="A307" s="613" t="s">
        <v>821</v>
      </c>
      <c r="B307" s="613" t="s">
        <v>1263</v>
      </c>
      <c r="C307" s="696"/>
      <c r="D307" s="1055">
        <v>0</v>
      </c>
      <c r="E307" s="991">
        <v>0</v>
      </c>
      <c r="F307" s="587">
        <v>0</v>
      </c>
      <c r="G307" s="787" t="s">
        <v>1639</v>
      </c>
      <c r="H307" s="753">
        <v>6.3</v>
      </c>
    </row>
    <row r="308" spans="1:8" s="566" customFormat="1" ht="13.35" hidden="1" customHeight="1">
      <c r="A308" s="610" t="s">
        <v>822</v>
      </c>
      <c r="B308" s="610" t="s">
        <v>1264</v>
      </c>
      <c r="C308" s="620" t="s">
        <v>37</v>
      </c>
      <c r="D308" s="1055">
        <v>0</v>
      </c>
      <c r="E308" s="991">
        <v>0</v>
      </c>
      <c r="F308" s="587">
        <v>0</v>
      </c>
      <c r="G308" s="787"/>
      <c r="H308" s="753">
        <v>0</v>
      </c>
    </row>
    <row r="309" spans="1:8" s="566" customFormat="1" ht="13.35" hidden="1" customHeight="1">
      <c r="A309" s="613" t="s">
        <v>823</v>
      </c>
      <c r="B309" s="613" t="s">
        <v>1265</v>
      </c>
      <c r="C309" s="696"/>
      <c r="D309" s="1055">
        <v>0</v>
      </c>
      <c r="E309" s="991">
        <v>0</v>
      </c>
      <c r="F309" s="587">
        <v>0</v>
      </c>
      <c r="G309" s="787" t="s">
        <v>1640</v>
      </c>
      <c r="H309" s="753">
        <v>9</v>
      </c>
    </row>
    <row r="310" spans="1:8" s="566" customFormat="1" ht="13.35" hidden="1" customHeight="1">
      <c r="A310" s="610" t="s">
        <v>824</v>
      </c>
      <c r="B310" s="610" t="s">
        <v>1266</v>
      </c>
      <c r="C310" s="620" t="s">
        <v>1450</v>
      </c>
      <c r="D310" s="1055">
        <v>0</v>
      </c>
      <c r="E310" s="991">
        <v>0</v>
      </c>
      <c r="F310" s="587">
        <v>0</v>
      </c>
      <c r="G310" s="787" t="s">
        <v>1617</v>
      </c>
      <c r="H310" s="753">
        <v>3</v>
      </c>
    </row>
    <row r="311" spans="1:8" s="566" customFormat="1" ht="13.35" hidden="1" customHeight="1">
      <c r="A311" s="610" t="s">
        <v>825</v>
      </c>
      <c r="B311" s="610" t="s">
        <v>1267</v>
      </c>
      <c r="C311" s="620" t="s">
        <v>36</v>
      </c>
      <c r="D311" s="1055">
        <v>0</v>
      </c>
      <c r="E311" s="991">
        <v>0</v>
      </c>
      <c r="F311" s="587">
        <v>0</v>
      </c>
      <c r="G311" s="787"/>
      <c r="H311" s="753">
        <v>0</v>
      </c>
    </row>
    <row r="312" spans="1:8" s="566" customFormat="1" ht="13.35" hidden="1" customHeight="1">
      <c r="A312" s="613" t="s">
        <v>826</v>
      </c>
      <c r="B312" s="613" t="s">
        <v>1268</v>
      </c>
      <c r="C312" s="696"/>
      <c r="D312" s="1055">
        <v>0</v>
      </c>
      <c r="E312" s="991">
        <v>0</v>
      </c>
      <c r="F312" s="587">
        <v>0</v>
      </c>
      <c r="G312" s="787" t="s">
        <v>1641</v>
      </c>
      <c r="H312" s="753">
        <v>19.149999999999999</v>
      </c>
    </row>
    <row r="313" spans="1:8" s="566" customFormat="1" ht="13.35" hidden="1" customHeight="1">
      <c r="A313" s="610" t="s">
        <v>827</v>
      </c>
      <c r="B313" s="610" t="s">
        <v>1269</v>
      </c>
      <c r="C313" s="620" t="s">
        <v>37</v>
      </c>
      <c r="D313" s="1055">
        <v>0</v>
      </c>
      <c r="E313" s="991">
        <v>0</v>
      </c>
      <c r="F313" s="587">
        <v>0</v>
      </c>
      <c r="G313" s="787" t="s">
        <v>1642</v>
      </c>
      <c r="H313" s="753">
        <v>1.5</v>
      </c>
    </row>
    <row r="314" spans="1:8" s="566" customFormat="1" ht="13.35" hidden="1" customHeight="1">
      <c r="A314" s="610" t="s">
        <v>828</v>
      </c>
      <c r="B314" s="610" t="s">
        <v>1270</v>
      </c>
      <c r="C314" s="620" t="s">
        <v>37</v>
      </c>
      <c r="D314" s="1055">
        <v>0</v>
      </c>
      <c r="E314" s="991">
        <v>0</v>
      </c>
      <c r="F314" s="587">
        <v>0</v>
      </c>
      <c r="G314" s="787"/>
      <c r="H314" s="753">
        <v>0</v>
      </c>
    </row>
    <row r="315" spans="1:8" s="566" customFormat="1" ht="13.35" hidden="1" customHeight="1">
      <c r="A315" s="613" t="s">
        <v>829</v>
      </c>
      <c r="B315" s="613" t="s">
        <v>1271</v>
      </c>
      <c r="C315" s="696"/>
      <c r="D315" s="1055">
        <v>0</v>
      </c>
      <c r="E315" s="991">
        <v>0</v>
      </c>
      <c r="F315" s="587">
        <v>0</v>
      </c>
      <c r="G315" s="787" t="s">
        <v>1627</v>
      </c>
      <c r="H315" s="753">
        <v>90.62</v>
      </c>
    </row>
    <row r="316" spans="1:8" s="566" customFormat="1" ht="13.35" hidden="1" customHeight="1">
      <c r="A316" s="610" t="s">
        <v>830</v>
      </c>
      <c r="B316" s="610" t="s">
        <v>1272</v>
      </c>
      <c r="C316" s="620" t="s">
        <v>37</v>
      </c>
      <c r="D316" s="1055">
        <v>0</v>
      </c>
      <c r="E316" s="991">
        <v>0</v>
      </c>
      <c r="F316" s="587">
        <v>0</v>
      </c>
      <c r="G316" s="787" t="s">
        <v>1620</v>
      </c>
      <c r="H316" s="753">
        <v>123.1</v>
      </c>
    </row>
    <row r="317" spans="1:8" s="566" customFormat="1" ht="13.35" hidden="1" customHeight="1">
      <c r="A317" s="610" t="s">
        <v>831</v>
      </c>
      <c r="B317" s="610" t="s">
        <v>1273</v>
      </c>
      <c r="C317" s="620" t="s">
        <v>37</v>
      </c>
      <c r="D317" s="1055">
        <v>0</v>
      </c>
      <c r="E317" s="991">
        <v>0</v>
      </c>
      <c r="F317" s="587">
        <v>0</v>
      </c>
      <c r="G317" s="787" t="s">
        <v>1621</v>
      </c>
      <c r="H317" s="753">
        <v>54.38</v>
      </c>
    </row>
    <row r="318" spans="1:8" s="566" customFormat="1" ht="13.35" hidden="1" customHeight="1">
      <c r="A318" s="610" t="s">
        <v>832</v>
      </c>
      <c r="B318" s="610" t="s">
        <v>1274</v>
      </c>
      <c r="C318" s="620" t="s">
        <v>37</v>
      </c>
      <c r="D318" s="1055">
        <v>0</v>
      </c>
      <c r="E318" s="991">
        <v>0</v>
      </c>
      <c r="F318" s="587">
        <v>0</v>
      </c>
      <c r="G318" s="787" t="s">
        <v>1622</v>
      </c>
      <c r="H318" s="753">
        <v>34.44</v>
      </c>
    </row>
    <row r="319" spans="1:8" s="566" customFormat="1" ht="13.35" hidden="1" customHeight="1">
      <c r="A319" s="610" t="s">
        <v>833</v>
      </c>
      <c r="B319" s="610" t="s">
        <v>1275</v>
      </c>
      <c r="C319" s="620" t="s">
        <v>37</v>
      </c>
      <c r="D319" s="1055">
        <v>0</v>
      </c>
      <c r="E319" s="991">
        <v>0</v>
      </c>
      <c r="F319" s="587">
        <v>0</v>
      </c>
      <c r="G319" s="787" t="s">
        <v>1623</v>
      </c>
      <c r="H319" s="753">
        <v>30.39</v>
      </c>
    </row>
    <row r="320" spans="1:8" s="566" customFormat="1" ht="13.35" hidden="1" customHeight="1">
      <c r="A320" s="610" t="s">
        <v>834</v>
      </c>
      <c r="B320" s="610" t="s">
        <v>1276</v>
      </c>
      <c r="C320" s="620" t="s">
        <v>37</v>
      </c>
      <c r="D320" s="1055">
        <v>0</v>
      </c>
      <c r="E320" s="991">
        <v>0</v>
      </c>
      <c r="F320" s="587">
        <v>0</v>
      </c>
      <c r="G320" s="787" t="s">
        <v>1634</v>
      </c>
      <c r="H320" s="753">
        <v>15.8</v>
      </c>
    </row>
    <row r="321" spans="1:8" s="566" customFormat="1" ht="13.35" hidden="1" customHeight="1">
      <c r="A321" s="610" t="s">
        <v>835</v>
      </c>
      <c r="B321" s="610" t="s">
        <v>1277</v>
      </c>
      <c r="C321" s="620" t="s">
        <v>37</v>
      </c>
      <c r="D321" s="1055">
        <v>0</v>
      </c>
      <c r="E321" s="991">
        <v>0</v>
      </c>
      <c r="F321" s="587">
        <v>0</v>
      </c>
      <c r="G321" s="787" t="s">
        <v>1643</v>
      </c>
      <c r="H321" s="753">
        <v>12.6</v>
      </c>
    </row>
    <row r="322" spans="1:8" s="566" customFormat="1" ht="13.35" hidden="1" customHeight="1">
      <c r="A322" s="610" t="s">
        <v>836</v>
      </c>
      <c r="B322" s="610" t="s">
        <v>1278</v>
      </c>
      <c r="C322" s="620" t="s">
        <v>37</v>
      </c>
      <c r="D322" s="1055">
        <v>0</v>
      </c>
      <c r="E322" s="991">
        <v>0</v>
      </c>
      <c r="F322" s="587">
        <v>0</v>
      </c>
      <c r="G322" s="787"/>
      <c r="H322" s="753">
        <v>0</v>
      </c>
    </row>
    <row r="323" spans="1:8" s="566" customFormat="1" ht="13.35" hidden="1" customHeight="1">
      <c r="A323" s="613" t="s">
        <v>837</v>
      </c>
      <c r="B323" s="613" t="s">
        <v>1279</v>
      </c>
      <c r="C323" s="696"/>
      <c r="D323" s="1055">
        <v>0</v>
      </c>
      <c r="E323" s="991">
        <v>0</v>
      </c>
      <c r="F323" s="587">
        <v>0</v>
      </c>
      <c r="G323" s="787" t="s">
        <v>1640</v>
      </c>
      <c r="H323" s="753">
        <v>9</v>
      </c>
    </row>
    <row r="324" spans="1:8" s="566" customFormat="1" ht="13.35" hidden="1" customHeight="1">
      <c r="A324" s="610" t="s">
        <v>838</v>
      </c>
      <c r="B324" s="610" t="s">
        <v>1280</v>
      </c>
      <c r="C324" s="620" t="s">
        <v>1449</v>
      </c>
      <c r="D324" s="1055">
        <v>0</v>
      </c>
      <c r="E324" s="991">
        <v>0</v>
      </c>
      <c r="F324" s="587">
        <v>0</v>
      </c>
      <c r="G324" s="787" t="s">
        <v>1454</v>
      </c>
      <c r="H324" s="753">
        <v>1</v>
      </c>
    </row>
    <row r="325" spans="1:8" s="566" customFormat="1" ht="13.35" hidden="1" customHeight="1">
      <c r="A325" s="610" t="s">
        <v>839</v>
      </c>
      <c r="B325" s="610" t="s">
        <v>1281</v>
      </c>
      <c r="C325" s="620" t="s">
        <v>64</v>
      </c>
      <c r="D325" s="1055">
        <v>0</v>
      </c>
      <c r="E325" s="991">
        <v>0</v>
      </c>
      <c r="F325" s="587">
        <v>0</v>
      </c>
      <c r="G325" s="787" t="s">
        <v>1644</v>
      </c>
      <c r="H325" s="753">
        <v>21.02</v>
      </c>
    </row>
    <row r="326" spans="1:8" s="566" customFormat="1" ht="13.35" hidden="1" customHeight="1">
      <c r="A326" s="610" t="s">
        <v>840</v>
      </c>
      <c r="B326" s="610" t="s">
        <v>1282</v>
      </c>
      <c r="C326" s="620" t="s">
        <v>37</v>
      </c>
      <c r="D326" s="1055">
        <v>0</v>
      </c>
      <c r="E326" s="991">
        <v>0</v>
      </c>
      <c r="F326" s="587">
        <v>0</v>
      </c>
      <c r="G326" s="787"/>
      <c r="H326" s="753">
        <v>0</v>
      </c>
    </row>
    <row r="327" spans="1:8" s="566" customFormat="1" ht="13.35" customHeight="1">
      <c r="A327" s="498" t="s">
        <v>474</v>
      </c>
      <c r="B327" s="614" t="s">
        <v>1283</v>
      </c>
      <c r="C327" s="696"/>
      <c r="D327" s="1055">
        <v>0</v>
      </c>
      <c r="E327" s="991">
        <v>0</v>
      </c>
      <c r="F327" s="587">
        <v>0</v>
      </c>
      <c r="G327" s="787"/>
      <c r="H327" s="753">
        <v>0</v>
      </c>
    </row>
    <row r="328" spans="1:8" s="566" customFormat="1" ht="13.35" customHeight="1">
      <c r="A328" s="613" t="s">
        <v>477</v>
      </c>
      <c r="B328" s="613" t="s">
        <v>1246</v>
      </c>
      <c r="C328" s="696"/>
      <c r="D328" s="1055">
        <v>0</v>
      </c>
      <c r="E328" s="991">
        <v>0</v>
      </c>
      <c r="F328" s="587">
        <v>0</v>
      </c>
      <c r="G328" s="787" t="s">
        <v>1654</v>
      </c>
      <c r="H328" s="753">
        <v>65.92</v>
      </c>
    </row>
    <row r="329" spans="1:8" s="566" customFormat="1" ht="13.35" customHeight="1">
      <c r="A329" s="610" t="s">
        <v>850</v>
      </c>
      <c r="B329" s="610" t="s">
        <v>1247</v>
      </c>
      <c r="C329" s="620" t="s">
        <v>37</v>
      </c>
      <c r="D329" s="1101">
        <v>1.02</v>
      </c>
      <c r="E329" s="991">
        <v>0</v>
      </c>
      <c r="F329" s="587">
        <v>1.02</v>
      </c>
      <c r="G329" s="787"/>
      <c r="H329" s="753">
        <v>-1.02</v>
      </c>
    </row>
    <row r="330" spans="1:8" s="566" customFormat="1" ht="13.35" hidden="1" customHeight="1">
      <c r="A330" s="613" t="s">
        <v>478</v>
      </c>
      <c r="B330" s="613" t="s">
        <v>1248</v>
      </c>
      <c r="C330" s="696"/>
      <c r="D330" s="1055">
        <v>0</v>
      </c>
      <c r="E330" s="991">
        <v>0</v>
      </c>
      <c r="F330" s="587">
        <v>0</v>
      </c>
      <c r="G330" s="787" t="s">
        <v>1655</v>
      </c>
      <c r="H330" s="753">
        <v>57.88</v>
      </c>
    </row>
    <row r="331" spans="1:8" s="566" customFormat="1" ht="13.35" hidden="1" customHeight="1">
      <c r="A331" s="610" t="s">
        <v>851</v>
      </c>
      <c r="B331" s="610" t="s">
        <v>1249</v>
      </c>
      <c r="C331" s="620" t="s">
        <v>37</v>
      </c>
      <c r="D331" s="1055">
        <v>0</v>
      </c>
      <c r="E331" s="991">
        <v>0</v>
      </c>
      <c r="F331" s="587">
        <v>0</v>
      </c>
      <c r="G331" s="787" t="s">
        <v>1656</v>
      </c>
      <c r="H331" s="753">
        <v>40.200000000000003</v>
      </c>
    </row>
    <row r="332" spans="1:8" s="566" customFormat="1" ht="13.35" hidden="1" customHeight="1">
      <c r="A332" s="610" t="s">
        <v>852</v>
      </c>
      <c r="B332" s="610" t="s">
        <v>1284</v>
      </c>
      <c r="C332" s="620" t="s">
        <v>37</v>
      </c>
      <c r="D332" s="1055">
        <v>0</v>
      </c>
      <c r="E332" s="991">
        <v>0</v>
      </c>
      <c r="F332" s="587">
        <v>0</v>
      </c>
      <c r="G332" s="787" t="s">
        <v>1657</v>
      </c>
      <c r="H332" s="753">
        <v>5.72</v>
      </c>
    </row>
    <row r="333" spans="1:8" s="566" customFormat="1" ht="13.35" hidden="1" customHeight="1">
      <c r="A333" s="610" t="s">
        <v>853</v>
      </c>
      <c r="B333" s="610" t="s">
        <v>1250</v>
      </c>
      <c r="C333" s="620" t="s">
        <v>37</v>
      </c>
      <c r="D333" s="1055">
        <v>0</v>
      </c>
      <c r="E333" s="991">
        <v>0</v>
      </c>
      <c r="F333" s="587">
        <v>0</v>
      </c>
      <c r="G333" s="787" t="s">
        <v>1658</v>
      </c>
      <c r="H333" s="753">
        <v>11.96</v>
      </c>
    </row>
    <row r="334" spans="1:8" s="566" customFormat="1" ht="13.35" hidden="1" customHeight="1">
      <c r="A334" s="610" t="s">
        <v>854</v>
      </c>
      <c r="B334" s="610" t="s">
        <v>1251</v>
      </c>
      <c r="C334" s="620" t="s">
        <v>37</v>
      </c>
      <c r="D334" s="1055">
        <v>0</v>
      </c>
      <c r="E334" s="991">
        <v>0</v>
      </c>
      <c r="F334" s="587">
        <v>0</v>
      </c>
      <c r="G334" s="787"/>
      <c r="H334" s="753">
        <v>0</v>
      </c>
    </row>
    <row r="335" spans="1:8" s="566" customFormat="1" ht="13.35" hidden="1" customHeight="1">
      <c r="A335" s="613" t="s">
        <v>479</v>
      </c>
      <c r="B335" s="613" t="s">
        <v>1255</v>
      </c>
      <c r="C335" s="696"/>
      <c r="D335" s="1055">
        <v>0</v>
      </c>
      <c r="E335" s="991">
        <v>0</v>
      </c>
      <c r="F335" s="587">
        <v>0</v>
      </c>
      <c r="G335" s="787" t="s">
        <v>1659</v>
      </c>
      <c r="H335" s="753">
        <v>55.35</v>
      </c>
    </row>
    <row r="336" spans="1:8" s="566" customFormat="1" ht="13.35" hidden="1" customHeight="1">
      <c r="A336" s="610" t="s">
        <v>855</v>
      </c>
      <c r="B336" s="610" t="s">
        <v>1256</v>
      </c>
      <c r="C336" s="620" t="s">
        <v>37</v>
      </c>
      <c r="D336" s="1055">
        <v>0</v>
      </c>
      <c r="E336" s="991">
        <v>0</v>
      </c>
      <c r="F336" s="587">
        <v>0</v>
      </c>
      <c r="G336" s="787"/>
      <c r="H336" s="753">
        <v>0</v>
      </c>
    </row>
    <row r="337" spans="1:8" s="566" customFormat="1" ht="13.35" hidden="1" customHeight="1">
      <c r="A337" s="613" t="s">
        <v>480</v>
      </c>
      <c r="B337" s="613" t="s">
        <v>1257</v>
      </c>
      <c r="C337" s="696"/>
      <c r="D337" s="1055">
        <v>0</v>
      </c>
      <c r="E337" s="991">
        <v>0</v>
      </c>
      <c r="F337" s="587">
        <v>0</v>
      </c>
      <c r="G337" s="787" t="s">
        <v>1634</v>
      </c>
      <c r="H337" s="753">
        <v>15.8</v>
      </c>
    </row>
    <row r="338" spans="1:8" s="566" customFormat="1" ht="13.35" hidden="1" customHeight="1">
      <c r="A338" s="610" t="s">
        <v>856</v>
      </c>
      <c r="B338" s="610" t="s">
        <v>1258</v>
      </c>
      <c r="C338" s="620" t="s">
        <v>37</v>
      </c>
      <c r="D338" s="1055">
        <v>0</v>
      </c>
      <c r="E338" s="991">
        <v>0</v>
      </c>
      <c r="F338" s="587">
        <v>0</v>
      </c>
      <c r="G338" s="787" t="s">
        <v>1660</v>
      </c>
      <c r="H338" s="753">
        <v>29.4</v>
      </c>
    </row>
    <row r="339" spans="1:8" s="566" customFormat="1" ht="13.35" hidden="1" customHeight="1">
      <c r="A339" s="610" t="s">
        <v>857</v>
      </c>
      <c r="B339" s="610" t="s">
        <v>1285</v>
      </c>
      <c r="C339" s="620" t="s">
        <v>37</v>
      </c>
      <c r="D339" s="1055">
        <v>0</v>
      </c>
      <c r="E339" s="991">
        <v>0</v>
      </c>
      <c r="F339" s="587">
        <v>0</v>
      </c>
      <c r="G339" s="787" t="s">
        <v>1661</v>
      </c>
      <c r="H339" s="753">
        <v>9.6</v>
      </c>
    </row>
    <row r="340" spans="1:8" s="566" customFormat="1" ht="13.35" hidden="1" customHeight="1">
      <c r="A340" s="610" t="s">
        <v>858</v>
      </c>
      <c r="B340" s="610" t="s">
        <v>1260</v>
      </c>
      <c r="C340" s="620" t="s">
        <v>38</v>
      </c>
      <c r="D340" s="1055">
        <v>0</v>
      </c>
      <c r="E340" s="991">
        <v>0</v>
      </c>
      <c r="F340" s="587">
        <v>0</v>
      </c>
      <c r="G340" s="787" t="s">
        <v>1662</v>
      </c>
      <c r="H340" s="753">
        <v>23.08</v>
      </c>
    </row>
    <row r="341" spans="1:8" s="566" customFormat="1" ht="13.35" hidden="1" customHeight="1">
      <c r="A341" s="610" t="s">
        <v>859</v>
      </c>
      <c r="B341" s="610" t="s">
        <v>1286</v>
      </c>
      <c r="C341" s="620" t="s">
        <v>38</v>
      </c>
      <c r="D341" s="1055">
        <v>0</v>
      </c>
      <c r="E341" s="991">
        <v>0</v>
      </c>
      <c r="F341" s="587">
        <v>0</v>
      </c>
      <c r="G341" s="787"/>
      <c r="H341" s="753">
        <v>0</v>
      </c>
    </row>
    <row r="342" spans="1:8" s="566" customFormat="1" ht="13.35" hidden="1" customHeight="1">
      <c r="A342" s="613" t="s">
        <v>481</v>
      </c>
      <c r="B342" s="613" t="s">
        <v>1197</v>
      </c>
      <c r="C342" s="696"/>
      <c r="D342" s="1055">
        <v>0</v>
      </c>
      <c r="E342" s="991">
        <v>0</v>
      </c>
      <c r="F342" s="587">
        <v>0</v>
      </c>
      <c r="G342" s="787" t="s">
        <v>1663</v>
      </c>
      <c r="H342" s="753">
        <v>48.24</v>
      </c>
    </row>
    <row r="343" spans="1:8" s="566" customFormat="1" ht="13.35" hidden="1" customHeight="1">
      <c r="A343" s="610" t="s">
        <v>860</v>
      </c>
      <c r="B343" s="610" t="s">
        <v>1261</v>
      </c>
      <c r="C343" s="620" t="s">
        <v>37</v>
      </c>
      <c r="D343" s="1055">
        <v>0</v>
      </c>
      <c r="E343" s="991">
        <v>0</v>
      </c>
      <c r="F343" s="587">
        <v>0</v>
      </c>
      <c r="G343" s="787" t="s">
        <v>1664</v>
      </c>
      <c r="H343" s="753">
        <v>34.880000000000003</v>
      </c>
    </row>
    <row r="344" spans="1:8" s="566" customFormat="1" ht="13.35" hidden="1" customHeight="1">
      <c r="A344" s="610" t="s">
        <v>861</v>
      </c>
      <c r="B344" s="610" t="s">
        <v>1262</v>
      </c>
      <c r="C344" s="620" t="s">
        <v>38</v>
      </c>
      <c r="D344" s="1055">
        <v>0</v>
      </c>
      <c r="E344" s="991">
        <v>0</v>
      </c>
      <c r="F344" s="587">
        <v>0</v>
      </c>
      <c r="G344" s="787" t="s">
        <v>1665</v>
      </c>
      <c r="H344" s="753">
        <v>22.97</v>
      </c>
    </row>
    <row r="345" spans="1:8" s="566" customFormat="1" ht="13.35" hidden="1" customHeight="1">
      <c r="A345" s="610" t="s">
        <v>862</v>
      </c>
      <c r="B345" s="610" t="s">
        <v>1287</v>
      </c>
      <c r="C345" s="620" t="s">
        <v>37</v>
      </c>
      <c r="D345" s="1055">
        <v>0</v>
      </c>
      <c r="E345" s="991">
        <v>0</v>
      </c>
      <c r="F345" s="587">
        <v>0</v>
      </c>
      <c r="G345" s="787"/>
      <c r="H345" s="753">
        <v>0</v>
      </c>
    </row>
    <row r="346" spans="1:8" s="566" customFormat="1" ht="13.35" hidden="1" customHeight="1">
      <c r="A346" s="613" t="s">
        <v>482</v>
      </c>
      <c r="B346" s="613" t="s">
        <v>1263</v>
      </c>
      <c r="C346" s="620"/>
      <c r="D346" s="1055">
        <v>0</v>
      </c>
      <c r="E346" s="991">
        <v>0</v>
      </c>
      <c r="F346" s="587">
        <v>0</v>
      </c>
      <c r="G346" s="787" t="s">
        <v>1666</v>
      </c>
      <c r="H346" s="753">
        <v>5.88</v>
      </c>
    </row>
    <row r="347" spans="1:8" s="566" customFormat="1" ht="13.35" hidden="1" customHeight="1">
      <c r="A347" s="610" t="s">
        <v>863</v>
      </c>
      <c r="B347" s="610" t="s">
        <v>1288</v>
      </c>
      <c r="C347" s="620" t="s">
        <v>37</v>
      </c>
      <c r="D347" s="1055">
        <v>0</v>
      </c>
      <c r="E347" s="991">
        <v>0</v>
      </c>
      <c r="F347" s="587">
        <v>0</v>
      </c>
      <c r="G347" s="787" t="s">
        <v>1667</v>
      </c>
      <c r="H347" s="753">
        <v>1.68</v>
      </c>
    </row>
    <row r="348" spans="1:8" s="566" customFormat="1" ht="13.35" hidden="1" customHeight="1">
      <c r="A348" s="610" t="s">
        <v>864</v>
      </c>
      <c r="B348" s="610" t="s">
        <v>1289</v>
      </c>
      <c r="C348" s="620" t="s">
        <v>37</v>
      </c>
      <c r="D348" s="1055">
        <v>0</v>
      </c>
      <c r="E348" s="991">
        <v>0</v>
      </c>
      <c r="F348" s="587">
        <v>0</v>
      </c>
      <c r="G348" s="787"/>
      <c r="H348" s="753">
        <v>0</v>
      </c>
    </row>
    <row r="349" spans="1:8" s="566" customFormat="1" ht="13.35" hidden="1" customHeight="1">
      <c r="A349" s="613" t="s">
        <v>865</v>
      </c>
      <c r="B349" s="613" t="s">
        <v>1290</v>
      </c>
      <c r="C349" s="696"/>
      <c r="D349" s="1055">
        <v>0</v>
      </c>
      <c r="E349" s="991">
        <v>0</v>
      </c>
      <c r="F349" s="587">
        <v>0</v>
      </c>
      <c r="G349" s="787" t="s">
        <v>1668</v>
      </c>
      <c r="H349" s="753">
        <v>9.24</v>
      </c>
    </row>
    <row r="350" spans="1:8" s="566" customFormat="1" ht="13.35" hidden="1" customHeight="1">
      <c r="A350" s="610" t="s">
        <v>866</v>
      </c>
      <c r="B350" s="610" t="s">
        <v>1291</v>
      </c>
      <c r="C350" s="620" t="s">
        <v>37</v>
      </c>
      <c r="D350" s="1055">
        <v>0</v>
      </c>
      <c r="E350" s="991">
        <v>0</v>
      </c>
      <c r="F350" s="587">
        <v>0</v>
      </c>
      <c r="G350" s="787"/>
      <c r="H350" s="753">
        <v>0</v>
      </c>
    </row>
    <row r="351" spans="1:8" s="566" customFormat="1" ht="13.35" hidden="1" customHeight="1">
      <c r="A351" s="613" t="s">
        <v>867</v>
      </c>
      <c r="B351" s="613" t="s">
        <v>1265</v>
      </c>
      <c r="C351" s="696"/>
      <c r="D351" s="1055">
        <v>0</v>
      </c>
      <c r="E351" s="991">
        <v>0</v>
      </c>
      <c r="F351" s="587">
        <v>0</v>
      </c>
      <c r="G351" s="787" t="s">
        <v>1669</v>
      </c>
      <c r="H351" s="753">
        <v>20</v>
      </c>
    </row>
    <row r="352" spans="1:8" s="566" customFormat="1" ht="13.35" hidden="1" customHeight="1">
      <c r="A352" s="610" t="s">
        <v>868</v>
      </c>
      <c r="B352" s="610" t="s">
        <v>1266</v>
      </c>
      <c r="C352" s="620" t="s">
        <v>1450</v>
      </c>
      <c r="D352" s="1055">
        <v>0</v>
      </c>
      <c r="E352" s="991">
        <v>0</v>
      </c>
      <c r="F352" s="587">
        <v>0</v>
      </c>
      <c r="G352" s="787" t="s">
        <v>1670</v>
      </c>
      <c r="H352" s="753">
        <v>4</v>
      </c>
    </row>
    <row r="353" spans="1:8" s="566" customFormat="1" ht="13.35" hidden="1" customHeight="1">
      <c r="A353" s="610" t="s">
        <v>869</v>
      </c>
      <c r="B353" s="610" t="s">
        <v>1267</v>
      </c>
      <c r="C353" s="620" t="s">
        <v>36</v>
      </c>
      <c r="D353" s="1055">
        <v>0</v>
      </c>
      <c r="E353" s="991">
        <v>0</v>
      </c>
      <c r="F353" s="587">
        <v>0</v>
      </c>
      <c r="G353" s="787" t="s">
        <v>1670</v>
      </c>
      <c r="H353" s="753">
        <v>4</v>
      </c>
    </row>
    <row r="354" spans="1:8" s="566" customFormat="1" ht="13.35" hidden="1" customHeight="1">
      <c r="A354" s="610" t="s">
        <v>870</v>
      </c>
      <c r="B354" s="610" t="s">
        <v>1292</v>
      </c>
      <c r="C354" s="620" t="s">
        <v>1450</v>
      </c>
      <c r="D354" s="1055">
        <v>0</v>
      </c>
      <c r="E354" s="991">
        <v>0</v>
      </c>
      <c r="F354" s="587">
        <v>0</v>
      </c>
      <c r="G354" s="787"/>
      <c r="H354" s="753">
        <v>0</v>
      </c>
    </row>
    <row r="355" spans="1:8" s="566" customFormat="1" ht="13.35" hidden="1" customHeight="1">
      <c r="A355" s="613" t="s">
        <v>871</v>
      </c>
      <c r="B355" s="613" t="s">
        <v>1268</v>
      </c>
      <c r="C355" s="696"/>
      <c r="D355" s="1055">
        <v>0</v>
      </c>
      <c r="E355" s="991">
        <v>0</v>
      </c>
      <c r="F355" s="587">
        <v>0</v>
      </c>
      <c r="G355" s="787" t="s">
        <v>1671</v>
      </c>
      <c r="H355" s="753">
        <v>18.09</v>
      </c>
    </row>
    <row r="356" spans="1:8" s="566" customFormat="1" ht="13.35" hidden="1" customHeight="1">
      <c r="A356" s="610" t="s">
        <v>872</v>
      </c>
      <c r="B356" s="610" t="s">
        <v>1269</v>
      </c>
      <c r="C356" s="620" t="s">
        <v>37</v>
      </c>
      <c r="D356" s="1055">
        <v>0</v>
      </c>
      <c r="E356" s="991">
        <v>0</v>
      </c>
      <c r="F356" s="587">
        <v>0</v>
      </c>
      <c r="G356" s="787" t="s">
        <v>1672</v>
      </c>
      <c r="H356" s="753">
        <v>1.75</v>
      </c>
    </row>
    <row r="357" spans="1:8" s="566" customFormat="1" ht="13.35" hidden="1" customHeight="1">
      <c r="A357" s="610" t="s">
        <v>873</v>
      </c>
      <c r="B357" s="610" t="s">
        <v>1270</v>
      </c>
      <c r="C357" s="620" t="s">
        <v>37</v>
      </c>
      <c r="D357" s="1055">
        <v>0</v>
      </c>
      <c r="E357" s="991">
        <v>0</v>
      </c>
      <c r="F357" s="587">
        <v>0</v>
      </c>
      <c r="G357" s="787"/>
      <c r="H357" s="753">
        <v>0</v>
      </c>
    </row>
    <row r="358" spans="1:8" s="566" customFormat="1" ht="13.35" hidden="1" customHeight="1">
      <c r="A358" s="613" t="s">
        <v>874</v>
      </c>
      <c r="B358" s="613" t="s">
        <v>1271</v>
      </c>
      <c r="C358" s="696"/>
      <c r="D358" s="1055">
        <v>0</v>
      </c>
      <c r="E358" s="991">
        <v>0</v>
      </c>
      <c r="F358" s="587">
        <v>0</v>
      </c>
      <c r="G358" s="787" t="s">
        <v>1654</v>
      </c>
      <c r="H358" s="753">
        <v>65.92</v>
      </c>
    </row>
    <row r="359" spans="1:8" s="566" customFormat="1" ht="13.35" hidden="1" customHeight="1">
      <c r="A359" s="610" t="s">
        <v>875</v>
      </c>
      <c r="B359" s="610" t="s">
        <v>1272</v>
      </c>
      <c r="C359" s="620" t="s">
        <v>37</v>
      </c>
      <c r="D359" s="1055">
        <v>0</v>
      </c>
      <c r="E359" s="991">
        <v>0</v>
      </c>
      <c r="F359" s="587">
        <v>0</v>
      </c>
      <c r="G359" s="787" t="s">
        <v>1647</v>
      </c>
      <c r="H359" s="753">
        <v>99.99</v>
      </c>
    </row>
    <row r="360" spans="1:8" s="566" customFormat="1" ht="13.35" hidden="1" customHeight="1">
      <c r="A360" s="610" t="s">
        <v>876</v>
      </c>
      <c r="B360" s="610" t="s">
        <v>1273</v>
      </c>
      <c r="C360" s="620" t="s">
        <v>37</v>
      </c>
      <c r="D360" s="1055">
        <v>0</v>
      </c>
      <c r="E360" s="991">
        <v>0</v>
      </c>
      <c r="F360" s="587">
        <v>0</v>
      </c>
      <c r="G360" s="787" t="s">
        <v>1648</v>
      </c>
      <c r="H360" s="753">
        <v>60.07</v>
      </c>
    </row>
    <row r="361" spans="1:8" s="566" customFormat="1" ht="13.35" hidden="1" customHeight="1">
      <c r="A361" s="610" t="s">
        <v>877</v>
      </c>
      <c r="B361" s="610" t="s">
        <v>1274</v>
      </c>
      <c r="C361" s="620" t="s">
        <v>37</v>
      </c>
      <c r="D361" s="1055">
        <v>0</v>
      </c>
      <c r="E361" s="991">
        <v>0</v>
      </c>
      <c r="F361" s="587">
        <v>0</v>
      </c>
      <c r="G361" s="787" t="s">
        <v>1649</v>
      </c>
      <c r="H361" s="753">
        <v>33.6</v>
      </c>
    </row>
    <row r="362" spans="1:8" s="566" customFormat="1" ht="13.35" hidden="1" customHeight="1">
      <c r="A362" s="610" t="s">
        <v>878</v>
      </c>
      <c r="B362" s="610" t="s">
        <v>1275</v>
      </c>
      <c r="C362" s="620" t="s">
        <v>37</v>
      </c>
      <c r="D362" s="1055">
        <v>0</v>
      </c>
      <c r="E362" s="991">
        <v>0</v>
      </c>
      <c r="F362" s="587">
        <v>0</v>
      </c>
      <c r="G362" s="787" t="s">
        <v>1650</v>
      </c>
      <c r="H362" s="753">
        <v>27.42</v>
      </c>
    </row>
    <row r="363" spans="1:8" s="566" customFormat="1" ht="13.35" hidden="1" customHeight="1">
      <c r="A363" s="610" t="s">
        <v>879</v>
      </c>
      <c r="B363" s="610" t="s">
        <v>1276</v>
      </c>
      <c r="C363" s="620" t="s">
        <v>37</v>
      </c>
      <c r="D363" s="1055">
        <v>0</v>
      </c>
      <c r="E363" s="991">
        <v>0</v>
      </c>
      <c r="F363" s="587">
        <v>0</v>
      </c>
      <c r="G363" s="787" t="s">
        <v>1634</v>
      </c>
      <c r="H363" s="753">
        <v>15.8</v>
      </c>
    </row>
    <row r="364" spans="1:8" s="566" customFormat="1" ht="13.35" hidden="1" customHeight="1">
      <c r="A364" s="610" t="s">
        <v>880</v>
      </c>
      <c r="B364" s="610" t="s">
        <v>1277</v>
      </c>
      <c r="C364" s="620" t="s">
        <v>37</v>
      </c>
      <c r="D364" s="1055">
        <v>0</v>
      </c>
      <c r="E364" s="991">
        <v>0</v>
      </c>
      <c r="F364" s="587">
        <v>0</v>
      </c>
      <c r="G364" s="787" t="s">
        <v>1673</v>
      </c>
      <c r="H364" s="753">
        <v>14.7</v>
      </c>
    </row>
    <row r="365" spans="1:8" s="566" customFormat="1" ht="13.35" hidden="1" customHeight="1">
      <c r="A365" s="610" t="s">
        <v>881</v>
      </c>
      <c r="B365" s="610" t="s">
        <v>1278</v>
      </c>
      <c r="C365" s="620" t="s">
        <v>37</v>
      </c>
      <c r="D365" s="1055">
        <v>0</v>
      </c>
      <c r="E365" s="991">
        <v>0</v>
      </c>
      <c r="F365" s="587">
        <v>0</v>
      </c>
      <c r="G365" s="787"/>
      <c r="H365" s="753">
        <v>0</v>
      </c>
    </row>
    <row r="366" spans="1:8" s="566" customFormat="1" ht="13.35" hidden="1" customHeight="1">
      <c r="A366" s="613" t="s">
        <v>882</v>
      </c>
      <c r="B366" s="613" t="s">
        <v>1279</v>
      </c>
      <c r="C366" s="696"/>
      <c r="D366" s="1055">
        <v>0</v>
      </c>
      <c r="E366" s="991">
        <v>0</v>
      </c>
      <c r="F366" s="587">
        <v>0</v>
      </c>
      <c r="G366" s="787" t="s">
        <v>1674</v>
      </c>
      <c r="H366" s="753">
        <v>8</v>
      </c>
    </row>
    <row r="367" spans="1:8" s="566" customFormat="1" ht="13.35" hidden="1" customHeight="1">
      <c r="A367" s="610" t="s">
        <v>883</v>
      </c>
      <c r="B367" s="610" t="s">
        <v>1280</v>
      </c>
      <c r="C367" s="620" t="s">
        <v>1449</v>
      </c>
      <c r="D367" s="1055">
        <v>0</v>
      </c>
      <c r="E367" s="991">
        <v>0</v>
      </c>
      <c r="F367" s="587">
        <v>0</v>
      </c>
      <c r="G367" s="787" t="s">
        <v>1454</v>
      </c>
      <c r="H367" s="753">
        <v>1</v>
      </c>
    </row>
    <row r="368" spans="1:8" s="566" customFormat="1" ht="13.35" hidden="1" customHeight="1">
      <c r="A368" s="610" t="s">
        <v>884</v>
      </c>
      <c r="B368" s="610" t="s">
        <v>1281</v>
      </c>
      <c r="C368" s="620" t="s">
        <v>64</v>
      </c>
      <c r="D368" s="1055">
        <v>0</v>
      </c>
      <c r="E368" s="991">
        <v>0</v>
      </c>
      <c r="F368" s="587">
        <v>0</v>
      </c>
      <c r="G368" s="787" t="s">
        <v>1675</v>
      </c>
      <c r="H368" s="753">
        <v>19.84</v>
      </c>
    </row>
    <row r="369" spans="1:8" s="566" customFormat="1" ht="13.35" hidden="1" customHeight="1">
      <c r="A369" s="610" t="s">
        <v>885</v>
      </c>
      <c r="B369" s="610" t="s">
        <v>1282</v>
      </c>
      <c r="C369" s="620" t="s">
        <v>37</v>
      </c>
      <c r="D369" s="1055">
        <v>0</v>
      </c>
      <c r="E369" s="991">
        <v>0</v>
      </c>
      <c r="F369" s="587">
        <v>0</v>
      </c>
      <c r="G369" s="787"/>
      <c r="H369" s="753">
        <v>0</v>
      </c>
    </row>
    <row r="370" spans="1:8" s="566" customFormat="1" ht="13.35" hidden="1" customHeight="1">
      <c r="A370" s="498" t="s">
        <v>483</v>
      </c>
      <c r="B370" s="614" t="s">
        <v>1154</v>
      </c>
      <c r="C370" s="696"/>
      <c r="D370" s="1055">
        <v>0</v>
      </c>
      <c r="E370" s="991">
        <v>0</v>
      </c>
      <c r="F370" s="587">
        <v>0</v>
      </c>
      <c r="G370" s="787"/>
      <c r="H370" s="753">
        <v>0</v>
      </c>
    </row>
    <row r="371" spans="1:8" s="566" customFormat="1" ht="13.35" hidden="1" customHeight="1">
      <c r="A371" s="613" t="s">
        <v>484</v>
      </c>
      <c r="B371" s="613" t="s">
        <v>1235</v>
      </c>
      <c r="C371" s="696"/>
      <c r="D371" s="1055">
        <v>0</v>
      </c>
      <c r="E371" s="991">
        <v>0</v>
      </c>
      <c r="F371" s="587">
        <v>0</v>
      </c>
      <c r="G371" s="787" t="s">
        <v>1676</v>
      </c>
      <c r="H371" s="753">
        <v>45.75</v>
      </c>
    </row>
    <row r="372" spans="1:8" s="566" customFormat="1" ht="13.35" hidden="1" customHeight="1">
      <c r="A372" s="610" t="s">
        <v>886</v>
      </c>
      <c r="B372" s="610" t="s">
        <v>1236</v>
      </c>
      <c r="C372" s="620" t="s">
        <v>37</v>
      </c>
      <c r="D372" s="1055">
        <v>0</v>
      </c>
      <c r="E372" s="991">
        <v>0</v>
      </c>
      <c r="F372" s="587">
        <v>0</v>
      </c>
      <c r="G372" s="787" t="s">
        <v>1677</v>
      </c>
      <c r="H372" s="753">
        <v>18.920000000000002</v>
      </c>
    </row>
    <row r="373" spans="1:8" s="566" customFormat="1" ht="13.35" hidden="1" customHeight="1">
      <c r="A373" s="610" t="s">
        <v>887</v>
      </c>
      <c r="B373" s="610" t="s">
        <v>1237</v>
      </c>
      <c r="C373" s="620" t="s">
        <v>37</v>
      </c>
      <c r="D373" s="1055">
        <v>0</v>
      </c>
      <c r="E373" s="991">
        <v>0</v>
      </c>
      <c r="F373" s="587">
        <v>0</v>
      </c>
      <c r="G373" s="787"/>
      <c r="H373" s="753">
        <v>0</v>
      </c>
    </row>
    <row r="374" spans="1:8" s="566" customFormat="1" ht="13.35" hidden="1" customHeight="1">
      <c r="A374" s="613" t="s">
        <v>485</v>
      </c>
      <c r="B374" s="613" t="s">
        <v>1238</v>
      </c>
      <c r="C374" s="696"/>
      <c r="D374" s="1055">
        <v>0</v>
      </c>
      <c r="E374" s="991">
        <v>0</v>
      </c>
      <c r="F374" s="587">
        <v>0</v>
      </c>
      <c r="G374" s="787" t="s">
        <v>1678</v>
      </c>
      <c r="H374" s="753">
        <v>83.58</v>
      </c>
    </row>
    <row r="375" spans="1:8" s="566" customFormat="1" ht="13.35" hidden="1" customHeight="1">
      <c r="A375" s="610" t="s">
        <v>888</v>
      </c>
      <c r="B375" s="610" t="s">
        <v>1239</v>
      </c>
      <c r="C375" s="620" t="s">
        <v>37</v>
      </c>
      <c r="D375" s="1055">
        <v>0</v>
      </c>
      <c r="E375" s="991">
        <v>0</v>
      </c>
      <c r="F375" s="587">
        <v>0</v>
      </c>
      <c r="G375" s="787" t="s">
        <v>1676</v>
      </c>
      <c r="H375" s="753">
        <v>45.75</v>
      </c>
    </row>
    <row r="376" spans="1:8" s="566" customFormat="1" ht="13.35" hidden="1" customHeight="1">
      <c r="A376" s="610" t="s">
        <v>889</v>
      </c>
      <c r="B376" s="610" t="s">
        <v>1240</v>
      </c>
      <c r="C376" s="620" t="s">
        <v>37</v>
      </c>
      <c r="D376" s="1055">
        <v>0</v>
      </c>
      <c r="E376" s="991">
        <v>0</v>
      </c>
      <c r="F376" s="587">
        <v>0</v>
      </c>
      <c r="G376" s="787" t="s">
        <v>1679</v>
      </c>
      <c r="H376" s="753">
        <v>12.95</v>
      </c>
    </row>
    <row r="377" spans="1:8" s="566" customFormat="1" ht="13.35" hidden="1" customHeight="1">
      <c r="A377" s="610" t="s">
        <v>890</v>
      </c>
      <c r="B377" s="610" t="s">
        <v>1241</v>
      </c>
      <c r="C377" s="620" t="s">
        <v>37</v>
      </c>
      <c r="D377" s="1055">
        <v>0</v>
      </c>
      <c r="E377" s="991">
        <v>0</v>
      </c>
      <c r="F377" s="587">
        <v>0</v>
      </c>
      <c r="G377" s="787" t="s">
        <v>1680</v>
      </c>
      <c r="H377" s="753">
        <v>24.87</v>
      </c>
    </row>
    <row r="378" spans="1:8" s="566" customFormat="1" ht="13.35" hidden="1" customHeight="1">
      <c r="A378" s="610" t="s">
        <v>891</v>
      </c>
      <c r="B378" s="610" t="s">
        <v>1242</v>
      </c>
      <c r="C378" s="620" t="s">
        <v>37</v>
      </c>
      <c r="D378" s="1055">
        <v>0</v>
      </c>
      <c r="E378" s="991">
        <v>0</v>
      </c>
      <c r="F378" s="587">
        <v>0</v>
      </c>
      <c r="G378" s="787" t="s">
        <v>1681</v>
      </c>
      <c r="H378" s="753">
        <v>17.22</v>
      </c>
    </row>
    <row r="379" spans="1:8" s="566" customFormat="1" ht="13.35" hidden="1" customHeight="1">
      <c r="A379" s="610" t="s">
        <v>892</v>
      </c>
      <c r="B379" s="610" t="s">
        <v>1243</v>
      </c>
      <c r="C379" s="620" t="s">
        <v>37</v>
      </c>
      <c r="D379" s="1055">
        <v>0</v>
      </c>
      <c r="E379" s="991">
        <v>0</v>
      </c>
      <c r="F379" s="587">
        <v>0</v>
      </c>
      <c r="G379" s="787" t="s">
        <v>1682</v>
      </c>
      <c r="H379" s="753">
        <v>48.7</v>
      </c>
    </row>
    <row r="380" spans="1:8" s="566" customFormat="1" ht="13.35" hidden="1" customHeight="1">
      <c r="A380" s="610" t="s">
        <v>893</v>
      </c>
      <c r="B380" s="610" t="s">
        <v>1244</v>
      </c>
      <c r="C380" s="620" t="s">
        <v>38</v>
      </c>
      <c r="D380" s="1055">
        <v>0</v>
      </c>
      <c r="E380" s="991">
        <v>0</v>
      </c>
      <c r="F380" s="587">
        <v>0</v>
      </c>
      <c r="G380" s="787" t="s">
        <v>1683</v>
      </c>
      <c r="H380" s="753">
        <v>172.48</v>
      </c>
    </row>
    <row r="381" spans="1:8" s="566" customFormat="1" ht="13.35" hidden="1" customHeight="1">
      <c r="A381" s="610" t="s">
        <v>894</v>
      </c>
      <c r="B381" s="610" t="s">
        <v>1245</v>
      </c>
      <c r="C381" s="620" t="s">
        <v>38</v>
      </c>
      <c r="D381" s="1055">
        <v>0</v>
      </c>
      <c r="E381" s="991">
        <v>0</v>
      </c>
      <c r="F381" s="587">
        <v>0</v>
      </c>
      <c r="G381" s="787"/>
      <c r="H381" s="753">
        <v>0</v>
      </c>
    </row>
    <row r="382" spans="1:8" s="566" customFormat="1" ht="13.35" hidden="1" customHeight="1">
      <c r="A382" s="613" t="s">
        <v>486</v>
      </c>
      <c r="B382" s="613" t="s">
        <v>1246</v>
      </c>
      <c r="C382" s="696"/>
      <c r="D382" s="1055">
        <v>0</v>
      </c>
      <c r="E382" s="991">
        <v>0</v>
      </c>
      <c r="F382" s="587">
        <v>0</v>
      </c>
      <c r="G382" s="787" t="s">
        <v>1684</v>
      </c>
      <c r="H382" s="753">
        <v>38.24</v>
      </c>
    </row>
    <row r="383" spans="1:8" s="566" customFormat="1" ht="13.35" hidden="1" customHeight="1">
      <c r="A383" s="610" t="s">
        <v>895</v>
      </c>
      <c r="B383" s="610" t="s">
        <v>1247</v>
      </c>
      <c r="C383" s="620" t="s">
        <v>37</v>
      </c>
      <c r="D383" s="1055">
        <v>0</v>
      </c>
      <c r="E383" s="991">
        <v>0</v>
      </c>
      <c r="F383" s="587">
        <v>0</v>
      </c>
      <c r="G383" s="787"/>
      <c r="H383" s="753">
        <v>0</v>
      </c>
    </row>
    <row r="384" spans="1:8" s="566" customFormat="1" ht="13.35" hidden="1" customHeight="1">
      <c r="A384" s="613" t="s">
        <v>896</v>
      </c>
      <c r="B384" s="613" t="s">
        <v>1248</v>
      </c>
      <c r="C384" s="696"/>
      <c r="D384" s="1055">
        <v>0</v>
      </c>
      <c r="E384" s="991">
        <v>0</v>
      </c>
      <c r="F384" s="587">
        <v>0</v>
      </c>
      <c r="G384" s="787" t="s">
        <v>1685</v>
      </c>
      <c r="H384" s="753">
        <v>33.03</v>
      </c>
    </row>
    <row r="385" spans="1:8" s="566" customFormat="1" ht="13.35" hidden="1" customHeight="1">
      <c r="A385" s="610" t="s">
        <v>897</v>
      </c>
      <c r="B385" s="610" t="s">
        <v>1249</v>
      </c>
      <c r="C385" s="620" t="s">
        <v>37</v>
      </c>
      <c r="D385" s="1055">
        <v>0</v>
      </c>
      <c r="E385" s="991">
        <v>0</v>
      </c>
      <c r="F385" s="587">
        <v>0</v>
      </c>
      <c r="G385" s="787" t="s">
        <v>1686</v>
      </c>
      <c r="H385" s="753">
        <v>30.08</v>
      </c>
    </row>
    <row r="386" spans="1:8" s="566" customFormat="1" ht="13.35" hidden="1" customHeight="1">
      <c r="A386" s="610" t="s">
        <v>898</v>
      </c>
      <c r="B386" s="610" t="s">
        <v>1250</v>
      </c>
      <c r="C386" s="620" t="s">
        <v>37</v>
      </c>
      <c r="D386" s="1055">
        <v>0</v>
      </c>
      <c r="E386" s="991">
        <v>0</v>
      </c>
      <c r="F386" s="587">
        <v>0</v>
      </c>
      <c r="G386" s="787" t="s">
        <v>1687</v>
      </c>
      <c r="H386" s="753">
        <v>2.95</v>
      </c>
    </row>
    <row r="387" spans="1:8" s="566" customFormat="1" ht="13.35" hidden="1" customHeight="1">
      <c r="A387" s="610" t="s">
        <v>899</v>
      </c>
      <c r="B387" s="610" t="s">
        <v>1251</v>
      </c>
      <c r="C387" s="620" t="s">
        <v>37</v>
      </c>
      <c r="D387" s="1055">
        <v>0</v>
      </c>
      <c r="E387" s="991">
        <v>0</v>
      </c>
      <c r="F387" s="587">
        <v>0</v>
      </c>
      <c r="G387" s="787"/>
      <c r="H387" s="753">
        <v>0</v>
      </c>
    </row>
    <row r="388" spans="1:8" s="566" customFormat="1" ht="13.35" hidden="1" customHeight="1">
      <c r="A388" s="613" t="s">
        <v>900</v>
      </c>
      <c r="B388" s="613" t="s">
        <v>1252</v>
      </c>
      <c r="C388" s="696"/>
      <c r="D388" s="1055">
        <v>0</v>
      </c>
      <c r="E388" s="991">
        <v>0</v>
      </c>
      <c r="F388" s="587">
        <v>0</v>
      </c>
      <c r="G388" s="787" t="s">
        <v>1688</v>
      </c>
      <c r="H388" s="753">
        <v>6.15</v>
      </c>
    </row>
    <row r="389" spans="1:8" s="566" customFormat="1" ht="13.35" hidden="1" customHeight="1">
      <c r="A389" s="610" t="s">
        <v>901</v>
      </c>
      <c r="B389" s="610" t="s">
        <v>1293</v>
      </c>
      <c r="C389" s="620" t="s">
        <v>38</v>
      </c>
      <c r="D389" s="1055">
        <v>0</v>
      </c>
      <c r="E389" s="991">
        <v>0</v>
      </c>
      <c r="F389" s="587">
        <v>0</v>
      </c>
      <c r="G389" s="787" t="s">
        <v>1689</v>
      </c>
      <c r="H389" s="753">
        <v>2.77</v>
      </c>
    </row>
    <row r="390" spans="1:8" s="566" customFormat="1" ht="13.35" hidden="1" customHeight="1">
      <c r="A390" s="610" t="s">
        <v>902</v>
      </c>
      <c r="B390" s="610" t="s">
        <v>1254</v>
      </c>
      <c r="C390" s="620" t="s">
        <v>37</v>
      </c>
      <c r="D390" s="1055">
        <v>0</v>
      </c>
      <c r="E390" s="991">
        <v>0</v>
      </c>
      <c r="F390" s="587">
        <v>0</v>
      </c>
      <c r="G390" s="787"/>
      <c r="H390" s="753">
        <v>0</v>
      </c>
    </row>
    <row r="391" spans="1:8" s="566" customFormat="1" ht="13.35" hidden="1" customHeight="1">
      <c r="A391" s="613" t="s">
        <v>903</v>
      </c>
      <c r="B391" s="613" t="s">
        <v>1255</v>
      </c>
      <c r="C391" s="696"/>
      <c r="D391" s="1055">
        <v>0</v>
      </c>
      <c r="E391" s="991">
        <v>0</v>
      </c>
      <c r="F391" s="587">
        <v>0</v>
      </c>
      <c r="G391" s="787" t="s">
        <v>1690</v>
      </c>
      <c r="H391" s="753">
        <v>8.3000000000000007</v>
      </c>
    </row>
    <row r="392" spans="1:8" s="566" customFormat="1" ht="13.35" hidden="1" customHeight="1">
      <c r="A392" s="610" t="s">
        <v>904</v>
      </c>
      <c r="B392" s="610" t="s">
        <v>1256</v>
      </c>
      <c r="C392" s="620" t="s">
        <v>37</v>
      </c>
      <c r="D392" s="1055">
        <v>0</v>
      </c>
      <c r="E392" s="991">
        <v>0</v>
      </c>
      <c r="F392" s="587">
        <v>0</v>
      </c>
      <c r="G392" s="787"/>
      <c r="H392" s="753">
        <v>0</v>
      </c>
    </row>
    <row r="393" spans="1:8" s="566" customFormat="1" ht="13.35" hidden="1" customHeight="1">
      <c r="A393" s="610" t="s">
        <v>905</v>
      </c>
      <c r="B393" s="610" t="s">
        <v>1257</v>
      </c>
      <c r="C393" s="696"/>
      <c r="D393" s="1055">
        <v>0</v>
      </c>
      <c r="E393" s="991">
        <v>0</v>
      </c>
      <c r="F393" s="587">
        <v>0</v>
      </c>
      <c r="G393" s="787" t="s">
        <v>1691</v>
      </c>
      <c r="H393" s="753">
        <v>6.66</v>
      </c>
    </row>
    <row r="394" spans="1:8" s="566" customFormat="1" ht="13.35" hidden="1" customHeight="1">
      <c r="A394" s="610" t="s">
        <v>906</v>
      </c>
      <c r="B394" s="610" t="s">
        <v>1258</v>
      </c>
      <c r="C394" s="620" t="s">
        <v>37</v>
      </c>
      <c r="D394" s="1055">
        <v>0</v>
      </c>
      <c r="E394" s="991">
        <v>0</v>
      </c>
      <c r="F394" s="587">
        <v>0</v>
      </c>
      <c r="G394" s="787" t="s">
        <v>1692</v>
      </c>
      <c r="H394" s="753">
        <v>7.76</v>
      </c>
    </row>
    <row r="395" spans="1:8" s="566" customFormat="1" ht="13.35" hidden="1" customHeight="1">
      <c r="A395" s="610" t="s">
        <v>907</v>
      </c>
      <c r="B395" s="610" t="s">
        <v>1285</v>
      </c>
      <c r="C395" s="620" t="s">
        <v>37</v>
      </c>
      <c r="D395" s="1055">
        <v>0</v>
      </c>
      <c r="E395" s="991">
        <v>0</v>
      </c>
      <c r="F395" s="587">
        <v>0</v>
      </c>
      <c r="G395" s="787" t="s">
        <v>1693</v>
      </c>
      <c r="H395" s="753">
        <v>25.31</v>
      </c>
    </row>
    <row r="396" spans="1:8" s="566" customFormat="1" ht="13.35" hidden="1" customHeight="1">
      <c r="A396" s="610" t="s">
        <v>908</v>
      </c>
      <c r="B396" s="610" t="s">
        <v>1260</v>
      </c>
      <c r="C396" s="620" t="s">
        <v>38</v>
      </c>
      <c r="D396" s="1055">
        <v>0</v>
      </c>
      <c r="E396" s="991">
        <v>0</v>
      </c>
      <c r="F396" s="587">
        <v>0</v>
      </c>
      <c r="G396" s="787"/>
      <c r="H396" s="753">
        <v>0</v>
      </c>
    </row>
    <row r="397" spans="1:8" s="566" customFormat="1" ht="13.35" hidden="1" customHeight="1">
      <c r="A397" s="613" t="s">
        <v>909</v>
      </c>
      <c r="B397" s="613" t="s">
        <v>1197</v>
      </c>
      <c r="C397" s="696"/>
      <c r="D397" s="1055">
        <v>0</v>
      </c>
      <c r="E397" s="991">
        <v>0</v>
      </c>
      <c r="F397" s="587">
        <v>0</v>
      </c>
      <c r="G397" s="787" t="s">
        <v>1694</v>
      </c>
      <c r="H397" s="753">
        <v>34.93</v>
      </c>
    </row>
    <row r="398" spans="1:8" s="566" customFormat="1" ht="13.35" hidden="1" customHeight="1">
      <c r="A398" s="610" t="s">
        <v>910</v>
      </c>
      <c r="B398" s="610" t="s">
        <v>1261</v>
      </c>
      <c r="C398" s="620" t="s">
        <v>37</v>
      </c>
      <c r="D398" s="1055">
        <v>0</v>
      </c>
      <c r="E398" s="991">
        <v>0</v>
      </c>
      <c r="F398" s="587">
        <v>0</v>
      </c>
      <c r="G398" s="787" t="s">
        <v>1688</v>
      </c>
      <c r="H398" s="753">
        <v>6.15</v>
      </c>
    </row>
    <row r="399" spans="1:8" s="566" customFormat="1" ht="13.35" hidden="1" customHeight="1">
      <c r="A399" s="610" t="s">
        <v>911</v>
      </c>
      <c r="B399" s="610" t="s">
        <v>1262</v>
      </c>
      <c r="C399" s="620" t="s">
        <v>38</v>
      </c>
      <c r="D399" s="1055">
        <v>0</v>
      </c>
      <c r="E399" s="991">
        <v>0</v>
      </c>
      <c r="F399" s="587">
        <v>0</v>
      </c>
      <c r="G399" s="787"/>
      <c r="H399" s="753">
        <v>0</v>
      </c>
    </row>
    <row r="400" spans="1:8" s="566" customFormat="1" ht="13.35" hidden="1" customHeight="1">
      <c r="A400" s="613" t="s">
        <v>912</v>
      </c>
      <c r="B400" s="613" t="s">
        <v>1263</v>
      </c>
      <c r="C400" s="696"/>
      <c r="D400" s="1055">
        <v>0</v>
      </c>
      <c r="E400" s="991">
        <v>0</v>
      </c>
      <c r="F400" s="587">
        <v>0</v>
      </c>
      <c r="G400" s="787" t="s">
        <v>1695</v>
      </c>
      <c r="H400" s="753">
        <v>3.78</v>
      </c>
    </row>
    <row r="401" spans="1:8" s="566" customFormat="1" ht="13.35" hidden="1" customHeight="1">
      <c r="A401" s="610" t="s">
        <v>913</v>
      </c>
      <c r="B401" s="610" t="s">
        <v>1264</v>
      </c>
      <c r="C401" s="620" t="s">
        <v>37</v>
      </c>
      <c r="D401" s="1055">
        <v>0</v>
      </c>
      <c r="E401" s="991">
        <v>0</v>
      </c>
      <c r="F401" s="587">
        <v>0</v>
      </c>
      <c r="G401" s="787" t="s">
        <v>1696</v>
      </c>
      <c r="H401" s="753">
        <v>1.47</v>
      </c>
    </row>
    <row r="402" spans="1:8" s="566" customFormat="1" ht="13.35" hidden="1" customHeight="1">
      <c r="A402" s="610" t="s">
        <v>914</v>
      </c>
      <c r="B402" s="610" t="s">
        <v>1294</v>
      </c>
      <c r="C402" s="620" t="s">
        <v>37</v>
      </c>
      <c r="D402" s="1055">
        <v>0</v>
      </c>
      <c r="E402" s="991">
        <v>0</v>
      </c>
      <c r="F402" s="587">
        <v>0</v>
      </c>
      <c r="G402" s="787"/>
      <c r="H402" s="753">
        <v>0</v>
      </c>
    </row>
    <row r="403" spans="1:8" s="566" customFormat="1" ht="13.35" hidden="1" customHeight="1">
      <c r="A403" s="613" t="s">
        <v>915</v>
      </c>
      <c r="B403" s="613" t="s">
        <v>1265</v>
      </c>
      <c r="C403" s="696"/>
      <c r="D403" s="1055">
        <v>0</v>
      </c>
      <c r="E403" s="991">
        <v>0</v>
      </c>
      <c r="F403" s="587">
        <v>0</v>
      </c>
      <c r="G403" s="787" t="s">
        <v>1640</v>
      </c>
      <c r="H403" s="753">
        <v>9</v>
      </c>
    </row>
    <row r="404" spans="1:8" s="566" customFormat="1" ht="13.35" hidden="1" customHeight="1">
      <c r="A404" s="610" t="s">
        <v>916</v>
      </c>
      <c r="B404" s="610" t="s">
        <v>1266</v>
      </c>
      <c r="C404" s="620" t="s">
        <v>1450</v>
      </c>
      <c r="D404" s="1055">
        <v>0</v>
      </c>
      <c r="E404" s="991">
        <v>0</v>
      </c>
      <c r="F404" s="587">
        <v>0</v>
      </c>
      <c r="G404" s="787" t="s">
        <v>1697</v>
      </c>
      <c r="H404" s="753">
        <v>2</v>
      </c>
    </row>
    <row r="405" spans="1:8" s="566" customFormat="1" ht="13.35" hidden="1" customHeight="1">
      <c r="A405" s="610" t="s">
        <v>917</v>
      </c>
      <c r="B405" s="610" t="s">
        <v>1267</v>
      </c>
      <c r="C405" s="620" t="s">
        <v>36</v>
      </c>
      <c r="D405" s="1055">
        <v>0</v>
      </c>
      <c r="E405" s="991">
        <v>0</v>
      </c>
      <c r="F405" s="587">
        <v>0</v>
      </c>
      <c r="G405" s="787" t="s">
        <v>1454</v>
      </c>
      <c r="H405" s="753">
        <v>1</v>
      </c>
    </row>
    <row r="406" spans="1:8" s="566" customFormat="1" ht="13.35" hidden="1" customHeight="1">
      <c r="A406" s="610" t="s">
        <v>918</v>
      </c>
      <c r="B406" s="610" t="s">
        <v>1295</v>
      </c>
      <c r="C406" s="620" t="s">
        <v>36</v>
      </c>
      <c r="D406" s="1055">
        <v>0</v>
      </c>
      <c r="E406" s="991">
        <v>0</v>
      </c>
      <c r="F406" s="587">
        <v>0</v>
      </c>
      <c r="G406" s="787"/>
      <c r="H406" s="753">
        <v>0</v>
      </c>
    </row>
    <row r="407" spans="1:8" s="566" customFormat="1" ht="13.35" hidden="1" customHeight="1">
      <c r="A407" s="613" t="s">
        <v>919</v>
      </c>
      <c r="B407" s="613" t="s">
        <v>1268</v>
      </c>
      <c r="C407" s="696"/>
      <c r="D407" s="1055">
        <v>0</v>
      </c>
      <c r="E407" s="991">
        <v>0</v>
      </c>
      <c r="F407" s="587">
        <v>0</v>
      </c>
      <c r="G407" s="787" t="s">
        <v>1698</v>
      </c>
      <c r="H407" s="753">
        <v>7.54</v>
      </c>
    </row>
    <row r="408" spans="1:8" s="566" customFormat="1" ht="13.35" hidden="1" customHeight="1">
      <c r="A408" s="610" t="s">
        <v>920</v>
      </c>
      <c r="B408" s="610" t="s">
        <v>1269</v>
      </c>
      <c r="C408" s="620" t="s">
        <v>37</v>
      </c>
      <c r="D408" s="1055">
        <v>0</v>
      </c>
      <c r="E408" s="991">
        <v>0</v>
      </c>
      <c r="F408" s="587">
        <v>0</v>
      </c>
      <c r="G408" s="787" t="s">
        <v>1699</v>
      </c>
      <c r="H408" s="753">
        <v>1.25</v>
      </c>
    </row>
    <row r="409" spans="1:8" s="566" customFormat="1" ht="13.35" hidden="1" customHeight="1">
      <c r="A409" s="610" t="s">
        <v>921</v>
      </c>
      <c r="B409" s="610" t="s">
        <v>1270</v>
      </c>
      <c r="C409" s="620" t="s">
        <v>37</v>
      </c>
      <c r="D409" s="1055">
        <v>0</v>
      </c>
      <c r="E409" s="991">
        <v>0</v>
      </c>
      <c r="F409" s="587">
        <v>0</v>
      </c>
      <c r="G409" s="787"/>
      <c r="H409" s="753">
        <v>0</v>
      </c>
    </row>
    <row r="410" spans="1:8" s="566" customFormat="1" ht="13.35" hidden="1" customHeight="1">
      <c r="A410" s="613" t="s">
        <v>922</v>
      </c>
      <c r="B410" s="613" t="s">
        <v>1271</v>
      </c>
      <c r="C410" s="696"/>
      <c r="D410" s="1055">
        <v>0</v>
      </c>
      <c r="E410" s="991">
        <v>0</v>
      </c>
      <c r="F410" s="587">
        <v>0</v>
      </c>
      <c r="G410" s="787" t="s">
        <v>1684</v>
      </c>
      <c r="H410" s="753">
        <v>38.24</v>
      </c>
    </row>
    <row r="411" spans="1:8" s="566" customFormat="1" ht="13.35" hidden="1" customHeight="1">
      <c r="A411" s="610" t="s">
        <v>923</v>
      </c>
      <c r="B411" s="610" t="s">
        <v>1272</v>
      </c>
      <c r="C411" s="620" t="s">
        <v>37</v>
      </c>
      <c r="D411" s="1055">
        <v>0</v>
      </c>
      <c r="E411" s="991">
        <v>0</v>
      </c>
      <c r="F411" s="587">
        <v>0</v>
      </c>
      <c r="G411" s="787" t="s">
        <v>1678</v>
      </c>
      <c r="H411" s="753">
        <v>83.58</v>
      </c>
    </row>
    <row r="412" spans="1:8" s="566" customFormat="1" ht="13.35" hidden="1" customHeight="1">
      <c r="A412" s="610" t="s">
        <v>924</v>
      </c>
      <c r="B412" s="610" t="s">
        <v>1273</v>
      </c>
      <c r="C412" s="620" t="s">
        <v>37</v>
      </c>
      <c r="D412" s="1055">
        <v>0</v>
      </c>
      <c r="E412" s="991">
        <v>0</v>
      </c>
      <c r="F412" s="587">
        <v>0</v>
      </c>
      <c r="G412" s="787" t="s">
        <v>1676</v>
      </c>
      <c r="H412" s="753">
        <v>45.75</v>
      </c>
    </row>
    <row r="413" spans="1:8" s="566" customFormat="1" ht="13.35" hidden="1" customHeight="1">
      <c r="A413" s="610" t="s">
        <v>925</v>
      </c>
      <c r="B413" s="610" t="s">
        <v>1274</v>
      </c>
      <c r="C413" s="620" t="s">
        <v>37</v>
      </c>
      <c r="D413" s="1055">
        <v>0</v>
      </c>
      <c r="E413" s="991">
        <v>0</v>
      </c>
      <c r="F413" s="587">
        <v>0</v>
      </c>
      <c r="G413" s="787" t="s">
        <v>1679</v>
      </c>
      <c r="H413" s="753">
        <v>12.95</v>
      </c>
    </row>
    <row r="414" spans="1:8" s="566" customFormat="1" ht="13.35" hidden="1" customHeight="1">
      <c r="A414" s="610" t="s">
        <v>926</v>
      </c>
      <c r="B414" s="610" t="s">
        <v>1275</v>
      </c>
      <c r="C414" s="620" t="s">
        <v>37</v>
      </c>
      <c r="D414" s="1055">
        <v>0</v>
      </c>
      <c r="E414" s="991">
        <v>0</v>
      </c>
      <c r="F414" s="587">
        <v>0</v>
      </c>
      <c r="G414" s="787" t="s">
        <v>1680</v>
      </c>
      <c r="H414" s="753">
        <v>24.87</v>
      </c>
    </row>
    <row r="415" spans="1:8" s="566" customFormat="1" ht="13.35" hidden="1" customHeight="1">
      <c r="A415" s="610" t="s">
        <v>927</v>
      </c>
      <c r="B415" s="610" t="s">
        <v>1276</v>
      </c>
      <c r="C415" s="620" t="s">
        <v>37</v>
      </c>
      <c r="D415" s="1055">
        <v>0</v>
      </c>
      <c r="E415" s="991">
        <v>0</v>
      </c>
      <c r="F415" s="587">
        <v>0</v>
      </c>
      <c r="G415" s="787" t="s">
        <v>1691</v>
      </c>
      <c r="H415" s="753">
        <v>6.66</v>
      </c>
    </row>
    <row r="416" spans="1:8" s="566" customFormat="1" ht="13.35" hidden="1" customHeight="1">
      <c r="A416" s="610" t="s">
        <v>928</v>
      </c>
      <c r="B416" s="610" t="s">
        <v>1277</v>
      </c>
      <c r="C416" s="620" t="s">
        <v>37</v>
      </c>
      <c r="D416" s="1055">
        <v>0</v>
      </c>
      <c r="E416" s="991">
        <v>0</v>
      </c>
      <c r="F416" s="587">
        <v>0</v>
      </c>
      <c r="G416" s="787" t="s">
        <v>1700</v>
      </c>
      <c r="H416" s="753">
        <v>12.48</v>
      </c>
    </row>
    <row r="417" spans="1:8" s="566" customFormat="1" ht="13.35" hidden="1" customHeight="1">
      <c r="A417" s="610" t="s">
        <v>929</v>
      </c>
      <c r="B417" s="610" t="s">
        <v>1278</v>
      </c>
      <c r="C417" s="620" t="s">
        <v>37</v>
      </c>
      <c r="D417" s="1055">
        <v>0</v>
      </c>
      <c r="E417" s="991">
        <v>0</v>
      </c>
      <c r="F417" s="587">
        <v>0</v>
      </c>
      <c r="G417" s="787"/>
      <c r="H417" s="753">
        <v>0</v>
      </c>
    </row>
    <row r="418" spans="1:8" s="566" customFormat="1" ht="13.35" hidden="1" customHeight="1">
      <c r="A418" s="613" t="s">
        <v>930</v>
      </c>
      <c r="B418" s="613" t="s">
        <v>1279</v>
      </c>
      <c r="C418" s="696"/>
      <c r="D418" s="1055">
        <v>0</v>
      </c>
      <c r="E418" s="991">
        <v>0</v>
      </c>
      <c r="F418" s="587">
        <v>0</v>
      </c>
      <c r="G418" s="787" t="s">
        <v>1454</v>
      </c>
      <c r="H418" s="753">
        <v>1</v>
      </c>
    </row>
    <row r="419" spans="1:8" s="566" customFormat="1" ht="13.35" hidden="1" customHeight="1">
      <c r="A419" s="610" t="s">
        <v>931</v>
      </c>
      <c r="B419" s="610" t="s">
        <v>1280</v>
      </c>
      <c r="C419" s="620" t="s">
        <v>1449</v>
      </c>
      <c r="D419" s="1055">
        <v>0</v>
      </c>
      <c r="E419" s="991">
        <v>0</v>
      </c>
      <c r="F419" s="587">
        <v>0</v>
      </c>
      <c r="G419" s="787" t="s">
        <v>1454</v>
      </c>
      <c r="H419" s="753">
        <v>1</v>
      </c>
    </row>
    <row r="420" spans="1:8" s="566" customFormat="1" ht="13.35" hidden="1" customHeight="1">
      <c r="A420" s="610" t="s">
        <v>932</v>
      </c>
      <c r="B420" s="610" t="s">
        <v>1281</v>
      </c>
      <c r="C420" s="620" t="s">
        <v>64</v>
      </c>
      <c r="D420" s="1055">
        <v>0</v>
      </c>
      <c r="E420" s="991">
        <v>0</v>
      </c>
      <c r="F420" s="587">
        <v>0</v>
      </c>
      <c r="G420" s="787" t="s">
        <v>1701</v>
      </c>
      <c r="H420" s="753">
        <v>6.79</v>
      </c>
    </row>
    <row r="421" spans="1:8" s="566" customFormat="1" ht="13.35" hidden="1" customHeight="1">
      <c r="A421" s="610" t="s">
        <v>933</v>
      </c>
      <c r="B421" s="610" t="s">
        <v>1282</v>
      </c>
      <c r="C421" s="620" t="s">
        <v>37</v>
      </c>
      <c r="D421" s="1055">
        <v>0</v>
      </c>
      <c r="E421" s="991">
        <v>0</v>
      </c>
      <c r="F421" s="587">
        <v>0</v>
      </c>
      <c r="G421" s="787"/>
      <c r="H421" s="753">
        <v>0</v>
      </c>
    </row>
    <row r="422" spans="1:8" s="566" customFormat="1" ht="13.35" hidden="1" customHeight="1">
      <c r="A422" s="498" t="s">
        <v>517</v>
      </c>
      <c r="B422" s="614" t="s">
        <v>1296</v>
      </c>
      <c r="C422" s="696"/>
      <c r="D422" s="1055">
        <v>0</v>
      </c>
      <c r="E422" s="991">
        <v>0</v>
      </c>
      <c r="F422" s="587">
        <v>0</v>
      </c>
      <c r="G422" s="787"/>
      <c r="H422" s="753">
        <v>0</v>
      </c>
    </row>
    <row r="423" spans="1:8" s="566" customFormat="1" ht="13.35" hidden="1" customHeight="1">
      <c r="A423" s="613" t="s">
        <v>518</v>
      </c>
      <c r="B423" s="613" t="s">
        <v>1235</v>
      </c>
      <c r="C423" s="696"/>
      <c r="D423" s="1055">
        <v>0</v>
      </c>
      <c r="E423" s="991">
        <v>0</v>
      </c>
      <c r="F423" s="587">
        <v>0</v>
      </c>
      <c r="G423" s="787" t="s">
        <v>1702</v>
      </c>
      <c r="H423" s="753">
        <v>56.66</v>
      </c>
    </row>
    <row r="424" spans="1:8" s="566" customFormat="1" ht="13.35" hidden="1" customHeight="1">
      <c r="A424" s="610" t="s">
        <v>519</v>
      </c>
      <c r="B424" s="610" t="s">
        <v>1236</v>
      </c>
      <c r="C424" s="620" t="s">
        <v>37</v>
      </c>
      <c r="D424" s="1055">
        <v>0</v>
      </c>
      <c r="E424" s="991">
        <v>0</v>
      </c>
      <c r="F424" s="587">
        <v>0</v>
      </c>
      <c r="G424" s="787" t="s">
        <v>1703</v>
      </c>
      <c r="H424" s="753">
        <v>8.17</v>
      </c>
    </row>
    <row r="425" spans="1:8" s="566" customFormat="1" ht="13.35" hidden="1" customHeight="1">
      <c r="A425" s="610" t="s">
        <v>520</v>
      </c>
      <c r="B425" s="610" t="s">
        <v>1237</v>
      </c>
      <c r="C425" s="620" t="s">
        <v>37</v>
      </c>
      <c r="D425" s="1055">
        <v>0</v>
      </c>
      <c r="E425" s="991">
        <v>0</v>
      </c>
      <c r="F425" s="587">
        <v>0</v>
      </c>
      <c r="G425" s="787"/>
      <c r="H425" s="753">
        <v>0</v>
      </c>
    </row>
    <row r="426" spans="1:8" s="566" customFormat="1" ht="13.35" hidden="1" customHeight="1">
      <c r="A426" s="613" t="s">
        <v>521</v>
      </c>
      <c r="B426" s="613" t="s">
        <v>1238</v>
      </c>
      <c r="C426" s="696"/>
      <c r="D426" s="1055">
        <v>0</v>
      </c>
      <c r="E426" s="991">
        <v>0</v>
      </c>
      <c r="F426" s="587">
        <v>0</v>
      </c>
      <c r="G426" s="787" t="s">
        <v>1704</v>
      </c>
      <c r="H426" s="753">
        <v>77.680000000000007</v>
      </c>
    </row>
    <row r="427" spans="1:8" s="566" customFormat="1" ht="13.35" hidden="1" customHeight="1">
      <c r="A427" s="610" t="s">
        <v>522</v>
      </c>
      <c r="B427" s="610" t="s">
        <v>1239</v>
      </c>
      <c r="C427" s="620" t="s">
        <v>37</v>
      </c>
      <c r="D427" s="1055">
        <v>0</v>
      </c>
      <c r="E427" s="991">
        <v>0</v>
      </c>
      <c r="F427" s="587">
        <v>0</v>
      </c>
      <c r="G427" s="787" t="s">
        <v>1705</v>
      </c>
      <c r="H427" s="753">
        <v>51.98</v>
      </c>
    </row>
    <row r="428" spans="1:8" s="566" customFormat="1" ht="13.35" hidden="1" customHeight="1">
      <c r="A428" s="610" t="s">
        <v>934</v>
      </c>
      <c r="B428" s="610" t="s">
        <v>1240</v>
      </c>
      <c r="C428" s="620" t="s">
        <v>37</v>
      </c>
      <c r="D428" s="1055">
        <v>0</v>
      </c>
      <c r="E428" s="991">
        <v>0</v>
      </c>
      <c r="F428" s="587">
        <v>0</v>
      </c>
      <c r="G428" s="787" t="s">
        <v>1706</v>
      </c>
      <c r="H428" s="753">
        <v>12</v>
      </c>
    </row>
    <row r="429" spans="1:8" s="566" customFormat="1" ht="13.35" hidden="1" customHeight="1">
      <c r="A429" s="610" t="s">
        <v>935</v>
      </c>
      <c r="B429" s="610" t="s">
        <v>1241</v>
      </c>
      <c r="C429" s="620" t="s">
        <v>37</v>
      </c>
      <c r="D429" s="1055">
        <v>0</v>
      </c>
      <c r="E429" s="991">
        <v>0</v>
      </c>
      <c r="F429" s="587">
        <v>0</v>
      </c>
      <c r="G429" s="787" t="s">
        <v>1707</v>
      </c>
      <c r="H429" s="753">
        <v>19.97</v>
      </c>
    </row>
    <row r="430" spans="1:8" s="566" customFormat="1" ht="13.35" hidden="1" customHeight="1">
      <c r="A430" s="610" t="s">
        <v>936</v>
      </c>
      <c r="B430" s="610" t="s">
        <v>1242</v>
      </c>
      <c r="C430" s="620" t="s">
        <v>37</v>
      </c>
      <c r="D430" s="1055">
        <v>0</v>
      </c>
      <c r="E430" s="991">
        <v>0</v>
      </c>
      <c r="F430" s="587">
        <v>0</v>
      </c>
      <c r="G430" s="787" t="s">
        <v>1708</v>
      </c>
      <c r="H430" s="753">
        <v>35.729999999999997</v>
      </c>
    </row>
    <row r="431" spans="1:8" s="566" customFormat="1" ht="13.35" hidden="1" customHeight="1">
      <c r="A431" s="610" t="s">
        <v>937</v>
      </c>
      <c r="B431" s="610" t="s">
        <v>1243</v>
      </c>
      <c r="C431" s="620" t="s">
        <v>37</v>
      </c>
      <c r="D431" s="1055">
        <v>0</v>
      </c>
      <c r="E431" s="991">
        <v>0</v>
      </c>
      <c r="F431" s="587">
        <v>0</v>
      </c>
      <c r="G431" s="787" t="s">
        <v>1709</v>
      </c>
      <c r="H431" s="753">
        <v>35.9</v>
      </c>
    </row>
    <row r="432" spans="1:8" s="566" customFormat="1" ht="13.35" hidden="1" customHeight="1">
      <c r="A432" s="610" t="s">
        <v>938</v>
      </c>
      <c r="B432" s="610" t="s">
        <v>1244</v>
      </c>
      <c r="C432" s="620" t="s">
        <v>38</v>
      </c>
      <c r="D432" s="1055">
        <v>0</v>
      </c>
      <c r="E432" s="991">
        <v>0</v>
      </c>
      <c r="F432" s="587">
        <v>0</v>
      </c>
      <c r="G432" s="787" t="s">
        <v>1710</v>
      </c>
      <c r="H432" s="753">
        <v>151.28</v>
      </c>
    </row>
    <row r="433" spans="1:8" s="566" customFormat="1" ht="13.35" hidden="1" customHeight="1">
      <c r="A433" s="610" t="s">
        <v>939</v>
      </c>
      <c r="B433" s="610" t="s">
        <v>1245</v>
      </c>
      <c r="C433" s="620" t="s">
        <v>38</v>
      </c>
      <c r="D433" s="1055">
        <v>0</v>
      </c>
      <c r="E433" s="991">
        <v>0</v>
      </c>
      <c r="F433" s="587">
        <v>0</v>
      </c>
      <c r="G433" s="787"/>
      <c r="H433" s="753">
        <v>0</v>
      </c>
    </row>
    <row r="434" spans="1:8" s="566" customFormat="1" ht="13.35" hidden="1" customHeight="1">
      <c r="A434" s="613" t="s">
        <v>523</v>
      </c>
      <c r="B434" s="613" t="s">
        <v>1246</v>
      </c>
      <c r="C434" s="696"/>
      <c r="D434" s="1055">
        <v>0</v>
      </c>
      <c r="E434" s="991">
        <v>0</v>
      </c>
      <c r="F434" s="587">
        <v>0</v>
      </c>
      <c r="G434" s="787" t="s">
        <v>1711</v>
      </c>
      <c r="H434" s="753">
        <v>33.950000000000003</v>
      </c>
    </row>
    <row r="435" spans="1:8" s="566" customFormat="1" ht="13.35" hidden="1" customHeight="1">
      <c r="A435" s="610" t="s">
        <v>524</v>
      </c>
      <c r="B435" s="610" t="s">
        <v>1247</v>
      </c>
      <c r="C435" s="620" t="s">
        <v>37</v>
      </c>
      <c r="D435" s="1055">
        <v>0</v>
      </c>
      <c r="E435" s="991">
        <v>0</v>
      </c>
      <c r="F435" s="587">
        <v>0</v>
      </c>
      <c r="G435" s="787"/>
      <c r="H435" s="753">
        <v>0</v>
      </c>
    </row>
    <row r="436" spans="1:8" s="566" customFormat="1" ht="13.35" hidden="1" customHeight="1">
      <c r="A436" s="613" t="s">
        <v>940</v>
      </c>
      <c r="B436" s="613" t="s">
        <v>1248</v>
      </c>
      <c r="C436" s="696"/>
      <c r="D436" s="1055">
        <v>0</v>
      </c>
      <c r="E436" s="991">
        <v>0</v>
      </c>
      <c r="F436" s="587">
        <v>0</v>
      </c>
      <c r="G436" s="787" t="s">
        <v>1712</v>
      </c>
      <c r="H436" s="753">
        <v>22.08</v>
      </c>
    </row>
    <row r="437" spans="1:8" s="566" customFormat="1" ht="13.35" hidden="1" customHeight="1">
      <c r="A437" s="610" t="s">
        <v>941</v>
      </c>
      <c r="B437" s="610" t="s">
        <v>1249</v>
      </c>
      <c r="C437" s="620" t="s">
        <v>37</v>
      </c>
      <c r="D437" s="1055">
        <v>0</v>
      </c>
      <c r="E437" s="991">
        <v>0</v>
      </c>
      <c r="F437" s="587">
        <v>0</v>
      </c>
      <c r="G437" s="787" t="s">
        <v>1713</v>
      </c>
      <c r="H437" s="753">
        <v>12.13</v>
      </c>
    </row>
    <row r="438" spans="1:8" s="566" customFormat="1" ht="13.35" hidden="1" customHeight="1">
      <c r="A438" s="610" t="s">
        <v>942</v>
      </c>
      <c r="B438" s="610" t="s">
        <v>1250</v>
      </c>
      <c r="C438" s="620" t="s">
        <v>37</v>
      </c>
      <c r="D438" s="1055">
        <v>0</v>
      </c>
      <c r="E438" s="991">
        <v>0</v>
      </c>
      <c r="F438" s="587">
        <v>0</v>
      </c>
      <c r="G438" s="787" t="s">
        <v>1714</v>
      </c>
      <c r="H438" s="753">
        <v>9.9499999999999993</v>
      </c>
    </row>
    <row r="439" spans="1:8" s="566" customFormat="1" ht="13.35" hidden="1" customHeight="1">
      <c r="A439" s="610" t="s">
        <v>943</v>
      </c>
      <c r="B439" s="610" t="s">
        <v>1251</v>
      </c>
      <c r="C439" s="620" t="s">
        <v>37</v>
      </c>
      <c r="D439" s="1055">
        <v>0</v>
      </c>
      <c r="E439" s="991">
        <v>0</v>
      </c>
      <c r="F439" s="587">
        <v>0</v>
      </c>
      <c r="G439" s="787"/>
      <c r="H439" s="753">
        <v>0</v>
      </c>
    </row>
    <row r="440" spans="1:8" s="566" customFormat="1" ht="13.35" hidden="1" customHeight="1">
      <c r="A440" s="613" t="s">
        <v>944</v>
      </c>
      <c r="B440" s="613" t="s">
        <v>1255</v>
      </c>
      <c r="C440" s="696"/>
      <c r="D440" s="1055">
        <v>0</v>
      </c>
      <c r="E440" s="991">
        <v>0</v>
      </c>
      <c r="F440" s="587">
        <v>0</v>
      </c>
      <c r="G440" s="787" t="s">
        <v>1715</v>
      </c>
      <c r="H440" s="753">
        <v>8.93</v>
      </c>
    </row>
    <row r="441" spans="1:8" s="566" customFormat="1" ht="13.35" hidden="1" customHeight="1">
      <c r="A441" s="610" t="s">
        <v>945</v>
      </c>
      <c r="B441" s="610" t="s">
        <v>1256</v>
      </c>
      <c r="C441" s="620" t="s">
        <v>37</v>
      </c>
      <c r="D441" s="1055">
        <v>0</v>
      </c>
      <c r="E441" s="991">
        <v>0</v>
      </c>
      <c r="F441" s="587">
        <v>0</v>
      </c>
      <c r="G441" s="787"/>
      <c r="H441" s="753">
        <v>0</v>
      </c>
    </row>
    <row r="442" spans="1:8" s="566" customFormat="1" ht="13.35" hidden="1" customHeight="1">
      <c r="A442" s="613" t="s">
        <v>946</v>
      </c>
      <c r="B442" s="613" t="s">
        <v>1257</v>
      </c>
      <c r="C442" s="696"/>
      <c r="D442" s="1055">
        <v>0</v>
      </c>
      <c r="E442" s="991">
        <v>0</v>
      </c>
      <c r="F442" s="587">
        <v>0</v>
      </c>
      <c r="G442" s="787" t="s">
        <v>1716</v>
      </c>
      <c r="H442" s="753">
        <v>6.91</v>
      </c>
    </row>
    <row r="443" spans="1:8" s="566" customFormat="1" ht="13.35" hidden="1" customHeight="1">
      <c r="A443" s="610" t="s">
        <v>947</v>
      </c>
      <c r="B443" s="610" t="s">
        <v>1258</v>
      </c>
      <c r="C443" s="620" t="s">
        <v>37</v>
      </c>
      <c r="D443" s="1055">
        <v>0</v>
      </c>
      <c r="E443" s="991">
        <v>0</v>
      </c>
      <c r="F443" s="587">
        <v>0</v>
      </c>
      <c r="G443" s="787" t="s">
        <v>1717</v>
      </c>
      <c r="H443" s="753">
        <v>8.86</v>
      </c>
    </row>
    <row r="444" spans="1:8" s="566" customFormat="1" ht="13.35" hidden="1" customHeight="1">
      <c r="A444" s="610" t="s">
        <v>948</v>
      </c>
      <c r="B444" s="610" t="s">
        <v>1285</v>
      </c>
      <c r="C444" s="620" t="s">
        <v>37</v>
      </c>
      <c r="D444" s="1055">
        <v>0</v>
      </c>
      <c r="E444" s="991">
        <v>0</v>
      </c>
      <c r="F444" s="587">
        <v>0</v>
      </c>
      <c r="G444" s="787" t="s">
        <v>1718</v>
      </c>
      <c r="H444" s="753">
        <v>10.78</v>
      </c>
    </row>
    <row r="445" spans="1:8" s="566" customFormat="1" ht="13.35" hidden="1" customHeight="1">
      <c r="A445" s="610" t="s">
        <v>949</v>
      </c>
      <c r="B445" s="610" t="s">
        <v>1259</v>
      </c>
      <c r="C445" s="620" t="s">
        <v>38</v>
      </c>
      <c r="D445" s="1055">
        <v>0</v>
      </c>
      <c r="E445" s="991">
        <v>0</v>
      </c>
      <c r="F445" s="587">
        <v>0</v>
      </c>
      <c r="G445" s="787" t="s">
        <v>1719</v>
      </c>
      <c r="H445" s="753">
        <v>14.4</v>
      </c>
    </row>
    <row r="446" spans="1:8" s="566" customFormat="1" ht="13.35" hidden="1" customHeight="1">
      <c r="A446" s="610" t="s">
        <v>950</v>
      </c>
      <c r="B446" s="610" t="s">
        <v>1260</v>
      </c>
      <c r="C446" s="620" t="s">
        <v>38</v>
      </c>
      <c r="D446" s="1055">
        <v>0</v>
      </c>
      <c r="E446" s="991">
        <v>0</v>
      </c>
      <c r="F446" s="587">
        <v>0</v>
      </c>
      <c r="G446" s="787"/>
      <c r="H446" s="753">
        <v>0</v>
      </c>
    </row>
    <row r="447" spans="1:8" s="566" customFormat="1" ht="13.35" hidden="1" customHeight="1">
      <c r="A447" s="613" t="s">
        <v>951</v>
      </c>
      <c r="B447" s="613" t="s">
        <v>1197</v>
      </c>
      <c r="C447" s="696"/>
      <c r="D447" s="1055">
        <v>0</v>
      </c>
      <c r="E447" s="991">
        <v>0</v>
      </c>
      <c r="F447" s="587">
        <v>0</v>
      </c>
      <c r="G447" s="787" t="s">
        <v>1720</v>
      </c>
      <c r="H447" s="753">
        <v>21.28</v>
      </c>
    </row>
    <row r="448" spans="1:8" s="566" customFormat="1" ht="13.35" hidden="1" customHeight="1">
      <c r="A448" s="610" t="s">
        <v>952</v>
      </c>
      <c r="B448" s="610" t="s">
        <v>1261</v>
      </c>
      <c r="C448" s="620" t="s">
        <v>37</v>
      </c>
      <c r="D448" s="1055">
        <v>0</v>
      </c>
      <c r="E448" s="991">
        <v>0</v>
      </c>
      <c r="F448" s="587">
        <v>0</v>
      </c>
      <c r="G448" s="787" t="s">
        <v>1688</v>
      </c>
      <c r="H448" s="753">
        <v>6.15</v>
      </c>
    </row>
    <row r="449" spans="1:8" s="566" customFormat="1" ht="13.35" hidden="1" customHeight="1">
      <c r="A449" s="610" t="s">
        <v>953</v>
      </c>
      <c r="B449" s="610" t="s">
        <v>1262</v>
      </c>
      <c r="C449" s="620" t="s">
        <v>38</v>
      </c>
      <c r="D449" s="1055">
        <v>0</v>
      </c>
      <c r="E449" s="991">
        <v>0</v>
      </c>
      <c r="F449" s="587">
        <v>0</v>
      </c>
      <c r="G449" s="787"/>
      <c r="H449" s="753">
        <v>0</v>
      </c>
    </row>
    <row r="450" spans="1:8" s="566" customFormat="1" ht="13.35" hidden="1" customHeight="1">
      <c r="A450" s="613" t="s">
        <v>954</v>
      </c>
      <c r="B450" s="613" t="s">
        <v>1263</v>
      </c>
      <c r="C450" s="696"/>
      <c r="D450" s="1055">
        <v>0</v>
      </c>
      <c r="E450" s="991">
        <v>0</v>
      </c>
      <c r="F450" s="587">
        <v>0</v>
      </c>
      <c r="G450" s="787" t="s">
        <v>1721</v>
      </c>
      <c r="H450" s="753">
        <v>1.89</v>
      </c>
    </row>
    <row r="451" spans="1:8" s="566" customFormat="1" ht="13.35" hidden="1" customHeight="1">
      <c r="A451" s="610" t="s">
        <v>955</v>
      </c>
      <c r="B451" s="610" t="s">
        <v>1264</v>
      </c>
      <c r="C451" s="620" t="s">
        <v>37</v>
      </c>
      <c r="D451" s="1055">
        <v>0</v>
      </c>
      <c r="E451" s="991">
        <v>0</v>
      </c>
      <c r="F451" s="587">
        <v>0</v>
      </c>
      <c r="G451" s="787" t="s">
        <v>1722</v>
      </c>
      <c r="H451" s="753">
        <v>3.15</v>
      </c>
    </row>
    <row r="452" spans="1:8" s="566" customFormat="1" ht="13.35" hidden="1" customHeight="1">
      <c r="A452" s="610" t="s">
        <v>956</v>
      </c>
      <c r="B452" s="610" t="s">
        <v>1294</v>
      </c>
      <c r="C452" s="620" t="s">
        <v>37</v>
      </c>
      <c r="D452" s="1055">
        <v>0</v>
      </c>
      <c r="E452" s="991">
        <v>0</v>
      </c>
      <c r="F452" s="587">
        <v>0</v>
      </c>
      <c r="G452" s="787"/>
      <c r="H452" s="753">
        <v>0</v>
      </c>
    </row>
    <row r="453" spans="1:8" s="566" customFormat="1" ht="13.35" hidden="1" customHeight="1">
      <c r="A453" s="613" t="s">
        <v>957</v>
      </c>
      <c r="B453" s="613" t="s">
        <v>1265</v>
      </c>
      <c r="C453" s="696"/>
      <c r="D453" s="1055">
        <v>0</v>
      </c>
      <c r="E453" s="991">
        <v>0</v>
      </c>
      <c r="F453" s="587">
        <v>0</v>
      </c>
      <c r="G453" s="787" t="s">
        <v>1640</v>
      </c>
      <c r="H453" s="753">
        <v>9</v>
      </c>
    </row>
    <row r="454" spans="1:8" s="566" customFormat="1" ht="13.35" hidden="1" customHeight="1">
      <c r="A454" s="610" t="s">
        <v>958</v>
      </c>
      <c r="B454" s="610" t="s">
        <v>1266</v>
      </c>
      <c r="C454" s="620" t="s">
        <v>1450</v>
      </c>
      <c r="D454" s="1055">
        <v>0</v>
      </c>
      <c r="E454" s="991">
        <v>0</v>
      </c>
      <c r="F454" s="587">
        <v>0</v>
      </c>
      <c r="G454" s="787" t="s">
        <v>1454</v>
      </c>
      <c r="H454" s="753">
        <v>1</v>
      </c>
    </row>
    <row r="455" spans="1:8" s="566" customFormat="1" ht="13.35" hidden="1" customHeight="1">
      <c r="A455" s="610" t="s">
        <v>959</v>
      </c>
      <c r="B455" s="610" t="s">
        <v>1267</v>
      </c>
      <c r="C455" s="620" t="s">
        <v>36</v>
      </c>
      <c r="D455" s="1055">
        <v>0</v>
      </c>
      <c r="E455" s="991">
        <v>0</v>
      </c>
      <c r="F455" s="587">
        <v>0</v>
      </c>
      <c r="G455" s="787" t="s">
        <v>1697</v>
      </c>
      <c r="H455" s="753">
        <v>2</v>
      </c>
    </row>
    <row r="456" spans="1:8" s="566" customFormat="1" ht="13.35" hidden="1" customHeight="1">
      <c r="A456" s="610" t="s">
        <v>960</v>
      </c>
      <c r="B456" s="610" t="s">
        <v>1295</v>
      </c>
      <c r="C456" s="620" t="s">
        <v>36</v>
      </c>
      <c r="D456" s="1055">
        <v>0</v>
      </c>
      <c r="E456" s="991">
        <v>0</v>
      </c>
      <c r="F456" s="587">
        <v>0</v>
      </c>
      <c r="G456" s="787"/>
      <c r="H456" s="753">
        <v>0</v>
      </c>
    </row>
    <row r="457" spans="1:8" s="566" customFormat="1" ht="13.35" hidden="1" customHeight="1">
      <c r="A457" s="613" t="s">
        <v>961</v>
      </c>
      <c r="B457" s="613" t="s">
        <v>1268</v>
      </c>
      <c r="C457" s="696"/>
      <c r="D457" s="1055">
        <v>0</v>
      </c>
      <c r="E457" s="991">
        <v>0</v>
      </c>
      <c r="F457" s="587">
        <v>0</v>
      </c>
      <c r="G457" s="787" t="s">
        <v>1723</v>
      </c>
      <c r="H457" s="753">
        <v>4.96</v>
      </c>
    </row>
    <row r="458" spans="1:8" s="566" customFormat="1" ht="13.35" hidden="1" customHeight="1">
      <c r="A458" s="610" t="s">
        <v>962</v>
      </c>
      <c r="B458" s="610" t="s">
        <v>1269</v>
      </c>
      <c r="C458" s="620" t="s">
        <v>37</v>
      </c>
      <c r="D458" s="1055">
        <v>0</v>
      </c>
      <c r="E458" s="991">
        <v>0</v>
      </c>
      <c r="F458" s="587">
        <v>0</v>
      </c>
      <c r="G458" s="787" t="s">
        <v>1487</v>
      </c>
      <c r="H458" s="753">
        <v>1.2</v>
      </c>
    </row>
    <row r="459" spans="1:8" s="566" customFormat="1" ht="13.35" hidden="1" customHeight="1">
      <c r="A459" s="610" t="s">
        <v>963</v>
      </c>
      <c r="B459" s="610" t="s">
        <v>1270</v>
      </c>
      <c r="C459" s="620" t="s">
        <v>37</v>
      </c>
      <c r="D459" s="1055">
        <v>0</v>
      </c>
      <c r="E459" s="991">
        <v>0</v>
      </c>
      <c r="F459" s="587">
        <v>0</v>
      </c>
      <c r="G459" s="787"/>
      <c r="H459" s="753">
        <v>0</v>
      </c>
    </row>
    <row r="460" spans="1:8" s="566" customFormat="1" ht="13.35" hidden="1" customHeight="1">
      <c r="A460" s="613" t="s">
        <v>964</v>
      </c>
      <c r="B460" s="613" t="s">
        <v>1271</v>
      </c>
      <c r="C460" s="696"/>
      <c r="D460" s="1055">
        <v>0</v>
      </c>
      <c r="E460" s="991">
        <v>0</v>
      </c>
      <c r="F460" s="587">
        <v>0</v>
      </c>
      <c r="G460" s="787" t="s">
        <v>1711</v>
      </c>
      <c r="H460" s="753">
        <v>33.950000000000003</v>
      </c>
    </row>
    <row r="461" spans="1:8" s="566" customFormat="1" ht="13.35" hidden="1" customHeight="1">
      <c r="A461" s="610" t="s">
        <v>965</v>
      </c>
      <c r="B461" s="610" t="s">
        <v>1272</v>
      </c>
      <c r="C461" s="620" t="s">
        <v>37</v>
      </c>
      <c r="D461" s="1055">
        <v>0</v>
      </c>
      <c r="E461" s="991">
        <v>0</v>
      </c>
      <c r="F461" s="587">
        <v>0</v>
      </c>
      <c r="G461" s="787" t="s">
        <v>1704</v>
      </c>
      <c r="H461" s="753">
        <v>77.680000000000007</v>
      </c>
    </row>
    <row r="462" spans="1:8" s="566" customFormat="1" ht="13.35" hidden="1" customHeight="1">
      <c r="A462" s="610" t="s">
        <v>966</v>
      </c>
      <c r="B462" s="610" t="s">
        <v>1273</v>
      </c>
      <c r="C462" s="620" t="s">
        <v>37</v>
      </c>
      <c r="D462" s="1055">
        <v>0</v>
      </c>
      <c r="E462" s="991">
        <v>0</v>
      </c>
      <c r="F462" s="587">
        <v>0</v>
      </c>
      <c r="G462" s="787" t="s">
        <v>1705</v>
      </c>
      <c r="H462" s="753">
        <v>51.98</v>
      </c>
    </row>
    <row r="463" spans="1:8" s="566" customFormat="1" ht="13.35" hidden="1" customHeight="1">
      <c r="A463" s="610" t="s">
        <v>967</v>
      </c>
      <c r="B463" s="610" t="s">
        <v>1274</v>
      </c>
      <c r="C463" s="620" t="s">
        <v>37</v>
      </c>
      <c r="D463" s="1055">
        <v>0</v>
      </c>
      <c r="E463" s="991">
        <v>0</v>
      </c>
      <c r="F463" s="587">
        <v>0</v>
      </c>
      <c r="G463" s="787" t="s">
        <v>1706</v>
      </c>
      <c r="H463" s="753">
        <v>12</v>
      </c>
    </row>
    <row r="464" spans="1:8" s="566" customFormat="1" ht="13.35" hidden="1" customHeight="1">
      <c r="A464" s="610" t="s">
        <v>968</v>
      </c>
      <c r="B464" s="610" t="s">
        <v>1275</v>
      </c>
      <c r="C464" s="620" t="s">
        <v>37</v>
      </c>
      <c r="D464" s="1055">
        <v>0</v>
      </c>
      <c r="E464" s="991">
        <v>0</v>
      </c>
      <c r="F464" s="587">
        <v>0</v>
      </c>
      <c r="G464" s="787" t="s">
        <v>1707</v>
      </c>
      <c r="H464" s="753">
        <v>19.97</v>
      </c>
    </row>
    <row r="465" spans="1:8" s="566" customFormat="1" ht="13.35" hidden="1" customHeight="1">
      <c r="A465" s="610" t="s">
        <v>969</v>
      </c>
      <c r="B465" s="610" t="s">
        <v>1276</v>
      </c>
      <c r="C465" s="620" t="s">
        <v>37</v>
      </c>
      <c r="D465" s="1055">
        <v>0</v>
      </c>
      <c r="E465" s="991">
        <v>0</v>
      </c>
      <c r="F465" s="587">
        <v>0</v>
      </c>
      <c r="G465" s="787" t="s">
        <v>1716</v>
      </c>
      <c r="H465" s="753">
        <v>6.91</v>
      </c>
    </row>
    <row r="466" spans="1:8" s="566" customFormat="1" ht="13.35" hidden="1" customHeight="1">
      <c r="A466" s="610" t="s">
        <v>970</v>
      </c>
      <c r="B466" s="610" t="s">
        <v>1277</v>
      </c>
      <c r="C466" s="620" t="s">
        <v>37</v>
      </c>
      <c r="D466" s="1055">
        <v>0</v>
      </c>
      <c r="E466" s="991">
        <v>0</v>
      </c>
      <c r="F466" s="587">
        <v>0</v>
      </c>
      <c r="G466" s="787" t="s">
        <v>1724</v>
      </c>
      <c r="H466" s="753">
        <v>10.5</v>
      </c>
    </row>
    <row r="467" spans="1:8" s="566" customFormat="1" ht="13.35" hidden="1" customHeight="1">
      <c r="A467" s="610" t="s">
        <v>971</v>
      </c>
      <c r="B467" s="610" t="s">
        <v>1278</v>
      </c>
      <c r="C467" s="620" t="s">
        <v>37</v>
      </c>
      <c r="D467" s="1055">
        <v>0</v>
      </c>
      <c r="E467" s="991">
        <v>0</v>
      </c>
      <c r="F467" s="587">
        <v>0</v>
      </c>
      <c r="G467" s="787"/>
      <c r="H467" s="753">
        <v>0</v>
      </c>
    </row>
    <row r="468" spans="1:8" s="566" customFormat="1" ht="13.35" hidden="1" customHeight="1">
      <c r="A468" s="613" t="s">
        <v>972</v>
      </c>
      <c r="B468" s="613" t="s">
        <v>1279</v>
      </c>
      <c r="C468" s="696"/>
      <c r="D468" s="1055">
        <v>0</v>
      </c>
      <c r="E468" s="991">
        <v>0</v>
      </c>
      <c r="F468" s="587">
        <v>0</v>
      </c>
      <c r="G468" s="787" t="s">
        <v>1725</v>
      </c>
      <c r="H468" s="753">
        <v>11</v>
      </c>
    </row>
    <row r="469" spans="1:8" s="566" customFormat="1" ht="13.35" hidden="1" customHeight="1">
      <c r="A469" s="610" t="s">
        <v>973</v>
      </c>
      <c r="B469" s="610" t="s">
        <v>1280</v>
      </c>
      <c r="C469" s="620" t="s">
        <v>1449</v>
      </c>
      <c r="D469" s="1055">
        <v>0</v>
      </c>
      <c r="E469" s="991">
        <v>0</v>
      </c>
      <c r="F469" s="587">
        <v>0</v>
      </c>
      <c r="G469" s="787" t="s">
        <v>1454</v>
      </c>
      <c r="H469" s="753">
        <v>1</v>
      </c>
    </row>
    <row r="470" spans="1:8" s="566" customFormat="1" ht="13.35" hidden="1" customHeight="1">
      <c r="A470" s="610" t="s">
        <v>974</v>
      </c>
      <c r="B470" s="610" t="s">
        <v>1281</v>
      </c>
      <c r="C470" s="620" t="s">
        <v>64</v>
      </c>
      <c r="D470" s="1055">
        <v>0</v>
      </c>
      <c r="E470" s="991">
        <v>0</v>
      </c>
      <c r="F470" s="587">
        <v>0</v>
      </c>
      <c r="G470" s="787" t="s">
        <v>1726</v>
      </c>
      <c r="H470" s="753">
        <v>8.15</v>
      </c>
    </row>
    <row r="471" spans="1:8" s="566" customFormat="1" ht="13.35" hidden="1" customHeight="1">
      <c r="A471" s="610" t="s">
        <v>975</v>
      </c>
      <c r="B471" s="610" t="s">
        <v>1282</v>
      </c>
      <c r="C471" s="620" t="s">
        <v>37</v>
      </c>
      <c r="D471" s="1055">
        <v>0</v>
      </c>
      <c r="E471" s="991">
        <v>0</v>
      </c>
      <c r="F471" s="587">
        <v>0</v>
      </c>
      <c r="G471" s="787"/>
      <c r="H471" s="753">
        <v>0</v>
      </c>
    </row>
    <row r="472" spans="1:8" s="566" customFormat="1" ht="13.35" hidden="1" customHeight="1">
      <c r="A472" s="498" t="s">
        <v>525</v>
      </c>
      <c r="B472" s="614" t="s">
        <v>1297</v>
      </c>
      <c r="C472" s="696"/>
      <c r="D472" s="1055">
        <v>0</v>
      </c>
      <c r="E472" s="991">
        <v>0</v>
      </c>
      <c r="F472" s="587">
        <v>0</v>
      </c>
      <c r="G472" s="787"/>
      <c r="H472" s="753">
        <v>0</v>
      </c>
    </row>
    <row r="473" spans="1:8" s="566" customFormat="1" ht="13.35" hidden="1" customHeight="1">
      <c r="A473" s="613" t="s">
        <v>526</v>
      </c>
      <c r="B473" s="613" t="s">
        <v>1235</v>
      </c>
      <c r="C473" s="696"/>
      <c r="D473" s="1055">
        <v>0</v>
      </c>
      <c r="E473" s="991">
        <v>0</v>
      </c>
      <c r="F473" s="587">
        <v>0</v>
      </c>
      <c r="G473" s="787" t="s">
        <v>1727</v>
      </c>
      <c r="H473" s="753">
        <v>239.98</v>
      </c>
    </row>
    <row r="474" spans="1:8" s="566" customFormat="1" ht="13.35" hidden="1" customHeight="1">
      <c r="A474" s="610" t="s">
        <v>527</v>
      </c>
      <c r="B474" s="610" t="s">
        <v>1298</v>
      </c>
      <c r="C474" s="620" t="s">
        <v>37</v>
      </c>
      <c r="D474" s="1055">
        <v>0</v>
      </c>
      <c r="E474" s="991">
        <v>0</v>
      </c>
      <c r="F474" s="587">
        <v>0</v>
      </c>
      <c r="G474" s="787"/>
      <c r="H474" s="753">
        <v>0</v>
      </c>
    </row>
    <row r="475" spans="1:8" s="566" customFormat="1" ht="13.35" hidden="1" customHeight="1">
      <c r="A475" s="613" t="s">
        <v>976</v>
      </c>
      <c r="B475" s="613" t="s">
        <v>1238</v>
      </c>
      <c r="C475" s="696"/>
      <c r="D475" s="1055">
        <v>0</v>
      </c>
      <c r="E475" s="991">
        <v>0</v>
      </c>
      <c r="F475" s="587">
        <v>0</v>
      </c>
      <c r="G475" s="787" t="s">
        <v>1728</v>
      </c>
      <c r="H475" s="753">
        <v>117.85</v>
      </c>
    </row>
    <row r="476" spans="1:8" s="566" customFormat="1" ht="13.35" hidden="1" customHeight="1">
      <c r="A476" s="610" t="s">
        <v>977</v>
      </c>
      <c r="B476" s="610" t="s">
        <v>1299</v>
      </c>
      <c r="C476" s="620" t="s">
        <v>37</v>
      </c>
      <c r="D476" s="1055">
        <v>0</v>
      </c>
      <c r="E476" s="991">
        <v>0</v>
      </c>
      <c r="F476" s="587">
        <v>0</v>
      </c>
      <c r="G476" s="787" t="s">
        <v>1729</v>
      </c>
      <c r="H476" s="753">
        <v>65.94</v>
      </c>
    </row>
    <row r="477" spans="1:8" s="566" customFormat="1" ht="13.35" hidden="1" customHeight="1">
      <c r="A477" s="610" t="s">
        <v>978</v>
      </c>
      <c r="B477" s="610" t="s">
        <v>1300</v>
      </c>
      <c r="C477" s="620" t="s">
        <v>37</v>
      </c>
      <c r="D477" s="1055">
        <v>0</v>
      </c>
      <c r="E477" s="991">
        <v>0</v>
      </c>
      <c r="F477" s="587">
        <v>0</v>
      </c>
      <c r="G477" s="787" t="s">
        <v>1589</v>
      </c>
      <c r="H477" s="753">
        <v>49.66</v>
      </c>
    </row>
    <row r="478" spans="1:8" s="566" customFormat="1" ht="13.35" hidden="1" customHeight="1">
      <c r="A478" s="610" t="s">
        <v>979</v>
      </c>
      <c r="B478" s="610" t="s">
        <v>1301</v>
      </c>
      <c r="C478" s="620" t="s">
        <v>37</v>
      </c>
      <c r="D478" s="1055">
        <v>0</v>
      </c>
      <c r="E478" s="991">
        <v>0</v>
      </c>
      <c r="F478" s="587">
        <v>0</v>
      </c>
      <c r="G478" s="787"/>
      <c r="H478" s="753">
        <v>0</v>
      </c>
    </row>
    <row r="479" spans="1:8" s="566" customFormat="1" ht="13.35" hidden="1" customHeight="1">
      <c r="A479" s="613" t="s">
        <v>980</v>
      </c>
      <c r="B479" s="613" t="s">
        <v>1290</v>
      </c>
      <c r="C479" s="696"/>
      <c r="D479" s="1055">
        <v>0</v>
      </c>
      <c r="E479" s="991">
        <v>0</v>
      </c>
      <c r="F479" s="587">
        <v>0</v>
      </c>
      <c r="G479" s="787" t="s">
        <v>1730</v>
      </c>
      <c r="H479" s="753">
        <v>7.98</v>
      </c>
    </row>
    <row r="480" spans="1:8" s="566" customFormat="1" ht="13.35" hidden="1" customHeight="1">
      <c r="A480" s="610" t="s">
        <v>981</v>
      </c>
      <c r="B480" s="610" t="s">
        <v>1302</v>
      </c>
      <c r="C480" s="620" t="s">
        <v>37</v>
      </c>
      <c r="D480" s="1055">
        <v>0</v>
      </c>
      <c r="E480" s="991">
        <v>0</v>
      </c>
      <c r="F480" s="587">
        <v>0</v>
      </c>
      <c r="G480" s="787"/>
      <c r="H480" s="753">
        <v>0</v>
      </c>
    </row>
    <row r="481" spans="1:8" s="566" customFormat="1" ht="13.35" hidden="1" customHeight="1">
      <c r="A481" s="613" t="s">
        <v>982</v>
      </c>
      <c r="B481" s="613" t="s">
        <v>1271</v>
      </c>
      <c r="C481" s="696"/>
      <c r="D481" s="1055">
        <v>0</v>
      </c>
      <c r="E481" s="991">
        <v>0</v>
      </c>
      <c r="F481" s="587">
        <v>0</v>
      </c>
      <c r="G481" s="787" t="s">
        <v>1728</v>
      </c>
      <c r="H481" s="753">
        <v>117.85</v>
      </c>
    </row>
    <row r="482" spans="1:8" s="566" customFormat="1" ht="13.35" hidden="1" customHeight="1">
      <c r="A482" s="610" t="s">
        <v>983</v>
      </c>
      <c r="B482" s="610" t="s">
        <v>1303</v>
      </c>
      <c r="C482" s="620" t="s">
        <v>37</v>
      </c>
      <c r="D482" s="1055">
        <v>0</v>
      </c>
      <c r="E482" s="991">
        <v>0</v>
      </c>
      <c r="F482" s="587">
        <v>0</v>
      </c>
      <c r="G482" s="787" t="s">
        <v>1729</v>
      </c>
      <c r="H482" s="753">
        <v>65.94</v>
      </c>
    </row>
    <row r="483" spans="1:8" s="566" customFormat="1" ht="13.35" hidden="1" customHeight="1">
      <c r="A483" s="610" t="s">
        <v>984</v>
      </c>
      <c r="B483" s="610" t="s">
        <v>1275</v>
      </c>
      <c r="C483" s="620" t="s">
        <v>37</v>
      </c>
      <c r="D483" s="1055">
        <v>0</v>
      </c>
      <c r="E483" s="991">
        <v>0</v>
      </c>
      <c r="F483" s="587">
        <v>0</v>
      </c>
      <c r="G483" s="787" t="s">
        <v>1589</v>
      </c>
      <c r="H483" s="753">
        <v>49.66</v>
      </c>
    </row>
    <row r="484" spans="1:8" s="566" customFormat="1" ht="13.35" hidden="1" customHeight="1">
      <c r="A484" s="610" t="s">
        <v>985</v>
      </c>
      <c r="B484" s="610" t="s">
        <v>1276</v>
      </c>
      <c r="C484" s="620" t="s">
        <v>37</v>
      </c>
      <c r="D484" s="1055">
        <v>0</v>
      </c>
      <c r="E484" s="991">
        <v>0</v>
      </c>
      <c r="F484" s="587">
        <v>0</v>
      </c>
      <c r="G484" s="787"/>
      <c r="H484" s="753">
        <v>0</v>
      </c>
    </row>
    <row r="485" spans="1:8" s="566" customFormat="1" ht="13.35" hidden="1" customHeight="1">
      <c r="A485" s="498" t="s">
        <v>986</v>
      </c>
      <c r="B485" s="614" t="s">
        <v>1304</v>
      </c>
      <c r="C485" s="696"/>
      <c r="D485" s="1055">
        <v>0</v>
      </c>
      <c r="E485" s="991">
        <v>0</v>
      </c>
      <c r="F485" s="587">
        <v>0</v>
      </c>
      <c r="G485" s="787" t="s">
        <v>1731</v>
      </c>
      <c r="H485" s="753">
        <v>154.19</v>
      </c>
    </row>
    <row r="486" spans="1:8" s="566" customFormat="1" ht="13.35" hidden="1" customHeight="1">
      <c r="A486" s="613" t="s">
        <v>987</v>
      </c>
      <c r="B486" s="613" t="s">
        <v>1305</v>
      </c>
      <c r="C486" s="620" t="s">
        <v>37</v>
      </c>
      <c r="D486" s="1055">
        <v>0</v>
      </c>
      <c r="E486" s="991">
        <v>0</v>
      </c>
      <c r="F486" s="587">
        <v>0</v>
      </c>
      <c r="G486" s="787" t="s">
        <v>1732</v>
      </c>
      <c r="H486" s="753">
        <v>48.81</v>
      </c>
    </row>
    <row r="487" spans="1:8" s="566" customFormat="1" ht="13.35" hidden="1" customHeight="1">
      <c r="A487" s="613" t="s">
        <v>988</v>
      </c>
      <c r="B487" s="613" t="s">
        <v>1306</v>
      </c>
      <c r="C487" s="620" t="s">
        <v>37</v>
      </c>
      <c r="D487" s="1055">
        <v>0</v>
      </c>
      <c r="E487" s="991">
        <v>0</v>
      </c>
      <c r="F487" s="587">
        <v>0</v>
      </c>
      <c r="G487" s="787"/>
      <c r="H487" s="753">
        <v>0</v>
      </c>
    </row>
    <row r="488" spans="1:8" s="566" customFormat="1" ht="13.35" hidden="1" customHeight="1">
      <c r="A488" s="498" t="s">
        <v>989</v>
      </c>
      <c r="B488" s="614" t="s">
        <v>1307</v>
      </c>
      <c r="C488" s="696"/>
      <c r="D488" s="1055">
        <v>0</v>
      </c>
      <c r="E488" s="991">
        <v>0</v>
      </c>
      <c r="F488" s="587">
        <v>0</v>
      </c>
      <c r="G488" s="787"/>
      <c r="H488" s="753">
        <v>0</v>
      </c>
    </row>
    <row r="489" spans="1:8" s="566" customFormat="1" ht="13.35" hidden="1" customHeight="1">
      <c r="A489" s="613" t="s">
        <v>990</v>
      </c>
      <c r="B489" s="613" t="s">
        <v>1248</v>
      </c>
      <c r="C489" s="696"/>
      <c r="D489" s="1055">
        <v>0</v>
      </c>
      <c r="E489" s="991">
        <v>0</v>
      </c>
      <c r="F489" s="587">
        <v>0</v>
      </c>
      <c r="G489" s="787" t="s">
        <v>1607</v>
      </c>
      <c r="H489" s="753">
        <v>60</v>
      </c>
    </row>
    <row r="490" spans="1:8" s="566" customFormat="1" ht="13.35" hidden="1" customHeight="1">
      <c r="A490" s="610" t="s">
        <v>991</v>
      </c>
      <c r="B490" s="610" t="s">
        <v>1308</v>
      </c>
      <c r="C490" s="620" t="s">
        <v>37</v>
      </c>
      <c r="D490" s="1055">
        <v>0</v>
      </c>
      <c r="E490" s="991">
        <v>0</v>
      </c>
      <c r="F490" s="587">
        <v>0</v>
      </c>
      <c r="G490" s="787" t="s">
        <v>1632</v>
      </c>
      <c r="H490" s="753">
        <v>5.18</v>
      </c>
    </row>
    <row r="491" spans="1:8" s="566" customFormat="1" ht="13.35" hidden="1" customHeight="1">
      <c r="A491" s="610" t="s">
        <v>992</v>
      </c>
      <c r="B491" s="610" t="s">
        <v>1309</v>
      </c>
      <c r="C491" s="620" t="s">
        <v>37</v>
      </c>
      <c r="D491" s="1055">
        <v>0</v>
      </c>
      <c r="E491" s="991">
        <v>0</v>
      </c>
      <c r="F491" s="587">
        <v>0</v>
      </c>
      <c r="G491" s="787"/>
      <c r="H491" s="753">
        <v>0</v>
      </c>
    </row>
    <row r="492" spans="1:8" s="566" customFormat="1" ht="13.35" hidden="1" customHeight="1">
      <c r="A492" s="613" t="s">
        <v>993</v>
      </c>
      <c r="B492" s="613" t="s">
        <v>1252</v>
      </c>
      <c r="C492" s="696"/>
      <c r="D492" s="1055">
        <v>0</v>
      </c>
      <c r="E492" s="991">
        <v>0</v>
      </c>
      <c r="F492" s="587">
        <v>0</v>
      </c>
      <c r="G492" s="787" t="s">
        <v>1733</v>
      </c>
      <c r="H492" s="753">
        <v>73.98</v>
      </c>
    </row>
    <row r="493" spans="1:8" s="566" customFormat="1" ht="13.35" hidden="1" customHeight="1">
      <c r="A493" s="610" t="s">
        <v>994</v>
      </c>
      <c r="B493" s="610" t="s">
        <v>1310</v>
      </c>
      <c r="C493" s="620" t="s">
        <v>38</v>
      </c>
      <c r="D493" s="1055">
        <v>0</v>
      </c>
      <c r="E493" s="991">
        <v>0</v>
      </c>
      <c r="F493" s="587">
        <v>0</v>
      </c>
      <c r="G493" s="787" t="s">
        <v>1734</v>
      </c>
      <c r="H493" s="753">
        <v>44.39</v>
      </c>
    </row>
    <row r="494" spans="1:8" s="566" customFormat="1" ht="13.35" hidden="1" customHeight="1">
      <c r="A494" s="610" t="s">
        <v>995</v>
      </c>
      <c r="B494" s="610" t="s">
        <v>1254</v>
      </c>
      <c r="C494" s="620" t="s">
        <v>37</v>
      </c>
      <c r="D494" s="1055">
        <v>0</v>
      </c>
      <c r="E494" s="991">
        <v>0</v>
      </c>
      <c r="F494" s="587">
        <v>0</v>
      </c>
      <c r="G494" s="787"/>
      <c r="H494" s="753">
        <v>0</v>
      </c>
    </row>
    <row r="495" spans="1:8" s="566" customFormat="1" ht="13.35" hidden="1" customHeight="1">
      <c r="A495" s="613" t="s">
        <v>996</v>
      </c>
      <c r="B495" s="613" t="s">
        <v>1311</v>
      </c>
      <c r="C495" s="696"/>
      <c r="D495" s="1055">
        <v>0</v>
      </c>
      <c r="E495" s="991">
        <v>0</v>
      </c>
      <c r="F495" s="587">
        <v>0</v>
      </c>
      <c r="G495" s="787" t="s">
        <v>1735</v>
      </c>
      <c r="H495" s="753">
        <v>64</v>
      </c>
    </row>
    <row r="496" spans="1:8" s="566" customFormat="1" ht="13.35" hidden="1" customHeight="1">
      <c r="A496" s="610" t="s">
        <v>997</v>
      </c>
      <c r="B496" s="610" t="s">
        <v>1312</v>
      </c>
      <c r="C496" s="620" t="s">
        <v>37</v>
      </c>
      <c r="D496" s="1055">
        <v>0</v>
      </c>
      <c r="E496" s="991">
        <v>0</v>
      </c>
      <c r="F496" s="587">
        <v>0</v>
      </c>
      <c r="G496" s="787"/>
      <c r="H496" s="753">
        <v>0</v>
      </c>
    </row>
    <row r="497" spans="1:8" s="566" customFormat="1" ht="13.35" hidden="1" customHeight="1">
      <c r="A497" s="613" t="s">
        <v>998</v>
      </c>
      <c r="B497" s="613" t="s">
        <v>1199</v>
      </c>
      <c r="C497" s="696"/>
      <c r="D497" s="1055">
        <v>0</v>
      </c>
      <c r="E497" s="991">
        <v>0</v>
      </c>
      <c r="F497" s="587">
        <v>0</v>
      </c>
      <c r="G497" s="787" t="s">
        <v>1736</v>
      </c>
      <c r="H497" s="753">
        <v>22</v>
      </c>
    </row>
    <row r="498" spans="1:8" s="566" customFormat="1" ht="13.35" hidden="1" customHeight="1">
      <c r="A498" s="610" t="s">
        <v>999</v>
      </c>
      <c r="B498" s="610" t="s">
        <v>1313</v>
      </c>
      <c r="C498" s="620" t="s">
        <v>38</v>
      </c>
      <c r="D498" s="1055">
        <v>0</v>
      </c>
      <c r="E498" s="991">
        <v>0</v>
      </c>
      <c r="F498" s="587">
        <v>0</v>
      </c>
      <c r="G498" s="787" t="s">
        <v>1454</v>
      </c>
      <c r="H498" s="753">
        <v>1</v>
      </c>
    </row>
    <row r="499" spans="1:8" s="566" customFormat="1" ht="13.35" hidden="1" customHeight="1">
      <c r="A499" s="610" t="s">
        <v>1000</v>
      </c>
      <c r="B499" s="610" t="s">
        <v>1314</v>
      </c>
      <c r="C499" s="620" t="s">
        <v>1449</v>
      </c>
      <c r="D499" s="1055">
        <v>0</v>
      </c>
      <c r="E499" s="991">
        <v>0</v>
      </c>
      <c r="F499" s="587">
        <v>0</v>
      </c>
      <c r="G499" s="787"/>
      <c r="H499" s="753">
        <v>0</v>
      </c>
    </row>
    <row r="500" spans="1:8" s="566" customFormat="1" ht="13.35" hidden="1" customHeight="1">
      <c r="A500" s="498" t="s">
        <v>1001</v>
      </c>
      <c r="B500" s="614" t="s">
        <v>1315</v>
      </c>
      <c r="C500" s="696"/>
      <c r="D500" s="1055">
        <v>0</v>
      </c>
      <c r="E500" s="991">
        <v>0</v>
      </c>
      <c r="F500" s="587">
        <v>0</v>
      </c>
      <c r="G500" s="787"/>
      <c r="H500" s="753">
        <v>0</v>
      </c>
    </row>
    <row r="501" spans="1:8" s="566" customFormat="1" ht="13.35" hidden="1" customHeight="1">
      <c r="A501" s="613" t="s">
        <v>1002</v>
      </c>
      <c r="B501" s="613" t="s">
        <v>1248</v>
      </c>
      <c r="C501" s="696"/>
      <c r="D501" s="1055">
        <v>0</v>
      </c>
      <c r="E501" s="991">
        <v>0</v>
      </c>
      <c r="F501" s="587">
        <v>0</v>
      </c>
      <c r="G501" s="787" t="s">
        <v>1737</v>
      </c>
      <c r="H501" s="753">
        <v>28.21</v>
      </c>
    </row>
    <row r="502" spans="1:8" s="566" customFormat="1" ht="13.35" hidden="1" customHeight="1">
      <c r="A502" s="610" t="s">
        <v>1003</v>
      </c>
      <c r="B502" s="610" t="s">
        <v>1316</v>
      </c>
      <c r="C502" s="620" t="s">
        <v>37</v>
      </c>
      <c r="D502" s="1055">
        <v>0</v>
      </c>
      <c r="E502" s="991">
        <v>0</v>
      </c>
      <c r="F502" s="587">
        <v>0</v>
      </c>
      <c r="G502" s="787"/>
      <c r="H502" s="753">
        <v>0</v>
      </c>
    </row>
    <row r="503" spans="1:8" s="566" customFormat="1" ht="13.35" hidden="1" customHeight="1">
      <c r="A503" s="613" t="s">
        <v>1004</v>
      </c>
      <c r="B503" s="613" t="s">
        <v>1317</v>
      </c>
      <c r="C503" s="696"/>
      <c r="D503" s="1055">
        <v>0</v>
      </c>
      <c r="E503" s="991">
        <v>0</v>
      </c>
      <c r="F503" s="587">
        <v>0</v>
      </c>
      <c r="G503" s="787" t="s">
        <v>1738</v>
      </c>
      <c r="H503" s="753">
        <v>5.9</v>
      </c>
    </row>
    <row r="504" spans="1:8" s="566" customFormat="1" ht="13.35" hidden="1" customHeight="1">
      <c r="A504" s="610" t="s">
        <v>1005</v>
      </c>
      <c r="B504" s="610" t="s">
        <v>1318</v>
      </c>
      <c r="C504" s="620" t="s">
        <v>40</v>
      </c>
      <c r="D504" s="1055">
        <v>0</v>
      </c>
      <c r="E504" s="991">
        <v>0</v>
      </c>
      <c r="F504" s="587">
        <v>0</v>
      </c>
      <c r="G504" s="787" t="s">
        <v>1677</v>
      </c>
      <c r="H504" s="753">
        <v>18.920000000000002</v>
      </c>
    </row>
    <row r="505" spans="1:8" s="566" customFormat="1" ht="13.35" hidden="1" customHeight="1">
      <c r="A505" s="610" t="s">
        <v>1006</v>
      </c>
      <c r="B505" s="610" t="s">
        <v>1195</v>
      </c>
      <c r="C505" s="620" t="s">
        <v>37</v>
      </c>
      <c r="D505" s="1055">
        <v>0</v>
      </c>
      <c r="E505" s="991">
        <v>0</v>
      </c>
      <c r="F505" s="587">
        <v>0</v>
      </c>
      <c r="G505" s="787"/>
      <c r="H505" s="753">
        <v>0</v>
      </c>
    </row>
    <row r="506" spans="1:8" s="566" customFormat="1" ht="13.35" hidden="1" customHeight="1">
      <c r="A506" s="613" t="s">
        <v>1007</v>
      </c>
      <c r="B506" s="613" t="s">
        <v>1290</v>
      </c>
      <c r="C506" s="696"/>
      <c r="D506" s="1055">
        <v>0</v>
      </c>
      <c r="E506" s="991">
        <v>0</v>
      </c>
      <c r="F506" s="587">
        <v>0</v>
      </c>
      <c r="G506" s="787" t="s">
        <v>1627</v>
      </c>
      <c r="H506" s="753">
        <v>90.62</v>
      </c>
    </row>
    <row r="507" spans="1:8" s="566" customFormat="1" ht="13.35" hidden="1" customHeight="1">
      <c r="A507" s="610" t="s">
        <v>1008</v>
      </c>
      <c r="B507" s="610" t="s">
        <v>1319</v>
      </c>
      <c r="C507" s="620" t="s">
        <v>38</v>
      </c>
      <c r="D507" s="1055">
        <v>0</v>
      </c>
      <c r="E507" s="991">
        <v>0</v>
      </c>
      <c r="F507" s="587">
        <v>0</v>
      </c>
      <c r="G507" s="787"/>
      <c r="H507" s="753">
        <v>0</v>
      </c>
    </row>
    <row r="508" spans="1:8" s="566" customFormat="1" ht="13.35" hidden="1" customHeight="1">
      <c r="A508" s="613" t="s">
        <v>1009</v>
      </c>
      <c r="B508" s="613" t="s">
        <v>1320</v>
      </c>
      <c r="C508" s="696"/>
      <c r="D508" s="1055">
        <v>0</v>
      </c>
      <c r="E508" s="991">
        <v>0</v>
      </c>
      <c r="F508" s="587">
        <v>0</v>
      </c>
      <c r="G508" s="787" t="s">
        <v>1739</v>
      </c>
      <c r="H508" s="753">
        <v>36.799999999999997</v>
      </c>
    </row>
    <row r="509" spans="1:8" s="566" customFormat="1" ht="13.35" hidden="1" customHeight="1">
      <c r="A509" s="610" t="s">
        <v>1010</v>
      </c>
      <c r="B509" s="610" t="s">
        <v>1313</v>
      </c>
      <c r="C509" s="620" t="s">
        <v>38</v>
      </c>
      <c r="D509" s="1055">
        <v>0</v>
      </c>
      <c r="E509" s="991">
        <v>0</v>
      </c>
      <c r="F509" s="587">
        <v>0</v>
      </c>
      <c r="G509" s="787"/>
      <c r="H509" s="753">
        <v>0</v>
      </c>
    </row>
    <row r="510" spans="1:8" s="566" customFormat="1" ht="13.35" hidden="1" customHeight="1">
      <c r="A510" s="498" t="s">
        <v>1011</v>
      </c>
      <c r="B510" s="614" t="s">
        <v>1321</v>
      </c>
      <c r="C510" s="696"/>
      <c r="D510" s="1055">
        <v>0</v>
      </c>
      <c r="E510" s="991">
        <v>0</v>
      </c>
      <c r="F510" s="587">
        <v>0</v>
      </c>
      <c r="G510" s="787"/>
      <c r="H510" s="753">
        <v>0</v>
      </c>
    </row>
    <row r="511" spans="1:8" s="566" customFormat="1" ht="13.35" hidden="1" customHeight="1">
      <c r="A511" s="613" t="s">
        <v>1012</v>
      </c>
      <c r="B511" s="613" t="s">
        <v>1322</v>
      </c>
      <c r="C511" s="696"/>
      <c r="D511" s="1055">
        <v>0</v>
      </c>
      <c r="E511" s="991">
        <v>0</v>
      </c>
      <c r="F511" s="587">
        <v>0</v>
      </c>
      <c r="G511" s="787" t="s">
        <v>1740</v>
      </c>
      <c r="H511" s="753">
        <v>42.32</v>
      </c>
    </row>
    <row r="512" spans="1:8" s="566" customFormat="1" ht="13.35" hidden="1" customHeight="1">
      <c r="A512" s="610" t="s">
        <v>1013</v>
      </c>
      <c r="B512" s="610" t="s">
        <v>1323</v>
      </c>
      <c r="C512" s="620" t="s">
        <v>37</v>
      </c>
      <c r="D512" s="1055">
        <v>0</v>
      </c>
      <c r="E512" s="991">
        <v>0</v>
      </c>
      <c r="F512" s="587">
        <v>0</v>
      </c>
      <c r="G512" s="787" t="s">
        <v>1740</v>
      </c>
      <c r="H512" s="753">
        <v>42.32</v>
      </c>
    </row>
    <row r="513" spans="1:8" s="566" customFormat="1" ht="13.35" hidden="1" customHeight="1">
      <c r="A513" s="610" t="s">
        <v>1014</v>
      </c>
      <c r="B513" s="610" t="s">
        <v>1324</v>
      </c>
      <c r="C513" s="620" t="s">
        <v>37</v>
      </c>
      <c r="D513" s="1055">
        <v>0</v>
      </c>
      <c r="E513" s="991">
        <v>0</v>
      </c>
      <c r="F513" s="587">
        <v>0</v>
      </c>
      <c r="G513" s="787" t="s">
        <v>1741</v>
      </c>
      <c r="H513" s="753">
        <v>10</v>
      </c>
    </row>
    <row r="514" spans="1:8" s="566" customFormat="1" ht="14.1" hidden="1" customHeight="1">
      <c r="A514" s="610" t="s">
        <v>1015</v>
      </c>
      <c r="B514" s="610" t="s">
        <v>1325</v>
      </c>
      <c r="C514" s="620" t="s">
        <v>36</v>
      </c>
      <c r="D514" s="1055">
        <v>0</v>
      </c>
      <c r="E514" s="991">
        <v>0</v>
      </c>
      <c r="F514" s="587">
        <v>0</v>
      </c>
      <c r="G514" s="787"/>
      <c r="H514" s="753">
        <v>0</v>
      </c>
    </row>
    <row r="515" spans="1:8" s="939" customFormat="1" ht="13.35" hidden="1" customHeight="1">
      <c r="A515" s="1058" t="s">
        <v>487</v>
      </c>
      <c r="B515" s="1058" t="s">
        <v>1326</v>
      </c>
      <c r="C515" s="1060"/>
      <c r="D515" s="1055">
        <v>0</v>
      </c>
      <c r="E515" s="991">
        <v>0</v>
      </c>
      <c r="F515" s="587">
        <v>0</v>
      </c>
      <c r="G515" s="944"/>
      <c r="H515" s="938">
        <v>0</v>
      </c>
    </row>
    <row r="516" spans="1:8" s="566" customFormat="1" ht="13.35" hidden="1" customHeight="1">
      <c r="A516" s="498" t="s">
        <v>488</v>
      </c>
      <c r="B516" s="614" t="s">
        <v>1327</v>
      </c>
      <c r="C516" s="696"/>
      <c r="D516" s="1055">
        <v>0</v>
      </c>
      <c r="E516" s="991">
        <v>0</v>
      </c>
      <c r="F516" s="587">
        <v>0</v>
      </c>
      <c r="G516" s="787" t="s">
        <v>1670</v>
      </c>
      <c r="H516" s="753">
        <v>4</v>
      </c>
    </row>
    <row r="517" spans="1:8" s="566" customFormat="1" ht="13.35" hidden="1" customHeight="1">
      <c r="A517" s="613" t="s">
        <v>489</v>
      </c>
      <c r="B517" s="613" t="s">
        <v>1328</v>
      </c>
      <c r="C517" s="620" t="s">
        <v>1449</v>
      </c>
      <c r="D517" s="1055">
        <v>0</v>
      </c>
      <c r="E517" s="991">
        <v>0</v>
      </c>
      <c r="F517" s="587">
        <v>0</v>
      </c>
      <c r="G517" s="787" t="s">
        <v>1697</v>
      </c>
      <c r="H517" s="753">
        <v>2</v>
      </c>
    </row>
    <row r="518" spans="1:8" s="566" customFormat="1" ht="13.35" hidden="1" customHeight="1">
      <c r="A518" s="613" t="s">
        <v>490</v>
      </c>
      <c r="B518" s="613" t="s">
        <v>1329</v>
      </c>
      <c r="C518" s="620" t="s">
        <v>1449</v>
      </c>
      <c r="D518" s="1055">
        <v>0</v>
      </c>
      <c r="E518" s="991">
        <v>0</v>
      </c>
      <c r="F518" s="587">
        <v>0</v>
      </c>
      <c r="G518" s="787" t="s">
        <v>1670</v>
      </c>
      <c r="H518" s="753">
        <v>4</v>
      </c>
    </row>
    <row r="519" spans="1:8" s="566" customFormat="1" ht="13.35" hidden="1" customHeight="1">
      <c r="A519" s="613" t="s">
        <v>491</v>
      </c>
      <c r="B519" s="613" t="s">
        <v>1330</v>
      </c>
      <c r="C519" s="620" t="s">
        <v>1449</v>
      </c>
      <c r="D519" s="1055">
        <v>0</v>
      </c>
      <c r="E519" s="991">
        <v>0</v>
      </c>
      <c r="F519" s="587">
        <v>0</v>
      </c>
      <c r="G519" s="787" t="s">
        <v>1697</v>
      </c>
      <c r="H519" s="753">
        <v>2</v>
      </c>
    </row>
    <row r="520" spans="1:8" s="566" customFormat="1" ht="13.35" hidden="1" customHeight="1">
      <c r="A520" s="613" t="s">
        <v>1016</v>
      </c>
      <c r="B520" s="613" t="s">
        <v>1331</v>
      </c>
      <c r="C520" s="620" t="s">
        <v>1449</v>
      </c>
      <c r="D520" s="1055">
        <v>0</v>
      </c>
      <c r="E520" s="991">
        <v>0</v>
      </c>
      <c r="F520" s="587">
        <v>0</v>
      </c>
      <c r="G520" s="787" t="s">
        <v>1454</v>
      </c>
      <c r="H520" s="753">
        <v>1</v>
      </c>
    </row>
    <row r="521" spans="1:8" s="566" customFormat="1" ht="13.35" hidden="1" customHeight="1">
      <c r="A521" s="613" t="s">
        <v>1017</v>
      </c>
      <c r="B521" s="613" t="s">
        <v>1332</v>
      </c>
      <c r="C521" s="620" t="s">
        <v>1449</v>
      </c>
      <c r="D521" s="1055">
        <v>0</v>
      </c>
      <c r="E521" s="991">
        <v>0</v>
      </c>
      <c r="F521" s="587">
        <v>0</v>
      </c>
      <c r="G521" s="787" t="s">
        <v>1616</v>
      </c>
      <c r="H521" s="753">
        <v>6</v>
      </c>
    </row>
    <row r="522" spans="1:8" s="566" customFormat="1" ht="13.35" hidden="1" customHeight="1">
      <c r="A522" s="613" t="s">
        <v>1018</v>
      </c>
      <c r="B522" s="613" t="s">
        <v>1333</v>
      </c>
      <c r="C522" s="620" t="s">
        <v>1449</v>
      </c>
      <c r="D522" s="1055">
        <v>0</v>
      </c>
      <c r="E522" s="991">
        <v>0</v>
      </c>
      <c r="F522" s="587">
        <v>0</v>
      </c>
      <c r="G522" s="787" t="s">
        <v>1670</v>
      </c>
      <c r="H522" s="753">
        <v>4</v>
      </c>
    </row>
    <row r="523" spans="1:8" s="566" customFormat="1" ht="13.35" hidden="1" customHeight="1">
      <c r="A523" s="613" t="s">
        <v>1019</v>
      </c>
      <c r="B523" s="613" t="s">
        <v>1334</v>
      </c>
      <c r="C523" s="620" t="s">
        <v>1449</v>
      </c>
      <c r="D523" s="1055">
        <v>0</v>
      </c>
      <c r="E523" s="991">
        <v>0</v>
      </c>
      <c r="F523" s="587">
        <v>0</v>
      </c>
      <c r="G523" s="787" t="s">
        <v>1454</v>
      </c>
      <c r="H523" s="753">
        <v>1</v>
      </c>
    </row>
    <row r="524" spans="1:8" s="566" customFormat="1" ht="13.35" hidden="1" customHeight="1">
      <c r="A524" s="613" t="s">
        <v>1020</v>
      </c>
      <c r="B524" s="613" t="s">
        <v>1335</v>
      </c>
      <c r="C524" s="620" t="s">
        <v>1450</v>
      </c>
      <c r="D524" s="1055">
        <v>0</v>
      </c>
      <c r="E524" s="991">
        <v>0</v>
      </c>
      <c r="F524" s="587">
        <v>0</v>
      </c>
      <c r="G524" s="787" t="s">
        <v>1454</v>
      </c>
      <c r="H524" s="753">
        <v>1</v>
      </c>
    </row>
    <row r="525" spans="1:8" s="566" customFormat="1" ht="13.35" hidden="1" customHeight="1">
      <c r="A525" s="613" t="s">
        <v>1021</v>
      </c>
      <c r="B525" s="613" t="s">
        <v>1336</v>
      </c>
      <c r="C525" s="620" t="s">
        <v>41</v>
      </c>
      <c r="D525" s="1055">
        <v>0</v>
      </c>
      <c r="E525" s="991">
        <v>0</v>
      </c>
      <c r="F525" s="587">
        <v>0</v>
      </c>
      <c r="G525" s="787" t="s">
        <v>1454</v>
      </c>
      <c r="H525" s="753">
        <v>1</v>
      </c>
    </row>
    <row r="526" spans="1:8" s="566" customFormat="1" ht="13.35" hidden="1" customHeight="1">
      <c r="A526" s="613" t="s">
        <v>1022</v>
      </c>
      <c r="B526" s="613" t="s">
        <v>1337</v>
      </c>
      <c r="C526" s="620" t="s">
        <v>1449</v>
      </c>
      <c r="D526" s="1055">
        <v>0</v>
      </c>
      <c r="E526" s="991">
        <v>0</v>
      </c>
      <c r="F526" s="587">
        <v>0</v>
      </c>
      <c r="G526" s="787" t="s">
        <v>1742</v>
      </c>
      <c r="H526" s="753">
        <v>19</v>
      </c>
    </row>
    <row r="527" spans="1:8" s="566" customFormat="1" ht="13.35" hidden="1" customHeight="1">
      <c r="A527" s="613" t="s">
        <v>1023</v>
      </c>
      <c r="B527" s="613" t="s">
        <v>1338</v>
      </c>
      <c r="C527" s="620" t="s">
        <v>1450</v>
      </c>
      <c r="D527" s="1055">
        <v>0</v>
      </c>
      <c r="E527" s="991">
        <v>0</v>
      </c>
      <c r="F527" s="587">
        <v>0</v>
      </c>
      <c r="G527" s="787"/>
      <c r="H527" s="753">
        <v>0</v>
      </c>
    </row>
    <row r="528" spans="1:8" s="566" customFormat="1" ht="13.35" hidden="1" customHeight="1">
      <c r="A528" s="498" t="s">
        <v>492</v>
      </c>
      <c r="B528" s="614" t="s">
        <v>1339</v>
      </c>
      <c r="C528" s="696"/>
      <c r="D528" s="1055">
        <v>0</v>
      </c>
      <c r="E528" s="991">
        <v>0</v>
      </c>
      <c r="F528" s="587">
        <v>0</v>
      </c>
      <c r="G528" s="787" t="s">
        <v>1670</v>
      </c>
      <c r="H528" s="753">
        <v>4</v>
      </c>
    </row>
    <row r="529" spans="1:8" s="566" customFormat="1" ht="13.35" hidden="1" customHeight="1">
      <c r="A529" s="613" t="s">
        <v>493</v>
      </c>
      <c r="B529" s="613" t="s">
        <v>1340</v>
      </c>
      <c r="C529" s="620" t="s">
        <v>1451</v>
      </c>
      <c r="D529" s="1055">
        <v>0</v>
      </c>
      <c r="E529" s="991">
        <v>0</v>
      </c>
      <c r="F529" s="587">
        <v>0</v>
      </c>
      <c r="G529" s="787" t="s">
        <v>1616</v>
      </c>
      <c r="H529" s="753">
        <v>6</v>
      </c>
    </row>
    <row r="530" spans="1:8" s="566" customFormat="1" ht="13.35" hidden="1" customHeight="1">
      <c r="A530" s="613" t="s">
        <v>494</v>
      </c>
      <c r="B530" s="613" t="s">
        <v>1341</v>
      </c>
      <c r="C530" s="620" t="s">
        <v>1451</v>
      </c>
      <c r="D530" s="1055">
        <v>0</v>
      </c>
      <c r="E530" s="991">
        <v>0</v>
      </c>
      <c r="F530" s="587">
        <v>0</v>
      </c>
      <c r="G530" s="787" t="s">
        <v>1741</v>
      </c>
      <c r="H530" s="753">
        <v>10</v>
      </c>
    </row>
    <row r="531" spans="1:8" s="566" customFormat="1" ht="13.35" hidden="1" customHeight="1">
      <c r="A531" s="613" t="s">
        <v>495</v>
      </c>
      <c r="B531" s="613" t="s">
        <v>1342</v>
      </c>
      <c r="C531" s="620" t="s">
        <v>1451</v>
      </c>
      <c r="D531" s="1055">
        <v>0</v>
      </c>
      <c r="E531" s="991">
        <v>0</v>
      </c>
      <c r="F531" s="587">
        <v>0</v>
      </c>
      <c r="G531" s="787" t="s">
        <v>1743</v>
      </c>
      <c r="H531" s="753">
        <v>32.450000000000003</v>
      </c>
    </row>
    <row r="532" spans="1:8" s="566" customFormat="1" ht="13.35" hidden="1" customHeight="1">
      <c r="A532" s="613" t="s">
        <v>1024</v>
      </c>
      <c r="B532" s="613" t="s">
        <v>1343</v>
      </c>
      <c r="C532" s="620" t="s">
        <v>38</v>
      </c>
      <c r="D532" s="1055">
        <v>0</v>
      </c>
      <c r="E532" s="991">
        <v>0</v>
      </c>
      <c r="F532" s="587">
        <v>0</v>
      </c>
      <c r="G532" s="787" t="s">
        <v>1744</v>
      </c>
      <c r="H532" s="753">
        <v>45.55</v>
      </c>
    </row>
    <row r="533" spans="1:8" s="566" customFormat="1" ht="13.35" hidden="1" customHeight="1">
      <c r="A533" s="613" t="s">
        <v>1025</v>
      </c>
      <c r="B533" s="613" t="s">
        <v>1344</v>
      </c>
      <c r="C533" s="620" t="s">
        <v>38</v>
      </c>
      <c r="D533" s="1055">
        <v>0</v>
      </c>
      <c r="E533" s="991">
        <v>0</v>
      </c>
      <c r="F533" s="587">
        <v>0</v>
      </c>
      <c r="G533" s="787" t="s">
        <v>1670</v>
      </c>
      <c r="H533" s="753">
        <v>4</v>
      </c>
    </row>
    <row r="534" spans="1:8" s="566" customFormat="1" ht="13.35" hidden="1" customHeight="1">
      <c r="A534" s="613" t="s">
        <v>1026</v>
      </c>
      <c r="B534" s="613" t="s">
        <v>1345</v>
      </c>
      <c r="C534" s="620" t="s">
        <v>1449</v>
      </c>
      <c r="D534" s="1055">
        <v>0</v>
      </c>
      <c r="E534" s="991">
        <v>0</v>
      </c>
      <c r="F534" s="587">
        <v>0</v>
      </c>
      <c r="G534" s="787" t="s">
        <v>1697</v>
      </c>
      <c r="H534" s="753">
        <v>2</v>
      </c>
    </row>
    <row r="535" spans="1:8" s="566" customFormat="1" ht="13.35" hidden="1" customHeight="1">
      <c r="A535" s="613" t="s">
        <v>1027</v>
      </c>
      <c r="B535" s="613" t="s">
        <v>1346</v>
      </c>
      <c r="C535" s="620" t="s">
        <v>1449</v>
      </c>
      <c r="D535" s="1055">
        <v>0</v>
      </c>
      <c r="E535" s="991">
        <v>0</v>
      </c>
      <c r="F535" s="587">
        <v>0</v>
      </c>
      <c r="G535" s="787" t="s">
        <v>1616</v>
      </c>
      <c r="H535" s="753">
        <v>6</v>
      </c>
    </row>
    <row r="536" spans="1:8" s="566" customFormat="1" ht="13.35" hidden="1" customHeight="1">
      <c r="A536" s="613" t="s">
        <v>1028</v>
      </c>
      <c r="B536" s="613" t="s">
        <v>1347</v>
      </c>
      <c r="C536" s="620" t="s">
        <v>1449</v>
      </c>
      <c r="D536" s="1055">
        <v>0</v>
      </c>
      <c r="E536" s="991">
        <v>0</v>
      </c>
      <c r="F536" s="587">
        <v>0</v>
      </c>
      <c r="G536" s="787" t="s">
        <v>1616</v>
      </c>
      <c r="H536" s="753">
        <v>6</v>
      </c>
    </row>
    <row r="537" spans="1:8" s="566" customFormat="1" ht="13.35" hidden="1" customHeight="1">
      <c r="A537" s="613" t="s">
        <v>1029</v>
      </c>
      <c r="B537" s="613" t="s">
        <v>1348</v>
      </c>
      <c r="C537" s="620" t="s">
        <v>1449</v>
      </c>
      <c r="D537" s="1055">
        <v>0</v>
      </c>
      <c r="E537" s="991">
        <v>0</v>
      </c>
      <c r="F537" s="587">
        <v>0</v>
      </c>
      <c r="G537" s="787" t="s">
        <v>1616</v>
      </c>
      <c r="H537" s="753">
        <v>6</v>
      </c>
    </row>
    <row r="538" spans="1:8" s="566" customFormat="1" ht="13.35" hidden="1" customHeight="1">
      <c r="A538" s="613" t="s">
        <v>1030</v>
      </c>
      <c r="B538" s="613" t="s">
        <v>1349</v>
      </c>
      <c r="C538" s="620" t="s">
        <v>1450</v>
      </c>
      <c r="D538" s="1055">
        <v>0</v>
      </c>
      <c r="E538" s="991">
        <v>0</v>
      </c>
      <c r="F538" s="587">
        <v>0</v>
      </c>
      <c r="G538" s="787"/>
      <c r="H538" s="753">
        <v>0</v>
      </c>
    </row>
    <row r="539" spans="1:8" s="566" customFormat="1" ht="13.35" hidden="1" customHeight="1">
      <c r="A539" s="498" t="s">
        <v>496</v>
      </c>
      <c r="B539" s="614" t="s">
        <v>1350</v>
      </c>
      <c r="C539" s="696"/>
      <c r="D539" s="1055">
        <v>0</v>
      </c>
      <c r="E539" s="991">
        <v>0</v>
      </c>
      <c r="F539" s="587">
        <v>0</v>
      </c>
      <c r="G539" s="787" t="s">
        <v>1745</v>
      </c>
      <c r="H539" s="753">
        <v>18.04</v>
      </c>
    </row>
    <row r="540" spans="1:8" s="566" customFormat="1" ht="13.35" hidden="1" customHeight="1">
      <c r="A540" s="613" t="s">
        <v>497</v>
      </c>
      <c r="B540" s="613" t="s">
        <v>1351</v>
      </c>
      <c r="C540" s="620" t="s">
        <v>40</v>
      </c>
      <c r="D540" s="1055">
        <v>0</v>
      </c>
      <c r="E540" s="991">
        <v>0</v>
      </c>
      <c r="F540" s="587">
        <v>0</v>
      </c>
      <c r="G540" s="787" t="s">
        <v>1745</v>
      </c>
      <c r="H540" s="753">
        <v>18.04</v>
      </c>
    </row>
    <row r="541" spans="1:8" s="566" customFormat="1" ht="13.35" hidden="1" customHeight="1">
      <c r="A541" s="613" t="s">
        <v>498</v>
      </c>
      <c r="B541" s="613" t="s">
        <v>1352</v>
      </c>
      <c r="C541" s="620" t="s">
        <v>40</v>
      </c>
      <c r="D541" s="1055">
        <v>0</v>
      </c>
      <c r="E541" s="991">
        <v>0</v>
      </c>
      <c r="F541" s="587">
        <v>0</v>
      </c>
      <c r="G541" s="787" t="s">
        <v>1454</v>
      </c>
      <c r="H541" s="753">
        <v>1</v>
      </c>
    </row>
    <row r="542" spans="1:8" s="566" customFormat="1" ht="13.35" hidden="1" customHeight="1">
      <c r="A542" s="613" t="s">
        <v>1031</v>
      </c>
      <c r="B542" s="613" t="s">
        <v>1353</v>
      </c>
      <c r="C542" s="620" t="s">
        <v>36</v>
      </c>
      <c r="D542" s="1055">
        <v>0</v>
      </c>
      <c r="E542" s="991">
        <v>0</v>
      </c>
      <c r="F542" s="587">
        <v>0</v>
      </c>
      <c r="G542" s="787" t="s">
        <v>1454</v>
      </c>
      <c r="H542" s="753">
        <v>1</v>
      </c>
    </row>
    <row r="543" spans="1:8" s="566" customFormat="1" ht="13.35" hidden="1" customHeight="1">
      <c r="A543" s="613" t="s">
        <v>1032</v>
      </c>
      <c r="B543" s="613" t="s">
        <v>1354</v>
      </c>
      <c r="C543" s="620" t="s">
        <v>41</v>
      </c>
      <c r="D543" s="1055">
        <v>0</v>
      </c>
      <c r="E543" s="991">
        <v>0</v>
      </c>
      <c r="F543" s="587">
        <v>0</v>
      </c>
      <c r="G543" s="787"/>
      <c r="H543" s="753">
        <v>0</v>
      </c>
    </row>
    <row r="544" spans="1:8" s="566" customFormat="1" ht="13.35" hidden="1" customHeight="1">
      <c r="A544" s="498" t="s">
        <v>499</v>
      </c>
      <c r="B544" s="614" t="s">
        <v>1355</v>
      </c>
      <c r="C544" s="696"/>
      <c r="D544" s="1055">
        <v>0</v>
      </c>
      <c r="E544" s="991">
        <v>0</v>
      </c>
      <c r="F544" s="587">
        <v>0</v>
      </c>
      <c r="G544" s="787" t="s">
        <v>1746</v>
      </c>
      <c r="H544" s="753">
        <v>10.08</v>
      </c>
    </row>
    <row r="545" spans="1:8" s="566" customFormat="1" ht="13.35" hidden="1" customHeight="1">
      <c r="A545" s="613" t="s">
        <v>500</v>
      </c>
      <c r="B545" s="613" t="s">
        <v>1351</v>
      </c>
      <c r="C545" s="620" t="s">
        <v>40</v>
      </c>
      <c r="D545" s="1055">
        <v>0</v>
      </c>
      <c r="E545" s="991">
        <v>0</v>
      </c>
      <c r="F545" s="587">
        <v>0</v>
      </c>
      <c r="G545" s="787" t="s">
        <v>1746</v>
      </c>
      <c r="H545" s="753">
        <v>10.08</v>
      </c>
    </row>
    <row r="546" spans="1:8" s="566" customFormat="1" ht="13.35" hidden="1" customHeight="1">
      <c r="A546" s="613" t="s">
        <v>501</v>
      </c>
      <c r="B546" s="613" t="s">
        <v>1352</v>
      </c>
      <c r="C546" s="620" t="s">
        <v>40</v>
      </c>
      <c r="D546" s="1055">
        <v>0</v>
      </c>
      <c r="E546" s="991">
        <v>0</v>
      </c>
      <c r="F546" s="587">
        <v>0</v>
      </c>
      <c r="G546" s="787" t="s">
        <v>1747</v>
      </c>
      <c r="H546" s="753">
        <v>5.04</v>
      </c>
    </row>
    <row r="547" spans="1:8" s="566" customFormat="1" ht="13.35" hidden="1" customHeight="1">
      <c r="A547" s="613" t="s">
        <v>502</v>
      </c>
      <c r="B547" s="613" t="s">
        <v>1356</v>
      </c>
      <c r="C547" s="620" t="s">
        <v>40</v>
      </c>
      <c r="D547" s="1055">
        <v>0</v>
      </c>
      <c r="E547" s="991">
        <v>0</v>
      </c>
      <c r="F547" s="587">
        <v>0</v>
      </c>
      <c r="G547" s="787" t="s">
        <v>1454</v>
      </c>
      <c r="H547" s="753">
        <v>1</v>
      </c>
    </row>
    <row r="548" spans="1:8" s="566" customFormat="1" ht="13.35" hidden="1" customHeight="1">
      <c r="A548" s="613" t="s">
        <v>503</v>
      </c>
      <c r="B548" s="613" t="s">
        <v>1357</v>
      </c>
      <c r="C548" s="620" t="s">
        <v>41</v>
      </c>
      <c r="D548" s="1055">
        <v>0</v>
      </c>
      <c r="E548" s="991">
        <v>0</v>
      </c>
      <c r="F548" s="587">
        <v>0</v>
      </c>
      <c r="G548" s="787" t="s">
        <v>1601</v>
      </c>
      <c r="H548" s="753">
        <v>24</v>
      </c>
    </row>
    <row r="549" spans="1:8" s="566" customFormat="1" ht="13.35" hidden="1" customHeight="1">
      <c r="A549" s="613" t="s">
        <v>1033</v>
      </c>
      <c r="B549" s="613" t="s">
        <v>1358</v>
      </c>
      <c r="C549" s="620" t="s">
        <v>38</v>
      </c>
      <c r="D549" s="1055">
        <v>0</v>
      </c>
      <c r="E549" s="991">
        <v>0</v>
      </c>
      <c r="F549" s="587">
        <v>0</v>
      </c>
      <c r="G549" s="787"/>
      <c r="H549" s="753">
        <v>0</v>
      </c>
    </row>
    <row r="550" spans="1:8" ht="13.35" hidden="1" customHeight="1">
      <c r="A550" s="498" t="s">
        <v>504</v>
      </c>
      <c r="B550" s="614" t="s">
        <v>1359</v>
      </c>
      <c r="C550" s="696"/>
      <c r="D550" s="1055">
        <v>0</v>
      </c>
      <c r="E550" s="991">
        <v>0</v>
      </c>
      <c r="F550" s="587">
        <v>0</v>
      </c>
      <c r="G550" s="787" t="s">
        <v>1492</v>
      </c>
      <c r="H550" s="753">
        <v>15</v>
      </c>
    </row>
    <row r="551" spans="1:8" ht="13.35" hidden="1" customHeight="1">
      <c r="A551" s="613" t="s">
        <v>505</v>
      </c>
      <c r="B551" s="613" t="s">
        <v>1360</v>
      </c>
      <c r="C551" s="620" t="s">
        <v>1451</v>
      </c>
      <c r="D551" s="1055">
        <v>0</v>
      </c>
      <c r="E551" s="991">
        <v>0</v>
      </c>
      <c r="F551" s="587">
        <v>0</v>
      </c>
      <c r="G551" s="787" t="s">
        <v>1748</v>
      </c>
      <c r="H551" s="753">
        <v>31.6</v>
      </c>
    </row>
    <row r="552" spans="1:8" ht="13.35" hidden="1" customHeight="1">
      <c r="A552" s="613" t="s">
        <v>506</v>
      </c>
      <c r="B552" s="613" t="s">
        <v>1361</v>
      </c>
      <c r="C552" s="620" t="s">
        <v>38</v>
      </c>
      <c r="D552" s="1055">
        <v>0</v>
      </c>
      <c r="E552" s="991">
        <v>0</v>
      </c>
      <c r="F552" s="587">
        <v>0</v>
      </c>
      <c r="G552" s="787" t="s">
        <v>1749</v>
      </c>
      <c r="H552" s="753">
        <v>46.35</v>
      </c>
    </row>
    <row r="553" spans="1:8" ht="13.35" hidden="1" customHeight="1">
      <c r="A553" s="613" t="s">
        <v>507</v>
      </c>
      <c r="B553" s="613" t="s">
        <v>1362</v>
      </c>
      <c r="C553" s="620" t="s">
        <v>38</v>
      </c>
      <c r="D553" s="1055">
        <v>0</v>
      </c>
      <c r="E553" s="991">
        <v>0</v>
      </c>
      <c r="F553" s="587">
        <v>0</v>
      </c>
      <c r="G553" s="787" t="s">
        <v>1616</v>
      </c>
      <c r="H553" s="753">
        <v>6</v>
      </c>
    </row>
    <row r="554" spans="1:8" ht="13.35" hidden="1" customHeight="1">
      <c r="A554" s="613" t="s">
        <v>1034</v>
      </c>
      <c r="B554" s="613" t="s">
        <v>1363</v>
      </c>
      <c r="C554" s="620" t="s">
        <v>1449</v>
      </c>
      <c r="D554" s="1055">
        <v>0</v>
      </c>
      <c r="E554" s="991">
        <v>0</v>
      </c>
      <c r="F554" s="587">
        <v>0</v>
      </c>
      <c r="G554" s="787" t="s">
        <v>1454</v>
      </c>
      <c r="H554" s="753">
        <v>1</v>
      </c>
    </row>
    <row r="555" spans="1:8" ht="13.35" hidden="1" customHeight="1">
      <c r="A555" s="613" t="s">
        <v>1035</v>
      </c>
      <c r="B555" s="613" t="s">
        <v>1364</v>
      </c>
      <c r="C555" s="620" t="s">
        <v>1450</v>
      </c>
      <c r="D555" s="1055">
        <v>0</v>
      </c>
      <c r="E555" s="991">
        <v>0</v>
      </c>
      <c r="F555" s="587">
        <v>0</v>
      </c>
      <c r="G555" s="787" t="s">
        <v>1697</v>
      </c>
      <c r="H555" s="753">
        <v>2</v>
      </c>
    </row>
    <row r="556" spans="1:8" ht="13.35" hidden="1" customHeight="1">
      <c r="A556" s="613" t="s">
        <v>1036</v>
      </c>
      <c r="B556" s="613" t="s">
        <v>1365</v>
      </c>
      <c r="C556" s="620" t="s">
        <v>1449</v>
      </c>
      <c r="D556" s="1055">
        <v>0</v>
      </c>
      <c r="E556" s="991">
        <v>0</v>
      </c>
      <c r="F556" s="587">
        <v>0</v>
      </c>
      <c r="G556" s="787"/>
      <c r="H556" s="753">
        <v>0</v>
      </c>
    </row>
    <row r="557" spans="1:8" ht="13.35" hidden="1" customHeight="1">
      <c r="A557" s="498" t="s">
        <v>1037</v>
      </c>
      <c r="B557" s="614" t="s">
        <v>1366</v>
      </c>
      <c r="C557" s="620"/>
      <c r="D557" s="1055">
        <v>0</v>
      </c>
      <c r="E557" s="991">
        <v>0</v>
      </c>
      <c r="F557" s="587">
        <v>0</v>
      </c>
      <c r="G557" s="787" t="s">
        <v>1454</v>
      </c>
      <c r="H557" s="753">
        <v>1</v>
      </c>
    </row>
    <row r="558" spans="1:8" ht="13.35" hidden="1" customHeight="1">
      <c r="A558" s="613" t="s">
        <v>508</v>
      </c>
      <c r="B558" s="613" t="s">
        <v>1367</v>
      </c>
      <c r="C558" s="620" t="s">
        <v>64</v>
      </c>
      <c r="D558" s="1055">
        <v>0</v>
      </c>
      <c r="E558" s="991">
        <v>0</v>
      </c>
      <c r="F558" s="587">
        <v>0</v>
      </c>
      <c r="G558" s="787" t="s">
        <v>1750</v>
      </c>
      <c r="H558" s="753">
        <v>77.95</v>
      </c>
    </row>
    <row r="559" spans="1:8" ht="13.35" hidden="1" customHeight="1">
      <c r="A559" s="613" t="s">
        <v>509</v>
      </c>
      <c r="B559" s="613" t="s">
        <v>1368</v>
      </c>
      <c r="C559" s="620" t="s">
        <v>38</v>
      </c>
      <c r="D559" s="1055">
        <v>0</v>
      </c>
      <c r="E559" s="991">
        <v>0</v>
      </c>
      <c r="F559" s="587">
        <v>0</v>
      </c>
      <c r="G559" s="787"/>
      <c r="H559" s="753">
        <v>0</v>
      </c>
    </row>
    <row r="560" spans="1:8" ht="13.35" hidden="1" customHeight="1">
      <c r="A560" s="498" t="s">
        <v>1038</v>
      </c>
      <c r="B560" s="614" t="s">
        <v>1369</v>
      </c>
      <c r="C560" s="620"/>
      <c r="D560" s="1055">
        <v>0</v>
      </c>
      <c r="E560" s="991">
        <v>0</v>
      </c>
      <c r="F560" s="587">
        <v>0</v>
      </c>
      <c r="G560" s="787" t="s">
        <v>1751</v>
      </c>
      <c r="H560" s="753">
        <v>110.78</v>
      </c>
    </row>
    <row r="561" spans="1:8" ht="13.35" hidden="1" customHeight="1">
      <c r="A561" s="613" t="s">
        <v>1039</v>
      </c>
      <c r="B561" s="613" t="s">
        <v>1370</v>
      </c>
      <c r="C561" s="620" t="s">
        <v>38</v>
      </c>
      <c r="D561" s="1055">
        <v>0</v>
      </c>
      <c r="E561" s="991">
        <v>0</v>
      </c>
      <c r="F561" s="587">
        <v>0</v>
      </c>
      <c r="G561" s="787" t="s">
        <v>1752</v>
      </c>
      <c r="H561" s="753">
        <v>34</v>
      </c>
    </row>
    <row r="562" spans="1:8" ht="13.35" hidden="1" customHeight="1">
      <c r="A562" s="613" t="s">
        <v>1040</v>
      </c>
      <c r="B562" s="613" t="s">
        <v>1371</v>
      </c>
      <c r="C562" s="620" t="s">
        <v>1449</v>
      </c>
      <c r="D562" s="1055">
        <v>0</v>
      </c>
      <c r="E562" s="991">
        <v>0</v>
      </c>
      <c r="F562" s="587">
        <v>0</v>
      </c>
      <c r="G562" s="787" t="s">
        <v>1753</v>
      </c>
      <c r="H562" s="753">
        <v>35.200000000000003</v>
      </c>
    </row>
    <row r="563" spans="1:8" ht="13.35" hidden="1" customHeight="1">
      <c r="A563" s="613" t="s">
        <v>1041</v>
      </c>
      <c r="B563" s="613" t="s">
        <v>1372</v>
      </c>
      <c r="C563" s="620" t="s">
        <v>37</v>
      </c>
      <c r="D563" s="1055">
        <v>0</v>
      </c>
      <c r="E563" s="991">
        <v>0</v>
      </c>
      <c r="F563" s="587">
        <v>0</v>
      </c>
      <c r="G563" s="787" t="s">
        <v>1754</v>
      </c>
      <c r="H563" s="753">
        <v>1.32</v>
      </c>
    </row>
    <row r="564" spans="1:8" ht="13.35" hidden="1" customHeight="1">
      <c r="A564" s="613" t="s">
        <v>1042</v>
      </c>
      <c r="B564" s="613" t="s">
        <v>1373</v>
      </c>
      <c r="C564" s="620" t="s">
        <v>40</v>
      </c>
      <c r="D564" s="1055">
        <v>0</v>
      </c>
      <c r="E564" s="991">
        <v>0</v>
      </c>
      <c r="F564" s="587">
        <v>0</v>
      </c>
      <c r="G564" s="787" t="s">
        <v>1755</v>
      </c>
      <c r="H564" s="753">
        <v>114.4</v>
      </c>
    </row>
    <row r="565" spans="1:8" ht="13.35" hidden="1" customHeight="1">
      <c r="A565" s="613" t="s">
        <v>1043</v>
      </c>
      <c r="B565" s="613" t="s">
        <v>1374</v>
      </c>
      <c r="C565" s="620" t="s">
        <v>48</v>
      </c>
      <c r="D565" s="1055">
        <v>0</v>
      </c>
      <c r="E565" s="991">
        <v>0</v>
      </c>
      <c r="F565" s="587">
        <v>0</v>
      </c>
      <c r="G565" s="787" t="s">
        <v>1756</v>
      </c>
      <c r="H565" s="753">
        <v>89.98</v>
      </c>
    </row>
    <row r="566" spans="1:8" ht="13.35" hidden="1" customHeight="1">
      <c r="A566" s="613" t="s">
        <v>1044</v>
      </c>
      <c r="B566" s="613" t="s">
        <v>1375</v>
      </c>
      <c r="C566" s="620" t="s">
        <v>38</v>
      </c>
      <c r="D566" s="1055">
        <v>0</v>
      </c>
      <c r="E566" s="991">
        <v>0</v>
      </c>
      <c r="F566" s="587">
        <v>0</v>
      </c>
      <c r="G566" s="787" t="s">
        <v>1757</v>
      </c>
      <c r="H566" s="753">
        <v>33.78</v>
      </c>
    </row>
    <row r="567" spans="1:8" ht="13.35" hidden="1" customHeight="1">
      <c r="A567" s="613" t="s">
        <v>1045</v>
      </c>
      <c r="B567" s="613" t="s">
        <v>1376</v>
      </c>
      <c r="C567" s="620" t="s">
        <v>38</v>
      </c>
      <c r="D567" s="1055">
        <v>0</v>
      </c>
      <c r="E567" s="991">
        <v>0</v>
      </c>
      <c r="F567" s="587">
        <v>0</v>
      </c>
      <c r="G567" s="787" t="s">
        <v>1758</v>
      </c>
      <c r="H567" s="753">
        <v>18</v>
      </c>
    </row>
    <row r="568" spans="1:8" ht="13.35" hidden="1" customHeight="1">
      <c r="A568" s="613" t="s">
        <v>1046</v>
      </c>
      <c r="B568" s="613" t="s">
        <v>1352</v>
      </c>
      <c r="C568" s="620" t="s">
        <v>40</v>
      </c>
      <c r="D568" s="1055">
        <v>0</v>
      </c>
      <c r="E568" s="991">
        <v>0</v>
      </c>
      <c r="F568" s="587">
        <v>0</v>
      </c>
      <c r="G568" s="787" t="s">
        <v>1759</v>
      </c>
      <c r="H568" s="753">
        <v>56.2</v>
      </c>
    </row>
    <row r="569" spans="1:8" ht="13.35" hidden="1" customHeight="1">
      <c r="A569" s="613" t="s">
        <v>1047</v>
      </c>
      <c r="B569" s="613" t="s">
        <v>1377</v>
      </c>
      <c r="C569" s="620" t="s">
        <v>38</v>
      </c>
      <c r="D569" s="1055">
        <v>0</v>
      </c>
      <c r="E569" s="991">
        <v>0</v>
      </c>
      <c r="F569" s="587">
        <v>0</v>
      </c>
      <c r="G569" s="787" t="s">
        <v>1759</v>
      </c>
      <c r="H569" s="753">
        <v>56.2</v>
      </c>
    </row>
    <row r="570" spans="1:8" ht="13.35" hidden="1" customHeight="1">
      <c r="A570" s="613" t="s">
        <v>1048</v>
      </c>
      <c r="B570" s="613" t="s">
        <v>1378</v>
      </c>
      <c r="C570" s="620" t="s">
        <v>38</v>
      </c>
      <c r="D570" s="1055">
        <v>0</v>
      </c>
      <c r="E570" s="991">
        <v>0</v>
      </c>
      <c r="F570" s="587">
        <v>0</v>
      </c>
      <c r="G570" s="787" t="s">
        <v>1760</v>
      </c>
      <c r="H570" s="753">
        <v>59.01</v>
      </c>
    </row>
    <row r="571" spans="1:8" s="565" customFormat="1" ht="13.35" hidden="1" customHeight="1">
      <c r="A571" s="613" t="s">
        <v>1049</v>
      </c>
      <c r="B571" s="613" t="s">
        <v>1379</v>
      </c>
      <c r="C571" s="620" t="s">
        <v>37</v>
      </c>
      <c r="D571" s="1055">
        <v>0</v>
      </c>
      <c r="E571" s="991">
        <v>0</v>
      </c>
      <c r="F571" s="587">
        <v>0</v>
      </c>
      <c r="G571" s="787" t="s">
        <v>1761</v>
      </c>
      <c r="H571" s="753">
        <v>36.119999999999997</v>
      </c>
    </row>
    <row r="572" spans="1:8" ht="13.35" hidden="1" customHeight="1">
      <c r="A572" s="613" t="s">
        <v>1050</v>
      </c>
      <c r="B572" s="613" t="s">
        <v>1380</v>
      </c>
      <c r="C572" s="620" t="s">
        <v>38</v>
      </c>
      <c r="D572" s="1055">
        <v>0</v>
      </c>
      <c r="E572" s="991">
        <v>0</v>
      </c>
      <c r="F572" s="587">
        <v>0</v>
      </c>
      <c r="G572" s="787" t="s">
        <v>1669</v>
      </c>
      <c r="H572" s="753">
        <v>20</v>
      </c>
    </row>
    <row r="573" spans="1:8" ht="14.1" hidden="1" customHeight="1">
      <c r="A573" s="613" t="s">
        <v>1051</v>
      </c>
      <c r="B573" s="613" t="s">
        <v>1381</v>
      </c>
      <c r="C573" s="620" t="s">
        <v>38</v>
      </c>
      <c r="D573" s="1055">
        <v>0</v>
      </c>
      <c r="E573" s="991">
        <v>0</v>
      </c>
      <c r="F573" s="587">
        <v>0</v>
      </c>
      <c r="G573" s="787"/>
      <c r="H573" s="753">
        <v>0</v>
      </c>
    </row>
    <row r="574" spans="1:8" s="1087" customFormat="1" ht="13.35" hidden="1" customHeight="1">
      <c r="A574" s="1058" t="s">
        <v>510</v>
      </c>
      <c r="B574" s="1058" t="s">
        <v>1382</v>
      </c>
      <c r="C574" s="1060"/>
      <c r="D574" s="1055">
        <v>0</v>
      </c>
      <c r="E574" s="991">
        <v>0</v>
      </c>
      <c r="F574" s="587">
        <v>0</v>
      </c>
      <c r="G574" s="944"/>
      <c r="H574" s="938">
        <v>0</v>
      </c>
    </row>
    <row r="575" spans="1:8" ht="13.35" hidden="1" customHeight="1">
      <c r="A575" s="498" t="s">
        <v>511</v>
      </c>
      <c r="B575" s="614" t="s">
        <v>1383</v>
      </c>
      <c r="C575" s="696"/>
      <c r="D575" s="1055">
        <v>0</v>
      </c>
      <c r="E575" s="991">
        <v>0</v>
      </c>
      <c r="F575" s="587">
        <v>0</v>
      </c>
      <c r="G575" s="787"/>
      <c r="H575" s="753">
        <v>0</v>
      </c>
    </row>
    <row r="576" spans="1:8" ht="13.35" hidden="1" customHeight="1">
      <c r="A576" s="613" t="s">
        <v>1052</v>
      </c>
      <c r="B576" s="613" t="s">
        <v>1384</v>
      </c>
      <c r="C576" s="696"/>
      <c r="D576" s="1055">
        <v>0</v>
      </c>
      <c r="E576" s="991">
        <v>0</v>
      </c>
      <c r="F576" s="587">
        <v>0</v>
      </c>
      <c r="G576" s="787" t="s">
        <v>1454</v>
      </c>
      <c r="H576" s="753">
        <v>1</v>
      </c>
    </row>
    <row r="577" spans="1:8" ht="13.35" hidden="1" customHeight="1">
      <c r="A577" s="610" t="s">
        <v>1053</v>
      </c>
      <c r="B577" s="610" t="s">
        <v>1385</v>
      </c>
      <c r="C577" s="620" t="s">
        <v>1452</v>
      </c>
      <c r="D577" s="1055">
        <v>0</v>
      </c>
      <c r="E577" s="991">
        <v>0</v>
      </c>
      <c r="F577" s="587">
        <v>0</v>
      </c>
      <c r="G577" s="787" t="s">
        <v>1454</v>
      </c>
      <c r="H577" s="753">
        <v>1</v>
      </c>
    </row>
    <row r="578" spans="1:8" ht="13.35" hidden="1" customHeight="1">
      <c r="A578" s="610" t="s">
        <v>1054</v>
      </c>
      <c r="B578" s="610" t="s">
        <v>1386</v>
      </c>
      <c r="C578" s="620" t="s">
        <v>1452</v>
      </c>
      <c r="D578" s="1055">
        <v>0</v>
      </c>
      <c r="E578" s="991">
        <v>0</v>
      </c>
      <c r="F578" s="587">
        <v>0</v>
      </c>
      <c r="G578" s="787" t="s">
        <v>1454</v>
      </c>
      <c r="H578" s="753">
        <v>1</v>
      </c>
    </row>
    <row r="579" spans="1:8" ht="13.35" hidden="1" customHeight="1">
      <c r="A579" s="610" t="s">
        <v>1055</v>
      </c>
      <c r="B579" s="610" t="s">
        <v>1387</v>
      </c>
      <c r="C579" s="620" t="s">
        <v>1452</v>
      </c>
      <c r="D579" s="1055">
        <v>0</v>
      </c>
      <c r="E579" s="991">
        <v>0</v>
      </c>
      <c r="F579" s="587">
        <v>0</v>
      </c>
      <c r="G579" s="787" t="s">
        <v>1454</v>
      </c>
      <c r="H579" s="753">
        <v>1</v>
      </c>
    </row>
    <row r="580" spans="1:8" ht="13.35" hidden="1" customHeight="1">
      <c r="A580" s="610" t="s">
        <v>1056</v>
      </c>
      <c r="B580" s="610" t="s">
        <v>1388</v>
      </c>
      <c r="C580" s="620" t="s">
        <v>1452</v>
      </c>
      <c r="D580" s="1055">
        <v>0</v>
      </c>
      <c r="E580" s="991">
        <v>0</v>
      </c>
      <c r="F580" s="587">
        <v>0</v>
      </c>
      <c r="G580" s="787"/>
      <c r="H580" s="753">
        <v>0</v>
      </c>
    </row>
    <row r="581" spans="1:8" ht="13.35" hidden="1" customHeight="1">
      <c r="A581" s="613" t="s">
        <v>1057</v>
      </c>
      <c r="B581" s="613" t="s">
        <v>1389</v>
      </c>
      <c r="C581" s="696"/>
      <c r="D581" s="1055">
        <v>0</v>
      </c>
      <c r="E581" s="991">
        <v>0</v>
      </c>
      <c r="F581" s="587">
        <v>0</v>
      </c>
      <c r="G581" s="787" t="s">
        <v>1762</v>
      </c>
      <c r="H581" s="753">
        <v>43</v>
      </c>
    </row>
    <row r="582" spans="1:8" ht="13.35" hidden="1" customHeight="1">
      <c r="A582" s="610" t="s">
        <v>1058</v>
      </c>
      <c r="B582" s="610" t="s">
        <v>1389</v>
      </c>
      <c r="C582" s="620" t="s">
        <v>1451</v>
      </c>
      <c r="D582" s="1055">
        <v>0</v>
      </c>
      <c r="E582" s="991">
        <v>0</v>
      </c>
      <c r="F582" s="587">
        <v>0</v>
      </c>
      <c r="G582" s="787" t="s">
        <v>1763</v>
      </c>
      <c r="H582" s="753">
        <v>7</v>
      </c>
    </row>
    <row r="583" spans="1:8" ht="13.35" hidden="1" customHeight="1">
      <c r="A583" s="610" t="s">
        <v>1059</v>
      </c>
      <c r="B583" s="610" t="s">
        <v>1390</v>
      </c>
      <c r="C583" s="620" t="s">
        <v>1451</v>
      </c>
      <c r="D583" s="1055">
        <v>0</v>
      </c>
      <c r="E583" s="991">
        <v>0</v>
      </c>
      <c r="F583" s="587">
        <v>0</v>
      </c>
      <c r="G583" s="787"/>
      <c r="H583" s="753">
        <v>0</v>
      </c>
    </row>
    <row r="584" spans="1:8" ht="13.35" hidden="1" customHeight="1">
      <c r="A584" s="613" t="s">
        <v>1060</v>
      </c>
      <c r="B584" s="613" t="s">
        <v>1391</v>
      </c>
      <c r="C584" s="696"/>
      <c r="D584" s="1055">
        <v>0</v>
      </c>
      <c r="E584" s="991">
        <v>0</v>
      </c>
      <c r="F584" s="587">
        <v>0</v>
      </c>
      <c r="G584" s="787" t="s">
        <v>1764</v>
      </c>
      <c r="H584" s="753">
        <v>17</v>
      </c>
    </row>
    <row r="585" spans="1:8" ht="13.35" hidden="1" customHeight="1">
      <c r="A585" s="610" t="s">
        <v>1061</v>
      </c>
      <c r="B585" s="610" t="s">
        <v>1392</v>
      </c>
      <c r="C585" s="620" t="s">
        <v>36</v>
      </c>
      <c r="D585" s="1055">
        <v>0</v>
      </c>
      <c r="E585" s="991">
        <v>0</v>
      </c>
      <c r="F585" s="587">
        <v>0</v>
      </c>
      <c r="G585" s="787" t="s">
        <v>1765</v>
      </c>
      <c r="H585" s="753">
        <v>23</v>
      </c>
    </row>
    <row r="586" spans="1:8" ht="13.35" hidden="1" customHeight="1">
      <c r="A586" s="610" t="s">
        <v>1062</v>
      </c>
      <c r="B586" s="610" t="s">
        <v>1393</v>
      </c>
      <c r="C586" s="620" t="s">
        <v>36</v>
      </c>
      <c r="D586" s="1055">
        <v>0</v>
      </c>
      <c r="E586" s="991">
        <v>0</v>
      </c>
      <c r="F586" s="587">
        <v>0</v>
      </c>
      <c r="G586" s="787" t="s">
        <v>1697</v>
      </c>
      <c r="H586" s="753">
        <v>2</v>
      </c>
    </row>
    <row r="587" spans="1:8" ht="13.35" hidden="1" customHeight="1">
      <c r="A587" s="610" t="s">
        <v>1063</v>
      </c>
      <c r="B587" s="610" t="s">
        <v>1394</v>
      </c>
      <c r="C587" s="620" t="s">
        <v>36</v>
      </c>
      <c r="D587" s="1055">
        <v>0</v>
      </c>
      <c r="E587" s="991">
        <v>0</v>
      </c>
      <c r="F587" s="587">
        <v>0</v>
      </c>
      <c r="G587" s="787" t="s">
        <v>1454</v>
      </c>
      <c r="H587" s="753">
        <v>1</v>
      </c>
    </row>
    <row r="588" spans="1:8" ht="13.35" hidden="1" customHeight="1">
      <c r="A588" s="610" t="s">
        <v>1064</v>
      </c>
      <c r="B588" s="610" t="s">
        <v>1395</v>
      </c>
      <c r="C588" s="620" t="s">
        <v>36</v>
      </c>
      <c r="D588" s="1055">
        <v>0</v>
      </c>
      <c r="E588" s="991">
        <v>0</v>
      </c>
      <c r="F588" s="587">
        <v>0</v>
      </c>
      <c r="G588" s="787" t="s">
        <v>1763</v>
      </c>
      <c r="H588" s="753">
        <v>7</v>
      </c>
    </row>
    <row r="589" spans="1:8" ht="13.35" hidden="1" customHeight="1">
      <c r="A589" s="610" t="s">
        <v>1065</v>
      </c>
      <c r="B589" s="610" t="s">
        <v>1396</v>
      </c>
      <c r="C589" s="620" t="s">
        <v>36</v>
      </c>
      <c r="D589" s="1055">
        <v>0</v>
      </c>
      <c r="E589" s="991">
        <v>0</v>
      </c>
      <c r="F589" s="587">
        <v>0</v>
      </c>
      <c r="G589" s="787"/>
      <c r="H589" s="753">
        <v>0</v>
      </c>
    </row>
    <row r="590" spans="1:8" ht="13.35" hidden="1" customHeight="1">
      <c r="A590" s="613" t="s">
        <v>1066</v>
      </c>
      <c r="B590" s="613" t="s">
        <v>1397</v>
      </c>
      <c r="C590" s="696"/>
      <c r="D590" s="1055">
        <v>0</v>
      </c>
      <c r="E590" s="991">
        <v>0</v>
      </c>
      <c r="F590" s="587">
        <v>0</v>
      </c>
      <c r="G590" s="787" t="s">
        <v>1488</v>
      </c>
      <c r="H590" s="753">
        <v>16</v>
      </c>
    </row>
    <row r="591" spans="1:8" ht="13.35" hidden="1" customHeight="1">
      <c r="A591" s="610" t="s">
        <v>1067</v>
      </c>
      <c r="B591" s="610" t="s">
        <v>1398</v>
      </c>
      <c r="C591" s="620" t="s">
        <v>1451</v>
      </c>
      <c r="D591" s="1055">
        <v>0</v>
      </c>
      <c r="E591" s="991">
        <v>0</v>
      </c>
      <c r="F591" s="587">
        <v>0</v>
      </c>
      <c r="G591" s="787" t="s">
        <v>1697</v>
      </c>
      <c r="H591" s="753">
        <v>2</v>
      </c>
    </row>
    <row r="592" spans="1:8" ht="13.35" hidden="1" customHeight="1">
      <c r="A592" s="610" t="s">
        <v>1068</v>
      </c>
      <c r="B592" s="610" t="s">
        <v>1399</v>
      </c>
      <c r="C592" s="620" t="s">
        <v>1451</v>
      </c>
      <c r="D592" s="1055">
        <v>0</v>
      </c>
      <c r="E592" s="991">
        <v>0</v>
      </c>
      <c r="F592" s="587">
        <v>0</v>
      </c>
      <c r="G592" s="787" t="s">
        <v>1697</v>
      </c>
      <c r="H592" s="753">
        <v>2</v>
      </c>
    </row>
    <row r="593" spans="1:8" ht="13.35" hidden="1" customHeight="1">
      <c r="A593" s="610" t="s">
        <v>1069</v>
      </c>
      <c r="B593" s="610" t="s">
        <v>1400</v>
      </c>
      <c r="C593" s="620" t="s">
        <v>1451</v>
      </c>
      <c r="D593" s="1055">
        <v>0</v>
      </c>
      <c r="E593" s="991">
        <v>0</v>
      </c>
      <c r="F593" s="587">
        <v>0</v>
      </c>
      <c r="G593" s="787"/>
      <c r="H593" s="753">
        <v>0</v>
      </c>
    </row>
    <row r="594" spans="1:8" ht="13.35" hidden="1" customHeight="1">
      <c r="A594" s="613" t="s">
        <v>1070</v>
      </c>
      <c r="B594" s="613" t="s">
        <v>1401</v>
      </c>
      <c r="C594" s="696"/>
      <c r="D594" s="1055">
        <v>0</v>
      </c>
      <c r="E594" s="991">
        <v>0</v>
      </c>
      <c r="F594" s="587">
        <v>0</v>
      </c>
      <c r="G594" s="787" t="s">
        <v>1766</v>
      </c>
      <c r="H594" s="753">
        <v>14</v>
      </c>
    </row>
    <row r="595" spans="1:8" ht="13.35" hidden="1" customHeight="1">
      <c r="A595" s="610" t="s">
        <v>1071</v>
      </c>
      <c r="B595" s="610" t="s">
        <v>1402</v>
      </c>
      <c r="C595" s="620" t="s">
        <v>1451</v>
      </c>
      <c r="D595" s="1055">
        <v>0</v>
      </c>
      <c r="E595" s="991">
        <v>0</v>
      </c>
      <c r="F595" s="587">
        <v>0</v>
      </c>
      <c r="G595" s="787" t="s">
        <v>1454</v>
      </c>
      <c r="H595" s="753">
        <v>1</v>
      </c>
    </row>
    <row r="596" spans="1:8" ht="13.35" hidden="1" customHeight="1">
      <c r="A596" s="610" t="s">
        <v>1072</v>
      </c>
      <c r="B596" s="610" t="s">
        <v>1403</v>
      </c>
      <c r="C596" s="620" t="s">
        <v>1451</v>
      </c>
      <c r="D596" s="1055">
        <v>0</v>
      </c>
      <c r="E596" s="991">
        <v>0</v>
      </c>
      <c r="F596" s="587">
        <v>0</v>
      </c>
      <c r="G596" s="787" t="s">
        <v>1617</v>
      </c>
      <c r="H596" s="753">
        <v>3</v>
      </c>
    </row>
    <row r="597" spans="1:8" ht="13.35" hidden="1" customHeight="1">
      <c r="A597" s="610" t="s">
        <v>1073</v>
      </c>
      <c r="B597" s="610" t="s">
        <v>1404</v>
      </c>
      <c r="C597" s="620" t="s">
        <v>1451</v>
      </c>
      <c r="D597" s="1055">
        <v>0</v>
      </c>
      <c r="E597" s="991">
        <v>0</v>
      </c>
      <c r="F597" s="587">
        <v>0</v>
      </c>
      <c r="G597" s="787" t="s">
        <v>1640</v>
      </c>
      <c r="H597" s="753">
        <v>9</v>
      </c>
    </row>
    <row r="598" spans="1:8" ht="13.35" hidden="1" customHeight="1">
      <c r="A598" s="610" t="s">
        <v>1074</v>
      </c>
      <c r="B598" s="610" t="s">
        <v>1405</v>
      </c>
      <c r="C598" s="620" t="s">
        <v>1451</v>
      </c>
      <c r="D598" s="1055">
        <v>0</v>
      </c>
      <c r="E598" s="991">
        <v>0</v>
      </c>
      <c r="F598" s="587">
        <v>0</v>
      </c>
      <c r="G598" s="787" t="s">
        <v>1454</v>
      </c>
      <c r="H598" s="753">
        <v>1</v>
      </c>
    </row>
    <row r="599" spans="1:8" ht="13.35" hidden="1" customHeight="1">
      <c r="A599" s="610" t="s">
        <v>1075</v>
      </c>
      <c r="B599" s="610" t="s">
        <v>1406</v>
      </c>
      <c r="C599" s="620" t="s">
        <v>1451</v>
      </c>
      <c r="D599" s="1055">
        <v>0</v>
      </c>
      <c r="E599" s="991">
        <v>0</v>
      </c>
      <c r="F599" s="587">
        <v>0</v>
      </c>
      <c r="G599" s="787"/>
      <c r="H599" s="753">
        <v>0</v>
      </c>
    </row>
    <row r="600" spans="1:8" ht="13.35" hidden="1" customHeight="1">
      <c r="A600" s="613" t="s">
        <v>1076</v>
      </c>
      <c r="B600" s="613" t="s">
        <v>1407</v>
      </c>
      <c r="C600" s="696"/>
      <c r="D600" s="1055">
        <v>0</v>
      </c>
      <c r="E600" s="991">
        <v>0</v>
      </c>
      <c r="F600" s="587">
        <v>0</v>
      </c>
      <c r="G600" s="787" t="s">
        <v>1454</v>
      </c>
      <c r="H600" s="753">
        <v>1</v>
      </c>
    </row>
    <row r="601" spans="1:8" ht="13.35" hidden="1" customHeight="1">
      <c r="A601" s="610" t="s">
        <v>1077</v>
      </c>
      <c r="B601" s="610" t="s">
        <v>1408</v>
      </c>
      <c r="C601" s="620" t="s">
        <v>1451</v>
      </c>
      <c r="D601" s="1055">
        <v>0</v>
      </c>
      <c r="E601" s="991">
        <v>0</v>
      </c>
      <c r="F601" s="587">
        <v>0</v>
      </c>
      <c r="G601" s="787" t="s">
        <v>1454</v>
      </c>
      <c r="H601" s="753">
        <v>1</v>
      </c>
    </row>
    <row r="602" spans="1:8" ht="13.35" hidden="1" customHeight="1">
      <c r="A602" s="610" t="s">
        <v>1078</v>
      </c>
      <c r="B602" s="610" t="s">
        <v>1409</v>
      </c>
      <c r="C602" s="620" t="s">
        <v>1451</v>
      </c>
      <c r="D602" s="1055">
        <v>0</v>
      </c>
      <c r="E602" s="991">
        <v>0</v>
      </c>
      <c r="F602" s="587">
        <v>0</v>
      </c>
      <c r="G602" s="787" t="s">
        <v>1725</v>
      </c>
      <c r="H602" s="753">
        <v>11</v>
      </c>
    </row>
    <row r="603" spans="1:8" ht="13.35" hidden="1" customHeight="1">
      <c r="A603" s="610" t="s">
        <v>1079</v>
      </c>
      <c r="B603" s="610" t="s">
        <v>1410</v>
      </c>
      <c r="C603" s="620" t="s">
        <v>1451</v>
      </c>
      <c r="D603" s="1055">
        <v>0</v>
      </c>
      <c r="E603" s="991">
        <v>0</v>
      </c>
      <c r="F603" s="587">
        <v>0</v>
      </c>
      <c r="G603" s="787" t="s">
        <v>1697</v>
      </c>
      <c r="H603" s="753">
        <v>2</v>
      </c>
    </row>
    <row r="604" spans="1:8" ht="13.35" hidden="1" customHeight="1">
      <c r="A604" s="610" t="s">
        <v>1080</v>
      </c>
      <c r="B604" s="610" t="s">
        <v>1411</v>
      </c>
      <c r="C604" s="620" t="s">
        <v>1451</v>
      </c>
      <c r="D604" s="1055">
        <v>0</v>
      </c>
      <c r="E604" s="991">
        <v>0</v>
      </c>
      <c r="F604" s="587">
        <v>0</v>
      </c>
      <c r="G604" s="787" t="s">
        <v>1697</v>
      </c>
      <c r="H604" s="753">
        <v>2</v>
      </c>
    </row>
    <row r="605" spans="1:8" ht="13.35" hidden="1" customHeight="1">
      <c r="A605" s="610" t="s">
        <v>1081</v>
      </c>
      <c r="B605" s="610" t="s">
        <v>1412</v>
      </c>
      <c r="C605" s="620" t="s">
        <v>1451</v>
      </c>
      <c r="D605" s="1055">
        <v>0</v>
      </c>
      <c r="E605" s="991">
        <v>0</v>
      </c>
      <c r="F605" s="587">
        <v>0</v>
      </c>
      <c r="G605" s="787"/>
      <c r="H605" s="753">
        <v>0</v>
      </c>
    </row>
    <row r="606" spans="1:8" ht="13.35" hidden="1" customHeight="1">
      <c r="A606" s="613" t="s">
        <v>1082</v>
      </c>
      <c r="B606" s="613" t="s">
        <v>1413</v>
      </c>
      <c r="C606" s="696"/>
      <c r="D606" s="1055">
        <v>0</v>
      </c>
      <c r="E606" s="991">
        <v>0</v>
      </c>
      <c r="F606" s="587">
        <v>0</v>
      </c>
      <c r="G606" s="787" t="s">
        <v>1454</v>
      </c>
      <c r="H606" s="753">
        <v>1</v>
      </c>
    </row>
    <row r="607" spans="1:8" ht="13.35" hidden="1" customHeight="1">
      <c r="A607" s="610" t="s">
        <v>1083</v>
      </c>
      <c r="B607" s="610" t="s">
        <v>1414</v>
      </c>
      <c r="C607" s="620" t="s">
        <v>36</v>
      </c>
      <c r="D607" s="1055">
        <v>0</v>
      </c>
      <c r="E607" s="991">
        <v>0</v>
      </c>
      <c r="F607" s="587">
        <v>0</v>
      </c>
      <c r="G607" s="787"/>
      <c r="H607" s="753">
        <v>0</v>
      </c>
    </row>
    <row r="608" spans="1:8" ht="13.35" hidden="1" customHeight="1">
      <c r="A608" s="613" t="s">
        <v>1084</v>
      </c>
      <c r="B608" s="613" t="s">
        <v>1415</v>
      </c>
      <c r="C608" s="696"/>
      <c r="D608" s="1055">
        <v>0</v>
      </c>
      <c r="E608" s="991">
        <v>0</v>
      </c>
      <c r="F608" s="587">
        <v>0</v>
      </c>
      <c r="G608" s="787" t="s">
        <v>1454</v>
      </c>
      <c r="H608" s="753">
        <v>1</v>
      </c>
    </row>
    <row r="609" spans="1:8" ht="13.35" hidden="1" customHeight="1">
      <c r="A609" s="610" t="s">
        <v>1085</v>
      </c>
      <c r="B609" s="610" t="s">
        <v>1416</v>
      </c>
      <c r="C609" s="620" t="s">
        <v>36</v>
      </c>
      <c r="D609" s="1055">
        <v>0</v>
      </c>
      <c r="E609" s="991">
        <v>0</v>
      </c>
      <c r="F609" s="587">
        <v>0</v>
      </c>
      <c r="G609" s="787"/>
      <c r="H609" s="753">
        <v>0</v>
      </c>
    </row>
    <row r="610" spans="1:8" ht="13.35" hidden="1" customHeight="1">
      <c r="A610" s="498" t="s">
        <v>512</v>
      </c>
      <c r="B610" s="614" t="s">
        <v>1417</v>
      </c>
      <c r="C610" s="696"/>
      <c r="D610" s="1055">
        <v>0</v>
      </c>
      <c r="E610" s="991">
        <v>0</v>
      </c>
      <c r="F610" s="587">
        <v>0</v>
      </c>
      <c r="G610" s="787"/>
      <c r="H610" s="753">
        <v>0</v>
      </c>
    </row>
    <row r="611" spans="1:8" ht="13.35" hidden="1" customHeight="1">
      <c r="A611" s="613" t="s">
        <v>1086</v>
      </c>
      <c r="B611" s="613" t="s">
        <v>1418</v>
      </c>
      <c r="C611" s="696"/>
      <c r="D611" s="1055">
        <v>0</v>
      </c>
      <c r="E611" s="991">
        <v>0</v>
      </c>
      <c r="F611" s="587">
        <v>0</v>
      </c>
      <c r="G611" s="787" t="s">
        <v>1767</v>
      </c>
      <c r="H611" s="753">
        <v>29</v>
      </c>
    </row>
    <row r="612" spans="1:8" ht="13.35" hidden="1" customHeight="1">
      <c r="A612" s="610" t="s">
        <v>1087</v>
      </c>
      <c r="B612" s="610" t="s">
        <v>1419</v>
      </c>
      <c r="C612" s="620" t="s">
        <v>38</v>
      </c>
      <c r="D612" s="1055">
        <v>0</v>
      </c>
      <c r="E612" s="991">
        <v>0</v>
      </c>
      <c r="F612" s="587">
        <v>0</v>
      </c>
      <c r="G612" s="787"/>
      <c r="H612" s="753">
        <v>0</v>
      </c>
    </row>
    <row r="613" spans="1:8" ht="13.35" hidden="1" customHeight="1">
      <c r="A613" s="613" t="s">
        <v>1088</v>
      </c>
      <c r="B613" s="613" t="s">
        <v>1420</v>
      </c>
      <c r="C613" s="696"/>
      <c r="D613" s="1055">
        <v>0</v>
      </c>
      <c r="E613" s="991">
        <v>0</v>
      </c>
      <c r="F613" s="587">
        <v>0</v>
      </c>
      <c r="G613" s="787" t="s">
        <v>1735</v>
      </c>
      <c r="H613" s="753">
        <v>64</v>
      </c>
    </row>
    <row r="614" spans="1:8" ht="13.35" hidden="1" customHeight="1">
      <c r="A614" s="610" t="s">
        <v>1089</v>
      </c>
      <c r="B614" s="610" t="s">
        <v>1421</v>
      </c>
      <c r="C614" s="620" t="s">
        <v>38</v>
      </c>
      <c r="D614" s="1055">
        <v>0</v>
      </c>
      <c r="E614" s="991">
        <v>0</v>
      </c>
      <c r="F614" s="587">
        <v>0</v>
      </c>
      <c r="G614" s="787"/>
      <c r="H614" s="753">
        <v>0</v>
      </c>
    </row>
    <row r="615" spans="1:8" ht="13.35" hidden="1" customHeight="1">
      <c r="A615" s="613" t="s">
        <v>1090</v>
      </c>
      <c r="B615" s="613" t="s">
        <v>1422</v>
      </c>
      <c r="C615" s="696"/>
      <c r="D615" s="1055">
        <v>0</v>
      </c>
      <c r="E615" s="991">
        <v>0</v>
      </c>
      <c r="F615" s="587">
        <v>0</v>
      </c>
      <c r="G615" s="787" t="s">
        <v>1735</v>
      </c>
      <c r="H615" s="753">
        <v>64</v>
      </c>
    </row>
    <row r="616" spans="1:8" ht="13.35" hidden="1" customHeight="1">
      <c r="A616" s="610" t="s">
        <v>1091</v>
      </c>
      <c r="B616" s="610" t="s">
        <v>1423</v>
      </c>
      <c r="C616" s="620" t="s">
        <v>38</v>
      </c>
      <c r="D616" s="1055">
        <v>0</v>
      </c>
      <c r="E616" s="991">
        <v>0</v>
      </c>
      <c r="F616" s="587">
        <v>0</v>
      </c>
      <c r="G616" s="787"/>
      <c r="H616" s="753">
        <v>0</v>
      </c>
    </row>
    <row r="617" spans="1:8" ht="13.35" hidden="1" customHeight="1">
      <c r="A617" s="613" t="s">
        <v>1092</v>
      </c>
      <c r="B617" s="613" t="s">
        <v>1424</v>
      </c>
      <c r="C617" s="696"/>
      <c r="D617" s="1055">
        <v>0</v>
      </c>
      <c r="E617" s="991">
        <v>0</v>
      </c>
      <c r="F617" s="587">
        <v>0</v>
      </c>
      <c r="G617" s="787" t="s">
        <v>1616</v>
      </c>
      <c r="H617" s="753">
        <v>6</v>
      </c>
    </row>
    <row r="618" spans="1:8" ht="13.35" hidden="1" customHeight="1">
      <c r="A618" s="610" t="s">
        <v>1093</v>
      </c>
      <c r="B618" s="610" t="s">
        <v>1425</v>
      </c>
      <c r="C618" s="620" t="s">
        <v>1451</v>
      </c>
      <c r="D618" s="1055">
        <v>0</v>
      </c>
      <c r="E618" s="991">
        <v>0</v>
      </c>
      <c r="F618" s="587">
        <v>0</v>
      </c>
      <c r="G618" s="787"/>
      <c r="H618" s="753">
        <v>0</v>
      </c>
    </row>
    <row r="619" spans="1:8" ht="13.35" hidden="1" customHeight="1">
      <c r="A619" s="613" t="s">
        <v>1094</v>
      </c>
      <c r="B619" s="613" t="s">
        <v>1391</v>
      </c>
      <c r="C619" s="696"/>
      <c r="D619" s="1055">
        <v>0</v>
      </c>
      <c r="E619" s="991">
        <v>0</v>
      </c>
      <c r="F619" s="587">
        <v>0</v>
      </c>
      <c r="G619" s="787" t="s">
        <v>1616</v>
      </c>
      <c r="H619" s="753">
        <v>6</v>
      </c>
    </row>
    <row r="620" spans="1:8" ht="13.35" hidden="1" customHeight="1">
      <c r="A620" s="610" t="s">
        <v>1095</v>
      </c>
      <c r="B620" s="610" t="s">
        <v>1426</v>
      </c>
      <c r="C620" s="620" t="s">
        <v>36</v>
      </c>
      <c r="D620" s="1055">
        <v>0</v>
      </c>
      <c r="E620" s="991">
        <v>0</v>
      </c>
      <c r="F620" s="587">
        <v>0</v>
      </c>
      <c r="G620" s="787"/>
      <c r="H620" s="753">
        <v>0</v>
      </c>
    </row>
    <row r="621" spans="1:8" ht="13.35" hidden="1" customHeight="1">
      <c r="A621" s="498" t="s">
        <v>1096</v>
      </c>
      <c r="B621" s="614" t="s">
        <v>1427</v>
      </c>
      <c r="C621" s="696"/>
      <c r="D621" s="1055">
        <v>0</v>
      </c>
      <c r="E621" s="991">
        <v>0</v>
      </c>
      <c r="F621" s="587">
        <v>0</v>
      </c>
      <c r="G621" s="787"/>
      <c r="H621" s="753">
        <v>0</v>
      </c>
    </row>
    <row r="622" spans="1:8" ht="13.35" hidden="1" customHeight="1">
      <c r="A622" s="613" t="s">
        <v>1097</v>
      </c>
      <c r="B622" s="613" t="s">
        <v>1418</v>
      </c>
      <c r="C622" s="696"/>
      <c r="D622" s="1055">
        <v>0</v>
      </c>
      <c r="E622" s="991">
        <v>0</v>
      </c>
      <c r="F622" s="587">
        <v>0</v>
      </c>
      <c r="G622" s="787" t="s">
        <v>1768</v>
      </c>
      <c r="H622" s="753">
        <v>56</v>
      </c>
    </row>
    <row r="623" spans="1:8" ht="13.35" hidden="1" customHeight="1">
      <c r="A623" s="610" t="s">
        <v>1098</v>
      </c>
      <c r="B623" s="610" t="s">
        <v>1419</v>
      </c>
      <c r="C623" s="620" t="s">
        <v>38</v>
      </c>
      <c r="D623" s="1055">
        <v>0</v>
      </c>
      <c r="E623" s="991">
        <v>0</v>
      </c>
      <c r="F623" s="587">
        <v>0</v>
      </c>
      <c r="G623" s="787"/>
      <c r="H623" s="753">
        <v>0</v>
      </c>
    </row>
    <row r="624" spans="1:8" ht="13.35" hidden="1" customHeight="1">
      <c r="A624" s="613" t="s">
        <v>1099</v>
      </c>
      <c r="B624" s="613" t="s">
        <v>1420</v>
      </c>
      <c r="C624" s="696"/>
      <c r="D624" s="1055">
        <v>0</v>
      </c>
      <c r="E624" s="991">
        <v>0</v>
      </c>
      <c r="F624" s="587">
        <v>0</v>
      </c>
      <c r="G624" s="787" t="s">
        <v>1769</v>
      </c>
      <c r="H624" s="753">
        <v>80</v>
      </c>
    </row>
    <row r="625" spans="1:8" ht="13.35" hidden="1" customHeight="1">
      <c r="A625" s="610" t="s">
        <v>1100</v>
      </c>
      <c r="B625" s="610" t="s">
        <v>1428</v>
      </c>
      <c r="C625" s="620" t="s">
        <v>38</v>
      </c>
      <c r="D625" s="1055">
        <v>0</v>
      </c>
      <c r="E625" s="991">
        <v>0</v>
      </c>
      <c r="F625" s="587">
        <v>0</v>
      </c>
      <c r="G625" s="787"/>
      <c r="H625" s="753">
        <v>0</v>
      </c>
    </row>
    <row r="626" spans="1:8" ht="13.35" hidden="1" customHeight="1">
      <c r="A626" s="613" t="s">
        <v>1101</v>
      </c>
      <c r="B626" s="613" t="s">
        <v>1422</v>
      </c>
      <c r="C626" s="696"/>
      <c r="D626" s="1055">
        <v>0</v>
      </c>
      <c r="E626" s="991">
        <v>0</v>
      </c>
      <c r="F626" s="587">
        <v>0</v>
      </c>
      <c r="G626" s="787" t="s">
        <v>1768</v>
      </c>
      <c r="H626" s="753">
        <v>56</v>
      </c>
    </row>
    <row r="627" spans="1:8" ht="13.35" hidden="1" customHeight="1">
      <c r="A627" s="610" t="s">
        <v>1102</v>
      </c>
      <c r="B627" s="610" t="s">
        <v>1429</v>
      </c>
      <c r="C627" s="620" t="s">
        <v>38</v>
      </c>
      <c r="D627" s="1055">
        <v>0</v>
      </c>
      <c r="E627" s="991">
        <v>0</v>
      </c>
      <c r="F627" s="587">
        <v>0</v>
      </c>
      <c r="G627" s="787"/>
      <c r="H627" s="753">
        <v>0</v>
      </c>
    </row>
    <row r="628" spans="1:8" ht="13.35" hidden="1" customHeight="1">
      <c r="A628" s="613" t="s">
        <v>1103</v>
      </c>
      <c r="B628" s="613" t="s">
        <v>1430</v>
      </c>
      <c r="C628" s="696"/>
      <c r="D628" s="1055">
        <v>0</v>
      </c>
      <c r="E628" s="991">
        <v>0</v>
      </c>
      <c r="F628" s="587">
        <v>0</v>
      </c>
      <c r="G628" s="787" t="s">
        <v>1616</v>
      </c>
      <c r="H628" s="753">
        <v>6</v>
      </c>
    </row>
    <row r="629" spans="1:8" ht="13.35" hidden="1" customHeight="1">
      <c r="A629" s="610" t="s">
        <v>1104</v>
      </c>
      <c r="B629" s="610" t="s">
        <v>1431</v>
      </c>
      <c r="C629" s="620" t="s">
        <v>36</v>
      </c>
      <c r="D629" s="1055">
        <v>0</v>
      </c>
      <c r="E629" s="991">
        <v>0</v>
      </c>
      <c r="F629" s="587">
        <v>0</v>
      </c>
      <c r="G629" s="787"/>
      <c r="H629" s="753">
        <v>0</v>
      </c>
    </row>
    <row r="630" spans="1:8" ht="13.35" hidden="1" customHeight="1">
      <c r="A630" s="613" t="s">
        <v>1105</v>
      </c>
      <c r="B630" s="613" t="s">
        <v>1432</v>
      </c>
      <c r="C630" s="696"/>
      <c r="D630" s="1055">
        <v>0</v>
      </c>
      <c r="E630" s="991">
        <v>0</v>
      </c>
      <c r="F630" s="587">
        <v>0</v>
      </c>
      <c r="G630" s="787" t="s">
        <v>1616</v>
      </c>
      <c r="H630" s="753">
        <v>6</v>
      </c>
    </row>
    <row r="631" spans="1:8" ht="13.35" hidden="1" customHeight="1">
      <c r="A631" s="610" t="s">
        <v>1106</v>
      </c>
      <c r="B631" s="610" t="s">
        <v>1433</v>
      </c>
      <c r="C631" s="620" t="s">
        <v>1451</v>
      </c>
      <c r="D631" s="1055">
        <v>0</v>
      </c>
      <c r="E631" s="991">
        <v>0</v>
      </c>
      <c r="F631" s="587">
        <v>0</v>
      </c>
      <c r="G631" s="787"/>
      <c r="H631" s="753">
        <v>0</v>
      </c>
    </row>
    <row r="632" spans="1:8" ht="13.35" hidden="1" customHeight="1">
      <c r="A632" s="613" t="s">
        <v>1107</v>
      </c>
      <c r="B632" s="613" t="s">
        <v>1415</v>
      </c>
      <c r="C632" s="696"/>
      <c r="D632" s="1055">
        <v>0</v>
      </c>
      <c r="E632" s="991">
        <v>0</v>
      </c>
      <c r="F632" s="587">
        <v>0</v>
      </c>
      <c r="G632" s="787" t="s">
        <v>1616</v>
      </c>
      <c r="H632" s="753">
        <v>6</v>
      </c>
    </row>
    <row r="633" spans="1:8" ht="13.35" hidden="1" customHeight="1">
      <c r="A633" s="610" t="s">
        <v>1108</v>
      </c>
      <c r="B633" s="610" t="s">
        <v>1434</v>
      </c>
      <c r="C633" s="620" t="s">
        <v>36</v>
      </c>
      <c r="D633" s="1055">
        <v>0</v>
      </c>
      <c r="E633" s="991">
        <v>0</v>
      </c>
      <c r="F633" s="587">
        <v>0</v>
      </c>
      <c r="G633" s="787"/>
      <c r="H633" s="753">
        <v>0</v>
      </c>
    </row>
    <row r="634" spans="1:8" ht="13.35" hidden="1" customHeight="1">
      <c r="A634" s="613" t="s">
        <v>1109</v>
      </c>
      <c r="B634" s="613" t="s">
        <v>1424</v>
      </c>
      <c r="C634" s="696"/>
      <c r="D634" s="1055">
        <v>0</v>
      </c>
      <c r="E634" s="991">
        <v>0</v>
      </c>
      <c r="F634" s="587">
        <v>0</v>
      </c>
      <c r="G634" s="787" t="s">
        <v>1616</v>
      </c>
      <c r="H634" s="753">
        <v>6</v>
      </c>
    </row>
    <row r="635" spans="1:8" ht="13.35" hidden="1" customHeight="1">
      <c r="A635" s="610" t="s">
        <v>1110</v>
      </c>
      <c r="B635" s="610" t="s">
        <v>1435</v>
      </c>
      <c r="C635" s="620" t="s">
        <v>1451</v>
      </c>
      <c r="D635" s="1055">
        <v>0</v>
      </c>
      <c r="E635" s="991">
        <v>0</v>
      </c>
      <c r="F635" s="587">
        <v>0</v>
      </c>
      <c r="G635" s="787"/>
      <c r="H635" s="753">
        <v>0</v>
      </c>
    </row>
    <row r="636" spans="1:8" ht="13.35" hidden="1" customHeight="1">
      <c r="A636" s="613" t="s">
        <v>1111</v>
      </c>
      <c r="B636" s="613" t="s">
        <v>1391</v>
      </c>
      <c r="C636" s="696"/>
      <c r="D636" s="1055">
        <v>0</v>
      </c>
      <c r="E636" s="991">
        <v>0</v>
      </c>
      <c r="F636" s="587">
        <v>0</v>
      </c>
      <c r="G636" s="787" t="s">
        <v>1616</v>
      </c>
      <c r="H636" s="753">
        <v>6</v>
      </c>
    </row>
    <row r="637" spans="1:8" ht="13.35" hidden="1" customHeight="1">
      <c r="A637" s="610" t="s">
        <v>1112</v>
      </c>
      <c r="B637" s="610" t="s">
        <v>1436</v>
      </c>
      <c r="C637" s="620" t="s">
        <v>36</v>
      </c>
      <c r="D637" s="1055">
        <v>0</v>
      </c>
      <c r="E637" s="991">
        <v>0</v>
      </c>
      <c r="F637" s="587">
        <v>0</v>
      </c>
      <c r="G637" s="787"/>
      <c r="H637" s="753">
        <v>0</v>
      </c>
    </row>
    <row r="638" spans="1:8" ht="13.35" hidden="1" customHeight="1">
      <c r="A638" s="498" t="s">
        <v>1113</v>
      </c>
      <c r="B638" s="614" t="s">
        <v>1437</v>
      </c>
      <c r="C638" s="696"/>
      <c r="D638" s="1055">
        <v>0</v>
      </c>
      <c r="E638" s="991">
        <v>0</v>
      </c>
      <c r="F638" s="587">
        <v>0</v>
      </c>
      <c r="G638" s="787"/>
      <c r="H638" s="753">
        <v>0</v>
      </c>
    </row>
    <row r="639" spans="1:8" ht="13.35" hidden="1" customHeight="1">
      <c r="A639" s="613" t="s">
        <v>1114</v>
      </c>
      <c r="B639" s="613" t="s">
        <v>1438</v>
      </c>
      <c r="C639" s="696"/>
      <c r="D639" s="1055">
        <v>0</v>
      </c>
      <c r="E639" s="991">
        <v>0</v>
      </c>
      <c r="F639" s="587">
        <v>0</v>
      </c>
      <c r="G639" s="787" t="s">
        <v>1454</v>
      </c>
      <c r="H639" s="753">
        <v>1</v>
      </c>
    </row>
    <row r="640" spans="1:8" ht="13.35" hidden="1" customHeight="1">
      <c r="A640" s="610" t="s">
        <v>1115</v>
      </c>
      <c r="B640" s="610" t="s">
        <v>1439</v>
      </c>
      <c r="C640" s="620" t="s">
        <v>1452</v>
      </c>
      <c r="D640" s="1055">
        <v>0</v>
      </c>
      <c r="E640" s="991">
        <v>0</v>
      </c>
      <c r="F640" s="587">
        <v>0</v>
      </c>
      <c r="G640" s="787"/>
      <c r="H640" s="753">
        <v>0</v>
      </c>
    </row>
    <row r="641" spans="1:8" ht="13.35" hidden="1" customHeight="1">
      <c r="A641" s="613" t="s">
        <v>1116</v>
      </c>
      <c r="B641" s="613" t="s">
        <v>1440</v>
      </c>
      <c r="C641" s="696"/>
      <c r="D641" s="1055">
        <v>0</v>
      </c>
      <c r="E641" s="991">
        <v>0</v>
      </c>
      <c r="F641" s="587">
        <v>0</v>
      </c>
      <c r="G641" s="787" t="s">
        <v>1697</v>
      </c>
      <c r="H641" s="753">
        <v>2</v>
      </c>
    </row>
    <row r="642" spans="1:8" ht="13.35" hidden="1" customHeight="1">
      <c r="A642" s="610" t="s">
        <v>1117</v>
      </c>
      <c r="B642" s="610" t="s">
        <v>1441</v>
      </c>
      <c r="C642" s="620" t="s">
        <v>1453</v>
      </c>
      <c r="D642" s="1055">
        <v>0</v>
      </c>
      <c r="E642" s="991">
        <v>0</v>
      </c>
      <c r="F642" s="587">
        <v>0</v>
      </c>
      <c r="G642" s="787"/>
      <c r="H642" s="753">
        <v>0</v>
      </c>
    </row>
    <row r="643" spans="1:8" ht="13.35" hidden="1" customHeight="1">
      <c r="A643" s="613" t="s">
        <v>1118</v>
      </c>
      <c r="B643" s="613" t="s">
        <v>1418</v>
      </c>
      <c r="C643" s="696"/>
      <c r="D643" s="1055">
        <v>0</v>
      </c>
      <c r="E643" s="991">
        <v>0</v>
      </c>
      <c r="F643" s="587">
        <v>0</v>
      </c>
      <c r="G643" s="787" t="s">
        <v>1770</v>
      </c>
      <c r="H643" s="753">
        <v>90</v>
      </c>
    </row>
    <row r="644" spans="1:8" ht="13.35" hidden="1" customHeight="1">
      <c r="A644" s="610" t="s">
        <v>1119</v>
      </c>
      <c r="B644" s="610" t="s">
        <v>1419</v>
      </c>
      <c r="C644" s="620" t="s">
        <v>38</v>
      </c>
      <c r="D644" s="1055">
        <v>0</v>
      </c>
      <c r="E644" s="991">
        <v>0</v>
      </c>
      <c r="F644" s="587">
        <v>0</v>
      </c>
      <c r="G644" s="787"/>
      <c r="H644" s="753">
        <v>0</v>
      </c>
    </row>
    <row r="645" spans="1:8" ht="13.35" hidden="1" customHeight="1">
      <c r="A645" s="613" t="s">
        <v>1120</v>
      </c>
      <c r="B645" s="613" t="s">
        <v>1420</v>
      </c>
      <c r="C645" s="696"/>
      <c r="D645" s="1055">
        <v>0</v>
      </c>
      <c r="E645" s="991">
        <v>0</v>
      </c>
      <c r="F645" s="587">
        <v>0</v>
      </c>
      <c r="G645" s="787">
        <v>12</v>
      </c>
      <c r="H645" s="753">
        <v>12</v>
      </c>
    </row>
    <row r="646" spans="1:8" ht="13.35" hidden="1" customHeight="1">
      <c r="A646" s="610" t="s">
        <v>1121</v>
      </c>
      <c r="B646" s="610" t="s">
        <v>1442</v>
      </c>
      <c r="C646" s="620" t="s">
        <v>38</v>
      </c>
      <c r="D646" s="1055">
        <v>0</v>
      </c>
      <c r="E646" s="991">
        <v>0</v>
      </c>
      <c r="F646" s="587">
        <v>0</v>
      </c>
      <c r="G646" s="787">
        <v>106</v>
      </c>
      <c r="H646" s="753">
        <v>106</v>
      </c>
    </row>
    <row r="647" spans="1:8" ht="13.35" hidden="1" customHeight="1">
      <c r="A647" s="610" t="s">
        <v>1122</v>
      </c>
      <c r="B647" s="610" t="s">
        <v>1443</v>
      </c>
      <c r="C647" s="620" t="s">
        <v>38</v>
      </c>
      <c r="D647" s="1055">
        <v>0</v>
      </c>
      <c r="E647" s="991">
        <v>0</v>
      </c>
      <c r="F647" s="587">
        <v>0</v>
      </c>
      <c r="G647" s="787"/>
      <c r="H647" s="753">
        <v>0</v>
      </c>
    </row>
    <row r="648" spans="1:8" ht="13.35" hidden="1" customHeight="1">
      <c r="A648" s="613" t="s">
        <v>1123</v>
      </c>
      <c r="B648" s="613" t="s">
        <v>1422</v>
      </c>
      <c r="C648" s="696"/>
      <c r="D648" s="1055">
        <v>0</v>
      </c>
      <c r="E648" s="991">
        <v>0</v>
      </c>
      <c r="F648" s="587">
        <v>0</v>
      </c>
      <c r="G648" s="787">
        <v>106</v>
      </c>
      <c r="H648" s="753">
        <v>106</v>
      </c>
    </row>
    <row r="649" spans="1:8" ht="13.35" hidden="1" customHeight="1">
      <c r="A649" s="610" t="s">
        <v>1124</v>
      </c>
      <c r="B649" s="610" t="s">
        <v>1444</v>
      </c>
      <c r="C649" s="620" t="s">
        <v>38</v>
      </c>
      <c r="D649" s="1055">
        <v>0</v>
      </c>
      <c r="E649" s="991">
        <v>0</v>
      </c>
      <c r="F649" s="587">
        <v>0</v>
      </c>
      <c r="G649" s="787"/>
      <c r="H649" s="753">
        <v>0</v>
      </c>
    </row>
    <row r="650" spans="1:8" ht="13.35" hidden="1" customHeight="1">
      <c r="A650" s="613" t="s">
        <v>1125</v>
      </c>
      <c r="B650" s="613" t="s">
        <v>1415</v>
      </c>
      <c r="C650" s="696"/>
      <c r="D650" s="1055">
        <v>0</v>
      </c>
      <c r="E650" s="991">
        <v>0</v>
      </c>
      <c r="F650" s="587">
        <v>0</v>
      </c>
      <c r="G650" s="787">
        <v>5</v>
      </c>
      <c r="H650" s="753">
        <v>5</v>
      </c>
    </row>
    <row r="651" spans="1:8" ht="13.35" hidden="1" customHeight="1">
      <c r="A651" s="610" t="s">
        <v>1126</v>
      </c>
      <c r="B651" s="610" t="s">
        <v>1416</v>
      </c>
      <c r="C651" s="620" t="s">
        <v>36</v>
      </c>
      <c r="D651" s="1055">
        <v>0</v>
      </c>
      <c r="E651" s="991">
        <v>0</v>
      </c>
      <c r="F651" s="587">
        <v>0</v>
      </c>
      <c r="G651" s="787"/>
      <c r="H651" s="753">
        <v>0</v>
      </c>
    </row>
    <row r="652" spans="1:8" ht="13.35" hidden="1" customHeight="1">
      <c r="A652" s="613" t="s">
        <v>1127</v>
      </c>
      <c r="B652" s="613" t="s">
        <v>1445</v>
      </c>
      <c r="C652" s="696"/>
      <c r="D652" s="1055">
        <v>0</v>
      </c>
      <c r="E652" s="991">
        <v>0</v>
      </c>
      <c r="F652" s="587">
        <v>0</v>
      </c>
      <c r="G652" s="787">
        <v>1</v>
      </c>
      <c r="H652" s="753">
        <v>1</v>
      </c>
    </row>
    <row r="653" spans="1:8" ht="13.35" hidden="1" customHeight="1">
      <c r="A653" s="610" t="s">
        <v>1128</v>
      </c>
      <c r="B653" s="610" t="s">
        <v>1446</v>
      </c>
      <c r="C653" s="620" t="s">
        <v>64</v>
      </c>
      <c r="D653" s="1055">
        <v>0</v>
      </c>
      <c r="E653" s="991">
        <v>0</v>
      </c>
      <c r="F653" s="587">
        <v>0</v>
      </c>
      <c r="G653" s="787"/>
      <c r="H653" s="753">
        <v>0</v>
      </c>
    </row>
    <row r="654" spans="1:8" ht="13.35" hidden="1" customHeight="1">
      <c r="A654" s="613" t="s">
        <v>1129</v>
      </c>
      <c r="B654" s="613" t="s">
        <v>1447</v>
      </c>
      <c r="C654" s="887"/>
      <c r="D654" s="1055">
        <v>0</v>
      </c>
      <c r="E654" s="991">
        <v>1</v>
      </c>
      <c r="F654" s="587">
        <v>1</v>
      </c>
      <c r="G654" s="787"/>
      <c r="H654" s="753">
        <v>-1</v>
      </c>
    </row>
    <row r="655" spans="1:8" ht="14.1" hidden="1" customHeight="1">
      <c r="A655" s="626" t="s">
        <v>1130</v>
      </c>
      <c r="B655" s="626" t="s">
        <v>1448</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2578125" defaultRowHeight="12.75"/>
  <cols>
    <col min="1" max="1" width="14.42578125" style="624" customWidth="1"/>
    <col min="2" max="2" width="99.425781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2578125" style="564" hidden="1" customWidth="1"/>
    <col min="32" max="32" width="7" style="850" hidden="1" customWidth="1"/>
    <col min="33" max="34" width="7" style="564" hidden="1"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571" t="s">
        <v>283</v>
      </c>
      <c r="B1" s="2571"/>
      <c r="C1" s="2571"/>
      <c r="D1" s="2571"/>
      <c r="E1" s="2571"/>
      <c r="F1" s="2571"/>
      <c r="G1" s="2571"/>
      <c r="H1" s="2571"/>
      <c r="I1" s="2571"/>
      <c r="J1" s="2571"/>
      <c r="K1" s="2571"/>
      <c r="L1" s="2571"/>
      <c r="M1" s="2571"/>
      <c r="N1" s="2571"/>
      <c r="O1" s="2571"/>
      <c r="P1" s="2571"/>
      <c r="Q1" s="2571"/>
      <c r="R1" s="2571"/>
      <c r="S1" s="2571"/>
      <c r="T1" s="2571"/>
      <c r="U1" s="2571"/>
      <c r="V1" s="2571"/>
      <c r="W1" s="2571"/>
      <c r="X1" s="2571"/>
    </row>
    <row r="2" spans="1:43">
      <c r="A2" s="2572" t="s">
        <v>1802</v>
      </c>
      <c r="B2" s="2572"/>
      <c r="C2" s="2572"/>
      <c r="D2" s="2572"/>
      <c r="E2" s="2572"/>
      <c r="F2" s="2572"/>
      <c r="G2" s="2572"/>
      <c r="H2" s="2572"/>
      <c r="I2" s="2572"/>
      <c r="J2" s="2572"/>
      <c r="K2" s="2572"/>
      <c r="L2" s="2572"/>
      <c r="M2" s="2572"/>
      <c r="N2" s="2572"/>
      <c r="O2" s="2572"/>
      <c r="P2" s="2572"/>
      <c r="Q2" s="2572"/>
      <c r="R2" s="2572"/>
      <c r="S2" s="2572"/>
      <c r="T2" s="2572"/>
      <c r="U2" s="2572"/>
      <c r="V2" s="2572"/>
      <c r="W2" s="2572"/>
      <c r="X2" s="2572"/>
    </row>
    <row r="3" spans="1:43">
      <c r="A3" s="621"/>
      <c r="O3" s="563" t="s">
        <v>2093</v>
      </c>
    </row>
    <row r="4" spans="1:43">
      <c r="A4" s="623"/>
      <c r="B4" s="2573" t="s">
        <v>1799</v>
      </c>
      <c r="C4" s="2573"/>
      <c r="D4" s="2573"/>
      <c r="E4" s="2573"/>
      <c r="F4" s="2573"/>
      <c r="G4" s="2573"/>
      <c r="H4" s="2573"/>
      <c r="I4" s="2573"/>
      <c r="J4" s="2573"/>
      <c r="K4" s="2573"/>
      <c r="L4" s="2573"/>
    </row>
    <row r="5" spans="1:43" ht="12.75" customHeight="1">
      <c r="A5" s="623"/>
      <c r="B5" s="2574" t="e">
        <v>#REF!</v>
      </c>
      <c r="C5" s="2575"/>
      <c r="D5" s="2575"/>
      <c r="E5" s="2575"/>
      <c r="F5" s="2575"/>
      <c r="G5" s="2575"/>
      <c r="H5" s="2575"/>
      <c r="I5" s="2575"/>
      <c r="J5" s="2575"/>
      <c r="K5" s="2575"/>
      <c r="L5" s="2575"/>
      <c r="M5" s="2575"/>
      <c r="N5" s="2575"/>
      <c r="O5" s="2575"/>
      <c r="P5" s="2575"/>
      <c r="Q5" s="2575"/>
      <c r="R5" s="2575"/>
      <c r="S5" s="2575"/>
      <c r="T5" s="2575"/>
      <c r="U5" s="2575"/>
      <c r="V5" s="2575"/>
      <c r="W5" s="2575"/>
      <c r="X5" s="2575"/>
      <c r="Y5" s="2575"/>
      <c r="Z5" s="2575"/>
      <c r="AA5" s="2575"/>
    </row>
    <row r="6" spans="1:43" ht="13.5" customHeight="1">
      <c r="B6" s="625"/>
      <c r="C6" s="567"/>
    </row>
    <row r="7" spans="1:43" ht="13.5" customHeight="1" thickBot="1">
      <c r="B7" s="625"/>
      <c r="C7" s="567"/>
      <c r="Q7" s="2578" t="s">
        <v>284</v>
      </c>
      <c r="R7" s="2578"/>
      <c r="S7" s="2578"/>
      <c r="T7" s="2578"/>
      <c r="U7" s="2578"/>
      <c r="V7" s="2578"/>
      <c r="W7" s="2579">
        <v>42857</v>
      </c>
      <c r="X7" s="2579"/>
      <c r="Y7" s="2579"/>
      <c r="Z7" s="2579"/>
    </row>
    <row r="8" spans="1:43" ht="13.5" customHeight="1" thickBot="1">
      <c r="B8" s="625"/>
      <c r="C8" s="567"/>
      <c r="D8" s="1112" t="s">
        <v>1987</v>
      </c>
      <c r="E8" s="1113" t="s">
        <v>1981</v>
      </c>
      <c r="F8" s="1113" t="s">
        <v>1982</v>
      </c>
      <c r="G8" s="1113" t="s">
        <v>1983</v>
      </c>
      <c r="H8" s="1113" t="s">
        <v>1984</v>
      </c>
      <c r="I8" s="1113" t="s">
        <v>1985</v>
      </c>
      <c r="J8" s="1113" t="s">
        <v>1986</v>
      </c>
      <c r="K8" s="1112" t="s">
        <v>1987</v>
      </c>
      <c r="L8" s="1113" t="s">
        <v>1981</v>
      </c>
      <c r="M8" s="1113" t="s">
        <v>1982</v>
      </c>
      <c r="N8" s="1113" t="s">
        <v>1983</v>
      </c>
      <c r="O8" s="1113" t="s">
        <v>1984</v>
      </c>
      <c r="P8" s="1113" t="s">
        <v>1985</v>
      </c>
      <c r="Q8" s="1113" t="s">
        <v>1986</v>
      </c>
      <c r="R8" s="1112" t="s">
        <v>1987</v>
      </c>
      <c r="S8" s="1113" t="s">
        <v>1981</v>
      </c>
      <c r="T8" s="1113" t="s">
        <v>1982</v>
      </c>
      <c r="U8" s="1113" t="s">
        <v>1983</v>
      </c>
      <c r="V8" s="1113" t="s">
        <v>1984</v>
      </c>
      <c r="W8" s="1113" t="s">
        <v>1985</v>
      </c>
      <c r="X8" s="1113" t="s">
        <v>1986</v>
      </c>
      <c r="Y8" s="1112" t="s">
        <v>1987</v>
      </c>
      <c r="Z8" s="1113" t="s">
        <v>1981</v>
      </c>
      <c r="AA8" s="1113" t="s">
        <v>1982</v>
      </c>
      <c r="AB8" s="1113" t="s">
        <v>1983</v>
      </c>
      <c r="AC8" s="1113" t="s">
        <v>1984</v>
      </c>
      <c r="AD8" s="1113" t="s">
        <v>1985</v>
      </c>
      <c r="AE8" s="1113" t="s">
        <v>1986</v>
      </c>
      <c r="AF8" s="1112" t="s">
        <v>1987</v>
      </c>
      <c r="AG8" s="1113" t="s">
        <v>1981</v>
      </c>
      <c r="AH8" s="1113" t="s">
        <v>1982</v>
      </c>
      <c r="AI8" s="971"/>
      <c r="AJ8" s="2580" t="s">
        <v>1979</v>
      </c>
      <c r="AK8" s="2581"/>
      <c r="AL8" s="2581"/>
      <c r="AM8" s="2582"/>
      <c r="AN8" s="2580" t="s">
        <v>1980</v>
      </c>
      <c r="AO8" s="2581"/>
      <c r="AP8" s="2581"/>
      <c r="AQ8" s="2582"/>
    </row>
    <row r="9" spans="1:43" ht="13.5" thickBot="1">
      <c r="A9" s="2576" t="s">
        <v>285</v>
      </c>
      <c r="B9" s="2576"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358</v>
      </c>
      <c r="AJ9" s="965" t="s">
        <v>26</v>
      </c>
      <c r="AK9" s="966" t="s">
        <v>1821</v>
      </c>
      <c r="AL9" s="966" t="s">
        <v>1820</v>
      </c>
      <c r="AM9" s="967" t="s">
        <v>25</v>
      </c>
      <c r="AN9" s="965" t="s">
        <v>26</v>
      </c>
      <c r="AO9" s="966" t="s">
        <v>1821</v>
      </c>
      <c r="AP9" s="966" t="s">
        <v>1820</v>
      </c>
      <c r="AQ9" s="967" t="s">
        <v>25</v>
      </c>
    </row>
    <row r="10" spans="1:43" ht="13.5" thickBot="1">
      <c r="A10" s="2577"/>
      <c r="B10" s="2577"/>
      <c r="C10" s="573" t="s">
        <v>286</v>
      </c>
      <c r="D10" s="831" t="s">
        <v>304</v>
      </c>
      <c r="E10" s="574" t="s">
        <v>304</v>
      </c>
      <c r="F10" s="574" t="s">
        <v>304</v>
      </c>
      <c r="G10" s="574" t="s">
        <v>304</v>
      </c>
      <c r="H10" s="574" t="s">
        <v>304</v>
      </c>
      <c r="I10" s="574" t="s">
        <v>304</v>
      </c>
      <c r="J10" s="574" t="s">
        <v>304</v>
      </c>
      <c r="K10" s="831" t="s">
        <v>304</v>
      </c>
      <c r="L10" s="574" t="s">
        <v>304</v>
      </c>
      <c r="M10" s="574" t="s">
        <v>304</v>
      </c>
      <c r="N10" s="574" t="s">
        <v>304</v>
      </c>
      <c r="O10" s="574" t="s">
        <v>304</v>
      </c>
      <c r="P10" s="574" t="s">
        <v>304</v>
      </c>
      <c r="Q10" s="574" t="s">
        <v>304</v>
      </c>
      <c r="R10" s="831" t="s">
        <v>304</v>
      </c>
      <c r="S10" s="574" t="s">
        <v>304</v>
      </c>
      <c r="T10" s="574" t="s">
        <v>304</v>
      </c>
      <c r="U10" s="574" t="s">
        <v>304</v>
      </c>
      <c r="V10" s="574" t="s">
        <v>304</v>
      </c>
      <c r="W10" s="574" t="s">
        <v>304</v>
      </c>
      <c r="X10" s="574" t="s">
        <v>304</v>
      </c>
      <c r="Y10" s="831" t="s">
        <v>304</v>
      </c>
      <c r="Z10" s="574" t="s">
        <v>304</v>
      </c>
      <c r="AA10" s="574" t="s">
        <v>304</v>
      </c>
      <c r="AB10" s="574" t="s">
        <v>304</v>
      </c>
      <c r="AC10" s="574" t="s">
        <v>304</v>
      </c>
      <c r="AD10" s="575" t="s">
        <v>304</v>
      </c>
      <c r="AE10" s="574" t="s">
        <v>304</v>
      </c>
      <c r="AF10" s="1111" t="s">
        <v>304</v>
      </c>
      <c r="AG10" s="574" t="s">
        <v>304</v>
      </c>
      <c r="AH10" s="574" t="s">
        <v>304</v>
      </c>
      <c r="AI10" s="576" t="s">
        <v>287</v>
      </c>
      <c r="AJ10" s="572"/>
      <c r="AN10" s="572"/>
    </row>
    <row r="11" spans="1:43" s="585" customFormat="1">
      <c r="A11" s="632" t="s">
        <v>513</v>
      </c>
      <c r="B11" s="633" t="s">
        <v>1803</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514</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c r="A13" s="610" t="s">
        <v>1804</v>
      </c>
      <c r="B13" s="326" t="s">
        <v>1819</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c r="A14" s="610" t="s">
        <v>1926</v>
      </c>
      <c r="B14" s="846" t="s">
        <v>1932</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c r="A15" s="610" t="s">
        <v>2007</v>
      </c>
      <c r="B15" s="846" t="s">
        <v>2095</v>
      </c>
      <c r="C15" s="841" t="s">
        <v>2060</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c r="A16" s="811" t="s">
        <v>2011</v>
      </c>
      <c r="B16" s="846" t="s">
        <v>2172</v>
      </c>
      <c r="C16" s="841" t="s">
        <v>2130</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c r="A17" s="811" t="s">
        <v>2013</v>
      </c>
      <c r="B17" s="846" t="s">
        <v>2173</v>
      </c>
      <c r="C17" s="841" t="s">
        <v>2171</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2101</v>
      </c>
      <c r="B18" s="1098" t="s">
        <v>1216</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2103</v>
      </c>
      <c r="B19" s="846" t="s">
        <v>1946</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2104</v>
      </c>
      <c r="B20" s="610" t="s">
        <v>1202</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2164</v>
      </c>
      <c r="B21" s="846" t="s">
        <v>1947</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2133</v>
      </c>
      <c r="B22" s="846" t="s">
        <v>1991</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2146</v>
      </c>
      <c r="B23" s="610" t="s">
        <v>2134</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2147</v>
      </c>
      <c r="B24" s="610" t="s">
        <v>2135</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2148</v>
      </c>
      <c r="B25" s="610" t="s">
        <v>2136</v>
      </c>
      <c r="C25" s="620" t="s">
        <v>1935</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2102</v>
      </c>
      <c r="B26" s="1098" t="s">
        <v>2094</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2105</v>
      </c>
      <c r="B27" s="846" t="s">
        <v>2098</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2161</v>
      </c>
      <c r="B28" s="846" t="s">
        <v>2162</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2163</v>
      </c>
      <c r="B29" s="846" t="s">
        <v>2165</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2174</v>
      </c>
      <c r="B30" s="846" t="s">
        <v>2175</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563" customWidth="1"/>
    <col min="5" max="5" width="9.42578125" style="1027" customWidth="1"/>
    <col min="6" max="11" width="7" style="563" customWidth="1"/>
    <col min="12" max="12" width="7" style="998" customWidth="1"/>
    <col min="13" max="18" width="7" style="564" customWidth="1"/>
    <col min="19" max="19" width="7" style="998" customWidth="1"/>
    <col min="20" max="22" width="7" style="564" customWidth="1"/>
    <col min="23" max="23" width="10.5703125" style="564" customWidth="1"/>
    <col min="24" max="24" width="9.42578125" style="564" customWidth="1"/>
    <col min="25" max="25" width="7" style="564" customWidth="1"/>
    <col min="26" max="26" width="10.42578125" style="998" customWidth="1"/>
    <col min="27" max="27" width="8.5703125" style="564" customWidth="1"/>
    <col min="28" max="28" width="7" style="564" customWidth="1"/>
    <col min="29" max="29" width="9.42578125" style="564" customWidth="1"/>
    <col min="30" max="30" width="7" style="564" customWidth="1"/>
    <col min="31" max="31" width="9.5703125" style="895" customWidth="1"/>
    <col min="32" max="32" width="7" style="564" customWidth="1"/>
    <col min="33" max="33" width="9.42578125" style="998" customWidth="1"/>
    <col min="34" max="34" width="9.42578125" style="564"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571" t="s">
        <v>283</v>
      </c>
      <c r="B1" s="2571"/>
      <c r="C1" s="2571"/>
      <c r="D1" s="2571"/>
      <c r="E1" s="2571"/>
      <c r="F1" s="2571"/>
      <c r="G1" s="2571"/>
      <c r="H1" s="2571"/>
      <c r="I1" s="2571"/>
      <c r="J1" s="2571"/>
      <c r="K1" s="2571"/>
    </row>
    <row r="2" spans="1:39">
      <c r="A2" s="2572" t="s">
        <v>1801</v>
      </c>
      <c r="B2" s="2572"/>
      <c r="C2" s="2572"/>
      <c r="D2" s="2572"/>
      <c r="E2" s="2572"/>
      <c r="F2" s="2572"/>
      <c r="G2" s="2572"/>
      <c r="H2" s="2572"/>
      <c r="I2" s="2572"/>
      <c r="J2" s="2572"/>
      <c r="K2" s="2572"/>
    </row>
    <row r="3" spans="1:39">
      <c r="A3" s="621"/>
      <c r="G3" s="563">
        <v>7</v>
      </c>
    </row>
    <row r="4" spans="1:39">
      <c r="A4" s="623"/>
      <c r="B4" s="2573" t="s">
        <v>1799</v>
      </c>
      <c r="C4" s="2573"/>
      <c r="D4" s="2573"/>
      <c r="E4" s="2573"/>
      <c r="F4" s="2573"/>
      <c r="G4" s="2573"/>
      <c r="H4" s="2573"/>
      <c r="I4" s="2573"/>
      <c r="J4" s="2573"/>
      <c r="K4" s="2573"/>
    </row>
    <row r="5" spans="1:39" ht="12.75" customHeight="1">
      <c r="A5" s="623"/>
      <c r="B5" s="2574" t="e">
        <f>#REF!</f>
        <v>#REF!</v>
      </c>
      <c r="C5" s="2575"/>
      <c r="D5" s="2575"/>
      <c r="E5" s="2575"/>
      <c r="F5" s="2575"/>
      <c r="G5" s="2575"/>
      <c r="H5" s="2575"/>
      <c r="I5" s="2575"/>
      <c r="J5" s="2575"/>
      <c r="K5" s="2575"/>
    </row>
    <row r="6" spans="1:39" ht="13.5" customHeight="1">
      <c r="B6" s="625"/>
      <c r="C6" s="567"/>
    </row>
    <row r="7" spans="1:39" ht="13.5" customHeight="1">
      <c r="B7" s="625"/>
      <c r="C7" s="567"/>
    </row>
    <row r="8" spans="1:39" ht="13.5" customHeight="1" thickBot="1">
      <c r="B8" s="625"/>
      <c r="C8" s="567"/>
      <c r="D8" s="971" t="s">
        <v>1988</v>
      </c>
      <c r="E8" s="999" t="s">
        <v>1989</v>
      </c>
      <c r="F8" s="971" t="s">
        <v>1981</v>
      </c>
      <c r="G8" s="971" t="s">
        <v>1982</v>
      </c>
      <c r="H8" s="971" t="s">
        <v>1983</v>
      </c>
      <c r="I8" s="971" t="s">
        <v>1984</v>
      </c>
      <c r="J8" s="971" t="s">
        <v>1985</v>
      </c>
      <c r="K8" s="971" t="s">
        <v>1986</v>
      </c>
      <c r="L8" s="999" t="s">
        <v>1987</v>
      </c>
      <c r="M8" s="971" t="s">
        <v>1981</v>
      </c>
      <c r="N8" s="971" t="s">
        <v>1982</v>
      </c>
      <c r="O8" s="971" t="s">
        <v>1983</v>
      </c>
      <c r="P8" s="971" t="s">
        <v>1984</v>
      </c>
      <c r="Q8" s="971" t="s">
        <v>1985</v>
      </c>
      <c r="R8" s="971" t="s">
        <v>1986</v>
      </c>
      <c r="S8" s="999" t="s">
        <v>1987</v>
      </c>
      <c r="T8" s="971" t="s">
        <v>1981</v>
      </c>
      <c r="U8" s="971" t="s">
        <v>1982</v>
      </c>
      <c r="V8" s="971" t="s">
        <v>1983</v>
      </c>
      <c r="W8" s="971" t="s">
        <v>1984</v>
      </c>
      <c r="X8" s="971" t="s">
        <v>1985</v>
      </c>
      <c r="Y8" s="971" t="s">
        <v>1986</v>
      </c>
      <c r="Z8" s="999" t="s">
        <v>1987</v>
      </c>
      <c r="AA8" s="971" t="s">
        <v>1981</v>
      </c>
      <c r="AB8" s="971" t="s">
        <v>1982</v>
      </c>
      <c r="AC8" s="971" t="s">
        <v>1983</v>
      </c>
      <c r="AD8" s="971" t="s">
        <v>1984</v>
      </c>
      <c r="AE8" s="996" t="s">
        <v>1985</v>
      </c>
      <c r="AF8" s="971" t="s">
        <v>1986</v>
      </c>
      <c r="AG8" s="999" t="s">
        <v>1987</v>
      </c>
      <c r="AH8" s="971" t="s">
        <v>1981</v>
      </c>
      <c r="AI8" s="971"/>
    </row>
    <row r="9" spans="1:39" ht="13.5" thickBot="1">
      <c r="A9" s="2576" t="s">
        <v>285</v>
      </c>
      <c r="B9" s="2576"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358</v>
      </c>
      <c r="AJ9" s="756" t="s">
        <v>26</v>
      </c>
      <c r="AK9" s="755" t="s">
        <v>1821</v>
      </c>
      <c r="AL9" s="755" t="s">
        <v>1820</v>
      </c>
      <c r="AM9" s="572" t="s">
        <v>25</v>
      </c>
    </row>
    <row r="10" spans="1:39" ht="13.5" thickBot="1">
      <c r="A10" s="2577"/>
      <c r="B10" s="2577"/>
      <c r="C10" s="993" t="s">
        <v>286</v>
      </c>
      <c r="D10" s="574" t="s">
        <v>304</v>
      </c>
      <c r="E10" s="1035" t="s">
        <v>304</v>
      </c>
      <c r="F10" s="574" t="s">
        <v>304</v>
      </c>
      <c r="G10" s="574" t="s">
        <v>304</v>
      </c>
      <c r="H10" s="574" t="s">
        <v>304</v>
      </c>
      <c r="I10" s="574" t="s">
        <v>304</v>
      </c>
      <c r="J10" s="574" t="s">
        <v>304</v>
      </c>
      <c r="K10" s="574" t="s">
        <v>304</v>
      </c>
      <c r="L10" s="1035" t="s">
        <v>304</v>
      </c>
      <c r="M10" s="574" t="s">
        <v>304</v>
      </c>
      <c r="N10" s="574" t="s">
        <v>304</v>
      </c>
      <c r="O10" s="574" t="s">
        <v>304</v>
      </c>
      <c r="P10" s="574" t="s">
        <v>304</v>
      </c>
      <c r="Q10" s="574" t="s">
        <v>304</v>
      </c>
      <c r="R10" s="574" t="s">
        <v>304</v>
      </c>
      <c r="S10" s="1035" t="s">
        <v>304</v>
      </c>
      <c r="T10" s="574" t="s">
        <v>304</v>
      </c>
      <c r="U10" s="574" t="s">
        <v>304</v>
      </c>
      <c r="V10" s="574" t="s">
        <v>304</v>
      </c>
      <c r="W10" s="574" t="s">
        <v>304</v>
      </c>
      <c r="X10" s="574" t="s">
        <v>304</v>
      </c>
      <c r="Y10" s="574" t="s">
        <v>304</v>
      </c>
      <c r="Z10" s="1035" t="s">
        <v>304</v>
      </c>
      <c r="AA10" s="574" t="s">
        <v>304</v>
      </c>
      <c r="AB10" s="574" t="s">
        <v>304</v>
      </c>
      <c r="AC10" s="574" t="s">
        <v>304</v>
      </c>
      <c r="AD10" s="574" t="s">
        <v>304</v>
      </c>
      <c r="AE10" s="865" t="s">
        <v>304</v>
      </c>
      <c r="AF10" s="574" t="s">
        <v>304</v>
      </c>
      <c r="AG10" s="1001" t="s">
        <v>304</v>
      </c>
      <c r="AH10" s="574" t="s">
        <v>304</v>
      </c>
      <c r="AI10" s="576" t="s">
        <v>287</v>
      </c>
      <c r="AJ10" s="752" t="s">
        <v>287</v>
      </c>
      <c r="AK10" s="755"/>
      <c r="AL10" s="755"/>
      <c r="AM10" s="572"/>
    </row>
    <row r="11" spans="1:39" s="827" customFormat="1">
      <c r="A11" s="912" t="s">
        <v>33</v>
      </c>
      <c r="B11" s="912" t="s">
        <v>1131</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1132</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536</v>
      </c>
      <c r="B13" s="908" t="s">
        <v>1133</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1454</v>
      </c>
      <c r="AM13" s="823">
        <f>AL13-AK13</f>
        <v>1</v>
      </c>
    </row>
    <row r="14" spans="1:39" s="824" customFormat="1">
      <c r="A14" s="814" t="s">
        <v>537</v>
      </c>
      <c r="B14" s="814" t="s">
        <v>1134</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1454</v>
      </c>
      <c r="AM14" s="823">
        <f t="shared" ref="AM14:AM77" si="3">AL14-AK14</f>
        <v>0.5</v>
      </c>
    </row>
    <row r="15" spans="1:39" s="824" customFormat="1">
      <c r="A15" s="814" t="s">
        <v>538</v>
      </c>
      <c r="B15" s="814" t="s">
        <v>1918</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1454</v>
      </c>
      <c r="AM15" s="823">
        <f t="shared" si="3"/>
        <v>0.5</v>
      </c>
    </row>
    <row r="16" spans="1:39" s="824" customFormat="1">
      <c r="A16" s="814" t="s">
        <v>539</v>
      </c>
      <c r="B16" s="909" t="s">
        <v>1136</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1454</v>
      </c>
      <c r="AM16" s="823">
        <f t="shared" si="3"/>
        <v>0</v>
      </c>
    </row>
    <row r="17" spans="1:45" s="824" customFormat="1" hidden="1">
      <c r="A17" s="814" t="s">
        <v>540</v>
      </c>
      <c r="B17" s="814" t="s">
        <v>1137</v>
      </c>
      <c r="C17" s="918" t="s">
        <v>1449</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1454</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541</v>
      </c>
      <c r="B19" s="909" t="s">
        <v>1138</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1455</v>
      </c>
      <c r="AM19" s="823">
        <f t="shared" si="3"/>
        <v>0</v>
      </c>
      <c r="AN19" s="921"/>
      <c r="AO19" s="835"/>
      <c r="AP19" s="835"/>
      <c r="AQ19" s="835"/>
      <c r="AR19" s="835"/>
      <c r="AS19" s="835"/>
    </row>
    <row r="20" spans="1:45" s="824" customFormat="1" hidden="1">
      <c r="A20" s="814" t="s">
        <v>542</v>
      </c>
      <c r="B20" s="909" t="s">
        <v>1139</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1456</v>
      </c>
      <c r="AM20" s="823">
        <f>AL20-AK20</f>
        <v>526.6</v>
      </c>
      <c r="AN20" s="921"/>
      <c r="AO20" s="835"/>
      <c r="AP20" s="835"/>
      <c r="AQ20" s="835"/>
      <c r="AR20" s="835"/>
      <c r="AS20" s="835"/>
    </row>
    <row r="21" spans="1:45" s="824" customFormat="1" hidden="1">
      <c r="A21" s="814" t="s">
        <v>543</v>
      </c>
      <c r="B21" s="909" t="s">
        <v>1140</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1457</v>
      </c>
      <c r="AM21" s="823">
        <f t="shared" si="3"/>
        <v>759.49</v>
      </c>
    </row>
    <row r="22" spans="1:45" s="824" customFormat="1" hidden="1">
      <c r="A22" s="910" t="s">
        <v>544</v>
      </c>
      <c r="B22" s="911" t="s">
        <v>1141</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545</v>
      </c>
      <c r="B23" s="814" t="s">
        <v>1141</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1454</v>
      </c>
      <c r="AM23" s="823">
        <f t="shared" si="3"/>
        <v>1</v>
      </c>
    </row>
    <row r="24" spans="1:45" s="824" customFormat="1" hidden="1">
      <c r="A24" s="814" t="s">
        <v>546</v>
      </c>
      <c r="B24" s="909" t="s">
        <v>1143</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1454</v>
      </c>
      <c r="AM24" s="823">
        <f t="shared" si="3"/>
        <v>1</v>
      </c>
    </row>
    <row r="25" spans="1:45" s="824" customFormat="1" hidden="1">
      <c r="A25" s="910" t="s">
        <v>547</v>
      </c>
      <c r="B25" s="911" t="s">
        <v>1144</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548</v>
      </c>
      <c r="B26" s="814" t="s">
        <v>1145</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1455</v>
      </c>
      <c r="AM26" s="823">
        <f t="shared" si="3"/>
        <v>0</v>
      </c>
    </row>
    <row r="27" spans="1:45" s="824" customFormat="1" hidden="1">
      <c r="A27" s="814" t="s">
        <v>549</v>
      </c>
      <c r="B27" s="814" t="s">
        <v>1818</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1455</v>
      </c>
      <c r="AM27" s="823">
        <f>AL27-AK27</f>
        <v>502.44999999999993</v>
      </c>
    </row>
    <row r="28" spans="1:45" s="824" customFormat="1">
      <c r="A28" s="910" t="s">
        <v>550</v>
      </c>
      <c r="B28" s="911" t="s">
        <v>1146</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551</v>
      </c>
      <c r="B29" s="909" t="s">
        <v>1147</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1454</v>
      </c>
      <c r="AM29" s="823">
        <f t="shared" si="3"/>
        <v>0</v>
      </c>
    </row>
    <row r="30" spans="1:45" s="824" customFormat="1">
      <c r="A30" s="814" t="s">
        <v>552</v>
      </c>
      <c r="B30" s="909" t="s">
        <v>1148</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1458</v>
      </c>
      <c r="AM30" s="823">
        <f t="shared" si="3"/>
        <v>15</v>
      </c>
    </row>
    <row r="31" spans="1:45" s="824" customFormat="1">
      <c r="A31" s="814" t="s">
        <v>553</v>
      </c>
      <c r="B31" s="909" t="s">
        <v>1149</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1454</v>
      </c>
      <c r="AM31" s="823">
        <f t="shared" si="3"/>
        <v>0.5</v>
      </c>
    </row>
    <row r="32" spans="1:45" s="824" customFormat="1">
      <c r="A32" s="814" t="s">
        <v>554</v>
      </c>
      <c r="B32" s="909" t="s">
        <v>1150</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1454</v>
      </c>
      <c r="AM32" s="823">
        <f t="shared" si="3"/>
        <v>0.5</v>
      </c>
    </row>
    <row r="33" spans="1:39" s="824" customFormat="1">
      <c r="A33" s="814" t="s">
        <v>555</v>
      </c>
      <c r="B33" s="909" t="s">
        <v>1151</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1454</v>
      </c>
      <c r="AM33" s="823">
        <f t="shared" si="3"/>
        <v>0.75</v>
      </c>
    </row>
    <row r="34" spans="1:39" s="827" customFormat="1" ht="13.5" thickBot="1">
      <c r="A34" s="814" t="s">
        <v>556</v>
      </c>
      <c r="B34" s="909" t="s">
        <v>1152</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1454</v>
      </c>
      <c r="AM34" s="823">
        <f t="shared" si="3"/>
        <v>0.75</v>
      </c>
    </row>
    <row r="35" spans="1:39" s="824" customFormat="1">
      <c r="A35" s="912" t="s">
        <v>42</v>
      </c>
      <c r="B35" s="912" t="s">
        <v>1153</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1154</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557</v>
      </c>
      <c r="B38" s="610" t="s">
        <v>1155</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1459</v>
      </c>
      <c r="AM38" s="753">
        <f t="shared" si="3"/>
        <v>27.29</v>
      </c>
    </row>
    <row r="39" spans="1:39" s="566" customFormat="1" hidden="1">
      <c r="A39" s="610" t="s">
        <v>558</v>
      </c>
      <c r="B39" s="610" t="s">
        <v>1156</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1460</v>
      </c>
      <c r="AM39" s="753">
        <f t="shared" si="3"/>
        <v>8.75</v>
      </c>
    </row>
    <row r="40" spans="1:39" s="566" customFormat="1" hidden="1">
      <c r="A40" s="610" t="s">
        <v>559</v>
      </c>
      <c r="B40" s="610" t="s">
        <v>1157</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1461</v>
      </c>
      <c r="AM40" s="753">
        <f t="shared" si="3"/>
        <v>13.99</v>
      </c>
    </row>
    <row r="41" spans="1:39" s="566" customFormat="1" hidden="1">
      <c r="A41" s="610" t="s">
        <v>560</v>
      </c>
      <c r="B41" s="610" t="s">
        <v>1158</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1462</v>
      </c>
      <c r="AM41" s="753">
        <f t="shared" si="3"/>
        <v>26.03</v>
      </c>
    </row>
    <row r="42" spans="1:39" s="585" customFormat="1" ht="11.25" hidden="1" customHeight="1">
      <c r="A42" s="610" t="s">
        <v>561</v>
      </c>
      <c r="B42" s="610" t="s">
        <v>1159</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1463</v>
      </c>
      <c r="AM42" s="753">
        <f t="shared" si="3"/>
        <v>27.56</v>
      </c>
    </row>
    <row r="43" spans="1:39" s="566" customFormat="1" ht="11.25" hidden="1" customHeight="1">
      <c r="A43" s="610" t="s">
        <v>562</v>
      </c>
      <c r="B43" s="610" t="s">
        <v>1160</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1463</v>
      </c>
      <c r="AM43" s="753">
        <f t="shared" si="3"/>
        <v>27.56</v>
      </c>
    </row>
    <row r="44" spans="1:39" s="566" customFormat="1" ht="11.25" hidden="1" customHeight="1">
      <c r="A44" s="613" t="s">
        <v>563</v>
      </c>
      <c r="B44" s="613" t="s">
        <v>1161</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564</v>
      </c>
      <c r="B45" s="610" t="s">
        <v>1162</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1464</v>
      </c>
      <c r="AM45" s="753">
        <f t="shared" si="3"/>
        <v>7.7</v>
      </c>
    </row>
    <row r="46" spans="1:39" s="566" customFormat="1" hidden="1">
      <c r="A46" s="610" t="s">
        <v>565</v>
      </c>
      <c r="B46" s="610" t="s">
        <v>1163</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1465</v>
      </c>
      <c r="AM46" s="753">
        <f t="shared" si="3"/>
        <v>13.46</v>
      </c>
    </row>
    <row r="47" spans="1:39" s="566" customFormat="1" hidden="1">
      <c r="A47" s="610" t="s">
        <v>566</v>
      </c>
      <c r="B47" s="610" t="s">
        <v>1164</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1466</v>
      </c>
      <c r="AM47" s="753">
        <f t="shared" si="3"/>
        <v>2.97</v>
      </c>
    </row>
    <row r="48" spans="1:39" s="566" customFormat="1" hidden="1">
      <c r="A48" s="610" t="s">
        <v>567</v>
      </c>
      <c r="B48" s="610" t="s">
        <v>1165</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1467</v>
      </c>
      <c r="AM48" s="753">
        <f t="shared" si="3"/>
        <v>0.84</v>
      </c>
    </row>
    <row r="49" spans="1:39" s="566" customFormat="1" hidden="1">
      <c r="A49" s="610" t="s">
        <v>568</v>
      </c>
      <c r="B49" s="610" t="s">
        <v>1166</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1468</v>
      </c>
      <c r="AM49" s="753">
        <f t="shared" si="3"/>
        <v>23.65</v>
      </c>
    </row>
    <row r="50" spans="1:39" s="566" customFormat="1" hidden="1">
      <c r="A50" s="610" t="s">
        <v>569</v>
      </c>
      <c r="B50" s="610" t="s">
        <v>1167</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1462</v>
      </c>
      <c r="AM50" s="753">
        <f t="shared" si="3"/>
        <v>26.03</v>
      </c>
    </row>
    <row r="51" spans="1:39" s="566" customFormat="1" hidden="1">
      <c r="A51" s="613" t="s">
        <v>570</v>
      </c>
      <c r="B51" s="613" t="s">
        <v>1168</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571</v>
      </c>
      <c r="B52" s="610" t="s">
        <v>1169</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572</v>
      </c>
      <c r="B53" s="610" t="s">
        <v>1170</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1469</v>
      </c>
      <c r="AM53" s="753">
        <f t="shared" si="3"/>
        <v>4.6100000000000003</v>
      </c>
    </row>
    <row r="54" spans="1:39" s="566" customFormat="1" hidden="1">
      <c r="A54" s="610" t="s">
        <v>573</v>
      </c>
      <c r="B54" s="610" t="s">
        <v>1171</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1470</v>
      </c>
      <c r="AM54" s="753">
        <f t="shared" si="3"/>
        <v>192.7</v>
      </c>
    </row>
    <row r="55" spans="1:39" s="566" customFormat="1" hidden="1">
      <c r="A55" s="610" t="s">
        <v>574</v>
      </c>
      <c r="B55" s="610" t="s">
        <v>1172</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575</v>
      </c>
      <c r="B56" s="610" t="s">
        <v>1173</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1471</v>
      </c>
      <c r="AM56" s="753">
        <f t="shared" si="3"/>
        <v>1.93</v>
      </c>
    </row>
    <row r="57" spans="1:39" s="566" customFormat="1" hidden="1">
      <c r="A57" s="610" t="s">
        <v>576</v>
      </c>
      <c r="B57" s="610" t="s">
        <v>1174</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1472</v>
      </c>
      <c r="AM57" s="753">
        <f t="shared" si="3"/>
        <v>15.42</v>
      </c>
    </row>
    <row r="58" spans="1:39" s="585" customFormat="1" hidden="1">
      <c r="A58" s="610" t="s">
        <v>577</v>
      </c>
      <c r="B58" s="610" t="s">
        <v>1175</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1473</v>
      </c>
      <c r="AM58" s="753">
        <f t="shared" si="3"/>
        <v>275.55</v>
      </c>
    </row>
    <row r="59" spans="1:39" s="585" customFormat="1" hidden="1">
      <c r="A59" s="610" t="s">
        <v>578</v>
      </c>
      <c r="B59" s="610" t="s">
        <v>1176</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579</v>
      </c>
      <c r="B60" s="610" t="s">
        <v>1177</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1474</v>
      </c>
      <c r="AM60" s="753">
        <f t="shared" si="3"/>
        <v>2.83</v>
      </c>
    </row>
    <row r="61" spans="1:39" s="566" customFormat="1" hidden="1">
      <c r="A61" s="610" t="s">
        <v>580</v>
      </c>
      <c r="B61" s="610" t="s">
        <v>1178</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1475</v>
      </c>
      <c r="AM61" s="753">
        <f t="shared" si="3"/>
        <v>40.020000000000003</v>
      </c>
    </row>
    <row r="62" spans="1:39" s="566" customFormat="1" hidden="1">
      <c r="A62" s="610" t="s">
        <v>581</v>
      </c>
      <c r="B62" s="610" t="s">
        <v>1179</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1476</v>
      </c>
      <c r="AM62" s="753">
        <f t="shared" si="3"/>
        <v>444.48</v>
      </c>
    </row>
    <row r="63" spans="1:39" s="566" customFormat="1" hidden="1">
      <c r="A63" s="610" t="s">
        <v>582</v>
      </c>
      <c r="B63" s="610" t="s">
        <v>1180</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583</v>
      </c>
      <c r="B64" s="610" t="s">
        <v>1181</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1477</v>
      </c>
      <c r="AM64" s="753">
        <f t="shared" si="3"/>
        <v>1.49</v>
      </c>
    </row>
    <row r="65" spans="1:39" s="566" customFormat="1" hidden="1">
      <c r="A65" s="610" t="s">
        <v>584</v>
      </c>
      <c r="B65" s="610" t="s">
        <v>1182</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1478</v>
      </c>
      <c r="AM65" s="753">
        <f t="shared" si="3"/>
        <v>19.71</v>
      </c>
    </row>
    <row r="66" spans="1:39" s="566" customFormat="1" hidden="1">
      <c r="A66" s="610" t="s">
        <v>585</v>
      </c>
      <c r="B66" s="610" t="s">
        <v>1183</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1479</v>
      </c>
      <c r="AM66" s="753">
        <f t="shared" si="3"/>
        <v>659.98</v>
      </c>
    </row>
    <row r="67" spans="1:39" s="566" customFormat="1" hidden="1">
      <c r="A67" s="610" t="s">
        <v>586</v>
      </c>
      <c r="B67" s="610" t="s">
        <v>1184</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587</v>
      </c>
      <c r="B68" s="610" t="s">
        <v>1185</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1480</v>
      </c>
      <c r="AM68" s="753">
        <f t="shared" si="3"/>
        <v>4.54</v>
      </c>
    </row>
    <row r="69" spans="1:39" s="566" customFormat="1" hidden="1">
      <c r="A69" s="610" t="s">
        <v>588</v>
      </c>
      <c r="B69" s="610" t="s">
        <v>1186</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1481</v>
      </c>
      <c r="AM69" s="753">
        <f t="shared" si="3"/>
        <v>38.93</v>
      </c>
    </row>
    <row r="70" spans="1:39" s="566" customFormat="1" hidden="1">
      <c r="A70" s="610" t="s">
        <v>589</v>
      </c>
      <c r="B70" s="610" t="s">
        <v>1187</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1482</v>
      </c>
      <c r="AM70" s="753">
        <f t="shared" si="3"/>
        <v>563.80999999999995</v>
      </c>
    </row>
    <row r="71" spans="1:39" s="585" customFormat="1" hidden="1">
      <c r="A71" s="610" t="s">
        <v>590</v>
      </c>
      <c r="B71" s="610" t="s">
        <v>1188</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591</v>
      </c>
      <c r="B72" s="610" t="s">
        <v>1189</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1483</v>
      </c>
      <c r="AM72" s="753">
        <f t="shared" si="3"/>
        <v>3.65</v>
      </c>
    </row>
    <row r="73" spans="1:39" s="566" customFormat="1" hidden="1">
      <c r="A73" s="610" t="s">
        <v>592</v>
      </c>
      <c r="B73" s="610" t="s">
        <v>1190</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1484</v>
      </c>
      <c r="AM73" s="753">
        <f t="shared" si="3"/>
        <v>41.77</v>
      </c>
    </row>
    <row r="74" spans="1:39" s="566" customFormat="1" hidden="1">
      <c r="A74" s="610" t="s">
        <v>593</v>
      </c>
      <c r="B74" s="610" t="s">
        <v>1191</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1485</v>
      </c>
      <c r="AM74" s="753">
        <f t="shared" si="3"/>
        <v>298.24</v>
      </c>
    </row>
    <row r="75" spans="1:39" s="566" customFormat="1" hidden="1">
      <c r="A75" s="610" t="s">
        <v>594</v>
      </c>
      <c r="B75" s="610" t="s">
        <v>1192</v>
      </c>
      <c r="C75" s="620" t="s">
        <v>1449</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1486</v>
      </c>
      <c r="AM75" s="753">
        <f t="shared" si="3"/>
        <v>347.95</v>
      </c>
    </row>
    <row r="76" spans="1:39" s="566" customFormat="1" hidden="1">
      <c r="A76" s="610" t="s">
        <v>595</v>
      </c>
      <c r="B76" s="610" t="s">
        <v>1193</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596</v>
      </c>
      <c r="B77" s="610" t="s">
        <v>1194</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1487</v>
      </c>
      <c r="AM77" s="753">
        <f t="shared" si="3"/>
        <v>1.2</v>
      </c>
    </row>
    <row r="78" spans="1:39" s="566" customFormat="1" hidden="1">
      <c r="A78" s="610" t="s">
        <v>597</v>
      </c>
      <c r="B78" s="610" t="s">
        <v>1195</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1488</v>
      </c>
      <c r="AM78" s="753">
        <f t="shared" ref="AM78:AM141" si="6">AL78-AK78</f>
        <v>16</v>
      </c>
    </row>
    <row r="79" spans="1:39" s="566" customFormat="1" hidden="1">
      <c r="A79" s="610" t="s">
        <v>598</v>
      </c>
      <c r="B79" s="610" t="s">
        <v>1196</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1489</v>
      </c>
      <c r="AM79" s="753">
        <f t="shared" si="6"/>
        <v>124.05</v>
      </c>
    </row>
    <row r="80" spans="1:39" s="566" customFormat="1" hidden="1">
      <c r="A80" s="613" t="s">
        <v>599</v>
      </c>
      <c r="B80" s="613" t="s">
        <v>1197</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600</v>
      </c>
      <c r="B81" s="610" t="s">
        <v>1198</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1490</v>
      </c>
      <c r="AM81" s="753">
        <f t="shared" si="6"/>
        <v>59.04</v>
      </c>
    </row>
    <row r="82" spans="1:39" s="566" customFormat="1" hidden="1">
      <c r="A82" s="613" t="s">
        <v>601</v>
      </c>
      <c r="B82" s="613" t="s">
        <v>1199</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602</v>
      </c>
      <c r="B83" s="610" t="s">
        <v>1200</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1491</v>
      </c>
      <c r="AM83" s="753">
        <f t="shared" si="6"/>
        <v>100.3</v>
      </c>
    </row>
    <row r="84" spans="1:39" s="585" customFormat="1" hidden="1">
      <c r="A84" s="610" t="s">
        <v>603</v>
      </c>
      <c r="B84" s="610" t="s">
        <v>225</v>
      </c>
      <c r="C84" s="536" t="s">
        <v>1449</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1492</v>
      </c>
      <c r="AM84" s="753">
        <f t="shared" si="6"/>
        <v>15</v>
      </c>
    </row>
    <row r="85" spans="1:39" s="824" customFormat="1">
      <c r="A85" s="910" t="s">
        <v>44</v>
      </c>
      <c r="B85" s="911" t="s">
        <v>1201</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604</v>
      </c>
      <c r="B87" s="814" t="s">
        <v>1155</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1493</v>
      </c>
      <c r="AM87" s="823">
        <f t="shared" si="6"/>
        <v>34.270000000000003</v>
      </c>
    </row>
    <row r="88" spans="1:39" s="824" customFormat="1" hidden="1">
      <c r="A88" s="814" t="s">
        <v>605</v>
      </c>
      <c r="B88" s="814" t="s">
        <v>1156</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1494</v>
      </c>
      <c r="AM88" s="823">
        <f t="shared" si="6"/>
        <v>16.989999999999998</v>
      </c>
    </row>
    <row r="89" spans="1:39" s="824" customFormat="1" hidden="1">
      <c r="A89" s="814" t="s">
        <v>606</v>
      </c>
      <c r="B89" s="814" t="s">
        <v>1157</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1495</v>
      </c>
      <c r="AM89" s="823">
        <f t="shared" si="6"/>
        <v>28.37</v>
      </c>
    </row>
    <row r="90" spans="1:39" s="824" customFormat="1" hidden="1">
      <c r="A90" s="814" t="s">
        <v>607</v>
      </c>
      <c r="B90" s="814" t="s">
        <v>1158</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1496</v>
      </c>
      <c r="AM90" s="823">
        <f t="shared" si="6"/>
        <v>57.19</v>
      </c>
    </row>
    <row r="91" spans="1:39" s="824" customFormat="1" hidden="1">
      <c r="A91" s="814" t="s">
        <v>608</v>
      </c>
      <c r="B91" s="814" t="s">
        <v>1159</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1497</v>
      </c>
      <c r="AM91" s="823">
        <f t="shared" si="6"/>
        <v>28.61</v>
      </c>
    </row>
    <row r="92" spans="1:39" s="939" customFormat="1" hidden="1">
      <c r="A92" s="928" t="s">
        <v>609</v>
      </c>
      <c r="B92" s="928" t="s">
        <v>1160</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1497</v>
      </c>
      <c r="AM92" s="938">
        <f t="shared" si="6"/>
        <v>28.61</v>
      </c>
    </row>
    <row r="93" spans="1:39" s="566" customFormat="1" hidden="1">
      <c r="A93" s="613" t="s">
        <v>55</v>
      </c>
      <c r="B93" s="613" t="s">
        <v>1161</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610</v>
      </c>
      <c r="B94" s="610" t="s">
        <v>1202</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1498</v>
      </c>
      <c r="AM94" s="753">
        <f t="shared" si="6"/>
        <v>26.55</v>
      </c>
    </row>
    <row r="95" spans="1:39" s="939" customFormat="1" hidden="1">
      <c r="A95" s="928" t="s">
        <v>611</v>
      </c>
      <c r="B95" s="928" t="s">
        <v>1203</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1499</v>
      </c>
      <c r="AM95" s="938">
        <f t="shared" si="6"/>
        <v>12.87</v>
      </c>
    </row>
    <row r="96" spans="1:39" s="939" customFormat="1" hidden="1">
      <c r="A96" s="928" t="s">
        <v>612</v>
      </c>
      <c r="B96" s="928" t="s">
        <v>1204</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1500</v>
      </c>
      <c r="AM96" s="938">
        <f t="shared" si="6"/>
        <v>2.68</v>
      </c>
    </row>
    <row r="97" spans="1:39" s="824" customFormat="1" hidden="1">
      <c r="A97" s="814" t="s">
        <v>613</v>
      </c>
      <c r="B97" s="814" t="s">
        <v>1166</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1501</v>
      </c>
      <c r="AM97" s="823">
        <f t="shared" si="6"/>
        <v>96.66</v>
      </c>
    </row>
    <row r="98" spans="1:39" s="824" customFormat="1" hidden="1">
      <c r="A98" s="814" t="s">
        <v>614</v>
      </c>
      <c r="B98" s="814" t="s">
        <v>1167</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1496</v>
      </c>
      <c r="AM98" s="823">
        <f t="shared" si="6"/>
        <v>57.19</v>
      </c>
    </row>
    <row r="99" spans="1:39" s="824" customFormat="1">
      <c r="A99" s="927" t="s">
        <v>615</v>
      </c>
      <c r="B99" s="927" t="s">
        <v>1168</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616</v>
      </c>
      <c r="B100" s="814" t="s">
        <v>1169</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617</v>
      </c>
      <c r="B101" s="610" t="s">
        <v>1205</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1502</v>
      </c>
      <c r="AM101" s="753">
        <f t="shared" si="6"/>
        <v>8.06</v>
      </c>
    </row>
    <row r="102" spans="1:39" s="566" customFormat="1" hidden="1">
      <c r="A102" s="610" t="s">
        <v>618</v>
      </c>
      <c r="B102" s="610" t="s">
        <v>1171</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1503</v>
      </c>
      <c r="AM102" s="753">
        <f t="shared" si="6"/>
        <v>337.22</v>
      </c>
    </row>
    <row r="103" spans="1:39" s="824" customFormat="1">
      <c r="A103" s="814" t="s">
        <v>619</v>
      </c>
      <c r="B103" s="814" t="s">
        <v>1172</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620</v>
      </c>
      <c r="B104" s="814" t="s">
        <v>1206</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1504</v>
      </c>
      <c r="AM104" s="823">
        <f t="shared" si="6"/>
        <v>0</v>
      </c>
    </row>
    <row r="105" spans="1:39" s="824" customFormat="1">
      <c r="A105" s="814" t="s">
        <v>621</v>
      </c>
      <c r="B105" s="814" t="s">
        <v>1174</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1505</v>
      </c>
      <c r="AM105" s="823">
        <f t="shared" si="6"/>
        <v>0</v>
      </c>
    </row>
    <row r="106" spans="1:39" s="566" customFormat="1" hidden="1">
      <c r="A106" s="610" t="s">
        <v>622</v>
      </c>
      <c r="B106" s="610" t="s">
        <v>1175</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1506</v>
      </c>
      <c r="AM106" s="753">
        <f t="shared" si="6"/>
        <v>322.07</v>
      </c>
    </row>
    <row r="107" spans="1:39" s="824" customFormat="1">
      <c r="A107" s="814" t="s">
        <v>623</v>
      </c>
      <c r="B107" s="814" t="s">
        <v>1176</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624</v>
      </c>
      <c r="B108" s="814" t="s">
        <v>1207</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1507</v>
      </c>
      <c r="AM108" s="1015">
        <f t="shared" si="6"/>
        <v>0</v>
      </c>
    </row>
    <row r="109" spans="1:39" s="827" customFormat="1">
      <c r="A109" s="814" t="s">
        <v>625</v>
      </c>
      <c r="B109" s="814" t="s">
        <v>1178</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1508</v>
      </c>
      <c r="AM109" s="1015">
        <f t="shared" si="6"/>
        <v>0.56000000000000227</v>
      </c>
    </row>
    <row r="110" spans="1:39" s="566" customFormat="1" hidden="1">
      <c r="A110" s="610" t="s">
        <v>626</v>
      </c>
      <c r="B110" s="610" t="s">
        <v>1179</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1509</v>
      </c>
      <c r="AM110" s="753">
        <f t="shared" si="6"/>
        <v>2582.91</v>
      </c>
    </row>
    <row r="111" spans="1:39" s="824" customFormat="1" hidden="1">
      <c r="A111" s="814" t="s">
        <v>627</v>
      </c>
      <c r="B111" s="814" t="s">
        <v>1180</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628</v>
      </c>
      <c r="B112" s="814" t="s">
        <v>1181</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1510</v>
      </c>
      <c r="AM112" s="823">
        <f t="shared" si="6"/>
        <v>2.82</v>
      </c>
    </row>
    <row r="113" spans="1:39" s="824" customFormat="1" hidden="1">
      <c r="A113" s="814" t="s">
        <v>629</v>
      </c>
      <c r="B113" s="814" t="s">
        <v>1182</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1511</v>
      </c>
      <c r="AM113" s="823">
        <f t="shared" si="6"/>
        <v>35.44</v>
      </c>
    </row>
    <row r="114" spans="1:39" s="824" customFormat="1" hidden="1">
      <c r="A114" s="814" t="s">
        <v>630</v>
      </c>
      <c r="B114" s="814" t="s">
        <v>1183</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1512</v>
      </c>
      <c r="AM114" s="823">
        <f t="shared" si="6"/>
        <v>536.94000000000005</v>
      </c>
    </row>
    <row r="115" spans="1:39" s="824" customFormat="1">
      <c r="A115" s="814" t="s">
        <v>631</v>
      </c>
      <c r="B115" s="814" t="s">
        <v>1184</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632</v>
      </c>
      <c r="B116" s="814" t="s">
        <v>1185</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1513</v>
      </c>
      <c r="AM116" s="823">
        <f t="shared" si="6"/>
        <v>10.33</v>
      </c>
    </row>
    <row r="117" spans="1:39" s="824" customFormat="1">
      <c r="A117" s="814" t="s">
        <v>633</v>
      </c>
      <c r="B117" s="814" t="s">
        <v>1186</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1514</v>
      </c>
      <c r="AM117" s="823">
        <f t="shared" si="6"/>
        <v>76.459999999999994</v>
      </c>
    </row>
    <row r="118" spans="1:39" s="824" customFormat="1">
      <c r="A118" s="814" t="s">
        <v>634</v>
      </c>
      <c r="B118" s="814" t="s">
        <v>1187</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1515</v>
      </c>
      <c r="AM118" s="823">
        <f t="shared" si="6"/>
        <v>0</v>
      </c>
    </row>
    <row r="119" spans="1:39" s="824" customFormat="1">
      <c r="A119" s="814" t="s">
        <v>635</v>
      </c>
      <c r="B119" s="814" t="s">
        <v>1188</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636</v>
      </c>
      <c r="B120" s="814" t="s">
        <v>1189</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1516</v>
      </c>
      <c r="AM120" s="823">
        <f t="shared" si="6"/>
        <v>8.94</v>
      </c>
    </row>
    <row r="121" spans="1:39" s="824" customFormat="1">
      <c r="A121" s="814" t="s">
        <v>637</v>
      </c>
      <c r="B121" s="814" t="s">
        <v>1190</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1517</v>
      </c>
      <c r="AM121" s="823">
        <f t="shared" si="6"/>
        <v>63.47</v>
      </c>
    </row>
    <row r="122" spans="1:39" s="824" customFormat="1" hidden="1">
      <c r="A122" s="814" t="s">
        <v>638</v>
      </c>
      <c r="B122" s="814" t="s">
        <v>1191</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1518</v>
      </c>
      <c r="AM122" s="823">
        <f t="shared" si="6"/>
        <v>1062.45</v>
      </c>
    </row>
    <row r="123" spans="1:39" s="824" customFormat="1" hidden="1">
      <c r="A123" s="814" t="s">
        <v>639</v>
      </c>
      <c r="B123" s="814" t="s">
        <v>1192</v>
      </c>
      <c r="C123" s="918" t="s">
        <v>1449</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1519</v>
      </c>
      <c r="AM123" s="823">
        <f t="shared" si="6"/>
        <v>851.11</v>
      </c>
    </row>
    <row r="124" spans="1:39" s="824" customFormat="1" hidden="1">
      <c r="A124" s="814" t="s">
        <v>640</v>
      </c>
      <c r="B124" s="814" t="s">
        <v>1193</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641</v>
      </c>
      <c r="B125" s="814" t="s">
        <v>1194</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1520</v>
      </c>
      <c r="AM125" s="823">
        <f t="shared" si="6"/>
        <v>2.66</v>
      </c>
    </row>
    <row r="126" spans="1:39" s="824" customFormat="1" hidden="1">
      <c r="A126" s="814" t="s">
        <v>642</v>
      </c>
      <c r="B126" s="814" t="s">
        <v>1195</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1511</v>
      </c>
      <c r="AM126" s="823">
        <f t="shared" si="6"/>
        <v>35.44</v>
      </c>
    </row>
    <row r="127" spans="1:39" s="824" customFormat="1" hidden="1">
      <c r="A127" s="814" t="s">
        <v>643</v>
      </c>
      <c r="B127" s="814" t="s">
        <v>1196</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1521</v>
      </c>
      <c r="AM127" s="823">
        <f t="shared" si="6"/>
        <v>179.59</v>
      </c>
    </row>
    <row r="128" spans="1:39" s="824" customFormat="1" hidden="1">
      <c r="A128" s="927" t="s">
        <v>644</v>
      </c>
      <c r="B128" s="927" t="s">
        <v>1197</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645</v>
      </c>
      <c r="B129" s="814" t="s">
        <v>1198</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1522</v>
      </c>
      <c r="AM129" s="823">
        <f t="shared" si="6"/>
        <v>158.4</v>
      </c>
    </row>
    <row r="130" spans="1:39" s="827" customFormat="1">
      <c r="A130" s="927" t="s">
        <v>646</v>
      </c>
      <c r="B130" s="927" t="s">
        <v>1199</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647</v>
      </c>
      <c r="B131" s="814" t="s">
        <v>1200</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1523</v>
      </c>
      <c r="AM131" s="823">
        <f t="shared" si="6"/>
        <v>83.2</v>
      </c>
    </row>
    <row r="132" spans="1:39" s="824" customFormat="1">
      <c r="A132" s="814" t="s">
        <v>648</v>
      </c>
      <c r="B132" s="814" t="s">
        <v>225</v>
      </c>
      <c r="C132" s="918" t="s">
        <v>1449</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1492</v>
      </c>
      <c r="AM132" s="823">
        <f t="shared" si="6"/>
        <v>10</v>
      </c>
    </row>
    <row r="133" spans="1:39" s="824" customFormat="1">
      <c r="A133" s="910" t="s">
        <v>52</v>
      </c>
      <c r="B133" s="911" t="s">
        <v>1208</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649</v>
      </c>
      <c r="B135" s="610" t="s">
        <v>1155</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1524</v>
      </c>
      <c r="AM135" s="753">
        <f t="shared" si="6"/>
        <v>28.51</v>
      </c>
    </row>
    <row r="136" spans="1:39" s="585" customFormat="1" hidden="1">
      <c r="A136" s="610" t="s">
        <v>650</v>
      </c>
      <c r="B136" s="610" t="s">
        <v>1156</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1525</v>
      </c>
      <c r="AM136" s="753">
        <f t="shared" si="6"/>
        <v>19.8</v>
      </c>
    </row>
    <row r="137" spans="1:39" s="824" customFormat="1">
      <c r="A137" s="814" t="s">
        <v>651</v>
      </c>
      <c r="B137" s="814" t="s">
        <v>1157</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1526</v>
      </c>
      <c r="AM137" s="823">
        <f t="shared" si="6"/>
        <v>-1.4499999999999957</v>
      </c>
    </row>
    <row r="138" spans="1:39" s="824" customFormat="1">
      <c r="A138" s="814" t="s">
        <v>652</v>
      </c>
      <c r="B138" s="814" t="s">
        <v>1158</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1527</v>
      </c>
      <c r="AM138" s="823">
        <f t="shared" si="6"/>
        <v>0.29999999999999716</v>
      </c>
    </row>
    <row r="139" spans="1:39" s="824" customFormat="1">
      <c r="A139" s="814" t="s">
        <v>653</v>
      </c>
      <c r="B139" s="814" t="s">
        <v>1159</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1528</v>
      </c>
      <c r="AM139" s="823">
        <f t="shared" si="6"/>
        <v>-45.019999999999996</v>
      </c>
    </row>
    <row r="140" spans="1:39" s="939" customFormat="1" hidden="1">
      <c r="A140" s="928" t="s">
        <v>654</v>
      </c>
      <c r="B140" s="928" t="s">
        <v>1160</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1528</v>
      </c>
      <c r="AM140" s="938">
        <f t="shared" si="6"/>
        <v>17.190000000000001</v>
      </c>
    </row>
    <row r="141" spans="1:39" s="827" customFormat="1" hidden="1">
      <c r="A141" s="927" t="s">
        <v>57</v>
      </c>
      <c r="B141" s="927" t="s">
        <v>1161</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655</v>
      </c>
      <c r="B142" s="610" t="s">
        <v>1202</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1529</v>
      </c>
      <c r="AM142" s="753">
        <f t="shared" ref="AM142:AM205" si="9">AL142-AK142</f>
        <v>23.07</v>
      </c>
    </row>
    <row r="143" spans="1:39" s="939" customFormat="1" hidden="1">
      <c r="A143" s="928" t="s">
        <v>656</v>
      </c>
      <c r="B143" s="928" t="s">
        <v>1203</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1530</v>
      </c>
      <c r="AM143" s="938">
        <f t="shared" si="9"/>
        <v>10.4</v>
      </c>
    </row>
    <row r="144" spans="1:39" s="939" customFormat="1" hidden="1">
      <c r="A144" s="928" t="s">
        <v>657</v>
      </c>
      <c r="B144" s="928" t="s">
        <v>1204</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1531</v>
      </c>
      <c r="AM144" s="938">
        <f t="shared" si="9"/>
        <v>2.1800000000000002</v>
      </c>
    </row>
    <row r="145" spans="1:39" s="824" customFormat="1" hidden="1">
      <c r="A145" s="814" t="s">
        <v>658</v>
      </c>
      <c r="B145" s="814" t="s">
        <v>1166</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1532</v>
      </c>
      <c r="AM145" s="823">
        <f t="shared" si="9"/>
        <v>29.03</v>
      </c>
    </row>
    <row r="146" spans="1:39" s="824" customFormat="1" hidden="1">
      <c r="A146" s="814" t="s">
        <v>659</v>
      </c>
      <c r="B146" s="814" t="s">
        <v>1167</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1527</v>
      </c>
      <c r="AM146" s="823">
        <f t="shared" si="9"/>
        <v>72.33</v>
      </c>
    </row>
    <row r="147" spans="1:39" s="824" customFormat="1">
      <c r="A147" s="927" t="s">
        <v>660</v>
      </c>
      <c r="B147" s="927" t="s">
        <v>1168</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661</v>
      </c>
      <c r="B148" s="814" t="s">
        <v>1169</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662</v>
      </c>
      <c r="B149" s="610" t="s">
        <v>1205</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1533</v>
      </c>
      <c r="AM149" s="753">
        <f t="shared" si="9"/>
        <v>6.34</v>
      </c>
    </row>
    <row r="150" spans="1:39" s="566" customFormat="1" hidden="1">
      <c r="A150" s="610" t="s">
        <v>663</v>
      </c>
      <c r="B150" s="610" t="s">
        <v>1171</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1534</v>
      </c>
      <c r="AM150" s="753">
        <f t="shared" si="9"/>
        <v>264.95999999999998</v>
      </c>
    </row>
    <row r="151" spans="1:39" s="824" customFormat="1">
      <c r="A151" s="814" t="s">
        <v>664</v>
      </c>
      <c r="B151" s="814" t="s">
        <v>1172</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665</v>
      </c>
      <c r="B152" s="814" t="s">
        <v>1206</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1535</v>
      </c>
      <c r="AM152" s="823">
        <f t="shared" si="9"/>
        <v>0</v>
      </c>
    </row>
    <row r="153" spans="1:39" s="824" customFormat="1">
      <c r="A153" s="814" t="s">
        <v>666</v>
      </c>
      <c r="B153" s="814" t="s">
        <v>1174</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1536</v>
      </c>
      <c r="AM153" s="823">
        <f t="shared" si="9"/>
        <v>0</v>
      </c>
    </row>
    <row r="154" spans="1:39" s="566" customFormat="1" hidden="1">
      <c r="A154" s="610" t="s">
        <v>667</v>
      </c>
      <c r="B154" s="610" t="s">
        <v>1175</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1537</v>
      </c>
      <c r="AM154" s="753">
        <f t="shared" si="9"/>
        <v>365.33</v>
      </c>
    </row>
    <row r="155" spans="1:39" s="824" customFormat="1">
      <c r="A155" s="814" t="s">
        <v>668</v>
      </c>
      <c r="B155" s="814" t="s">
        <v>1176</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669</v>
      </c>
      <c r="B156" s="814" t="s">
        <v>1207</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1538</v>
      </c>
      <c r="AM156" s="823">
        <f t="shared" si="9"/>
        <v>1.62</v>
      </c>
    </row>
    <row r="157" spans="1:39" s="824" customFormat="1">
      <c r="A157" s="814" t="s">
        <v>670</v>
      </c>
      <c r="B157" s="814" t="s">
        <v>1178</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1539</v>
      </c>
      <c r="AM157" s="823">
        <f t="shared" si="9"/>
        <v>8.3100000000000023</v>
      </c>
    </row>
    <row r="158" spans="1:39" s="566" customFormat="1" hidden="1">
      <c r="A158" s="610" t="s">
        <v>671</v>
      </c>
      <c r="B158" s="610" t="s">
        <v>1179</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1540</v>
      </c>
      <c r="AM158" s="753">
        <f t="shared" si="9"/>
        <v>1929.18</v>
      </c>
    </row>
    <row r="159" spans="1:39" s="824" customFormat="1" hidden="1">
      <c r="A159" s="814" t="s">
        <v>672</v>
      </c>
      <c r="B159" s="814" t="s">
        <v>1180</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673</v>
      </c>
      <c r="B160" s="814" t="s">
        <v>1181</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1541</v>
      </c>
      <c r="AM160" s="823">
        <f t="shared" si="9"/>
        <v>3.44</v>
      </c>
    </row>
    <row r="161" spans="1:39" s="824" customFormat="1" hidden="1">
      <c r="A161" s="814" t="s">
        <v>674</v>
      </c>
      <c r="B161" s="814" t="s">
        <v>1182</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1542</v>
      </c>
      <c r="AM161" s="823">
        <f t="shared" si="9"/>
        <v>21.46</v>
      </c>
    </row>
    <row r="162" spans="1:39" s="824" customFormat="1" hidden="1">
      <c r="A162" s="814" t="s">
        <v>675</v>
      </c>
      <c r="B162" s="814" t="s">
        <v>1183</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1543</v>
      </c>
      <c r="AM162" s="823">
        <f t="shared" si="9"/>
        <v>302.89999999999998</v>
      </c>
    </row>
    <row r="163" spans="1:39" s="824" customFormat="1">
      <c r="A163" s="814" t="s">
        <v>676</v>
      </c>
      <c r="B163" s="814" t="s">
        <v>1184</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677</v>
      </c>
      <c r="B164" s="814" t="s">
        <v>1185</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1544</v>
      </c>
      <c r="AM164" s="823">
        <f t="shared" si="9"/>
        <v>10.9</v>
      </c>
    </row>
    <row r="165" spans="1:39" s="824" customFormat="1">
      <c r="A165" s="814" t="s">
        <v>678</v>
      </c>
      <c r="B165" s="814" t="s">
        <v>1186</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1545</v>
      </c>
      <c r="AM165" s="823">
        <f t="shared" si="9"/>
        <v>33.75</v>
      </c>
    </row>
    <row r="166" spans="1:39" s="824" customFormat="1">
      <c r="A166" s="814" t="s">
        <v>679</v>
      </c>
      <c r="B166" s="814" t="s">
        <v>1187</v>
      </c>
      <c r="C166" s="919" t="s">
        <v>48</v>
      </c>
      <c r="D166" s="837"/>
      <c r="E166" s="1023"/>
      <c r="F166" s="820"/>
      <c r="G166" s="820"/>
      <c r="H166" s="820"/>
      <c r="I166" s="819"/>
      <c r="J166" s="819"/>
      <c r="K166" s="819"/>
      <c r="L166" s="1031"/>
      <c r="M166" s="851"/>
      <c r="N166" s="851"/>
      <c r="O166" s="851"/>
      <c r="P166" s="851"/>
      <c r="Q166" s="851"/>
      <c r="R166" s="851"/>
      <c r="S166" s="1031"/>
      <c r="T166" s="1007" t="s">
        <v>1546</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1546</v>
      </c>
      <c r="AM166" s="823">
        <f t="shared" si="9"/>
        <v>1333.5</v>
      </c>
    </row>
    <row r="167" spans="1:39" s="824" customFormat="1">
      <c r="A167" s="814" t="s">
        <v>680</v>
      </c>
      <c r="B167" s="814" t="s">
        <v>1188</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681</v>
      </c>
      <c r="B168" s="814" t="s">
        <v>1189</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1547</v>
      </c>
      <c r="AM168" s="823">
        <f t="shared" si="9"/>
        <v>13.47</v>
      </c>
    </row>
    <row r="169" spans="1:39" s="824" customFormat="1">
      <c r="A169" s="814" t="s">
        <v>682</v>
      </c>
      <c r="B169" s="814" t="s">
        <v>1190</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1548</v>
      </c>
      <c r="AM169" s="823">
        <f t="shared" si="9"/>
        <v>67.660000000000011</v>
      </c>
    </row>
    <row r="170" spans="1:39" s="824" customFormat="1" hidden="1">
      <c r="A170" s="814" t="s">
        <v>683</v>
      </c>
      <c r="B170" s="814" t="s">
        <v>1191</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1549</v>
      </c>
      <c r="AM170" s="823">
        <f t="shared" si="9"/>
        <v>1781.46</v>
      </c>
    </row>
    <row r="171" spans="1:39" s="824" customFormat="1" hidden="1">
      <c r="A171" s="814" t="s">
        <v>684</v>
      </c>
      <c r="B171" s="814" t="s">
        <v>1192</v>
      </c>
      <c r="C171" s="919" t="s">
        <v>1449</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1550</v>
      </c>
      <c r="AM171" s="823">
        <f t="shared" si="9"/>
        <v>1146.1400000000001</v>
      </c>
    </row>
    <row r="172" spans="1:39" s="824" customFormat="1" hidden="1">
      <c r="A172" s="814" t="s">
        <v>685</v>
      </c>
      <c r="B172" s="814" t="s">
        <v>1193</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686</v>
      </c>
      <c r="B173" s="814" t="s">
        <v>1194</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1551</v>
      </c>
      <c r="AM173" s="823">
        <f t="shared" si="9"/>
        <v>2.57</v>
      </c>
    </row>
    <row r="174" spans="1:39" s="824" customFormat="1" hidden="1">
      <c r="A174" s="814" t="s">
        <v>687</v>
      </c>
      <c r="B174" s="814" t="s">
        <v>1195</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1493</v>
      </c>
      <c r="AM174" s="823">
        <f t="shared" si="9"/>
        <v>34.270000000000003</v>
      </c>
    </row>
    <row r="175" spans="1:39" s="824" customFormat="1" hidden="1">
      <c r="A175" s="814" t="s">
        <v>688</v>
      </c>
      <c r="B175" s="814" t="s">
        <v>1196</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1552</v>
      </c>
      <c r="AM175" s="823">
        <f t="shared" si="9"/>
        <v>178.66</v>
      </c>
    </row>
    <row r="176" spans="1:39" s="824" customFormat="1" hidden="1">
      <c r="A176" s="927" t="s">
        <v>689</v>
      </c>
      <c r="B176" s="927" t="s">
        <v>1197</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690</v>
      </c>
      <c r="B177" s="814" t="s">
        <v>1198</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1553</v>
      </c>
      <c r="AM177" s="823">
        <f t="shared" si="9"/>
        <v>377.52</v>
      </c>
    </row>
    <row r="178" spans="1:39" s="824" customFormat="1">
      <c r="A178" s="927" t="s">
        <v>691</v>
      </c>
      <c r="B178" s="927" t="s">
        <v>1199</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692</v>
      </c>
      <c r="B179" s="814" t="s">
        <v>1200</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1554</v>
      </c>
      <c r="AM179" s="823">
        <f t="shared" si="9"/>
        <v>75.400000000000006</v>
      </c>
    </row>
    <row r="180" spans="1:39" s="824" customFormat="1">
      <c r="A180" s="814" t="s">
        <v>693</v>
      </c>
      <c r="B180" s="814" t="s">
        <v>225</v>
      </c>
      <c r="C180" s="919" t="s">
        <v>1449</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1492</v>
      </c>
      <c r="AM180" s="823">
        <f t="shared" si="9"/>
        <v>12</v>
      </c>
    </row>
    <row r="181" spans="1:39" s="566" customFormat="1" hidden="1">
      <c r="A181" s="498" t="s">
        <v>515</v>
      </c>
      <c r="B181" s="614" t="s">
        <v>1209</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516</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694</v>
      </c>
      <c r="B183" s="610" t="s">
        <v>1155</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1555</v>
      </c>
      <c r="AM183" s="753">
        <f t="shared" si="9"/>
        <v>39.86</v>
      </c>
    </row>
    <row r="184" spans="1:39" s="566" customFormat="1" hidden="1">
      <c r="A184" s="610" t="s">
        <v>695</v>
      </c>
      <c r="B184" s="610" t="s">
        <v>1156</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1556</v>
      </c>
      <c r="AM184" s="753">
        <f t="shared" si="9"/>
        <v>9.1</v>
      </c>
    </row>
    <row r="185" spans="1:39" s="566" customFormat="1" hidden="1">
      <c r="A185" s="610" t="s">
        <v>696</v>
      </c>
      <c r="B185" s="610" t="s">
        <v>1157</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1557</v>
      </c>
      <c r="AM185" s="753">
        <f t="shared" si="9"/>
        <v>15.72</v>
      </c>
    </row>
    <row r="186" spans="1:39" s="566" customFormat="1" hidden="1">
      <c r="A186" s="610" t="s">
        <v>697</v>
      </c>
      <c r="B186" s="610" t="s">
        <v>1158</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1558</v>
      </c>
      <c r="AM186" s="753">
        <f t="shared" si="9"/>
        <v>22.03</v>
      </c>
    </row>
    <row r="187" spans="1:39" s="566" customFormat="1" hidden="1">
      <c r="A187" s="610" t="s">
        <v>698</v>
      </c>
      <c r="B187" s="610" t="s">
        <v>1159</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1559</v>
      </c>
      <c r="AM187" s="753">
        <f t="shared" si="9"/>
        <v>41.56</v>
      </c>
    </row>
    <row r="188" spans="1:39" s="566" customFormat="1" hidden="1">
      <c r="A188" s="610" t="s">
        <v>699</v>
      </c>
      <c r="B188" s="610" t="s">
        <v>1160</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1559</v>
      </c>
      <c r="AM188" s="753">
        <f t="shared" si="9"/>
        <v>41.56</v>
      </c>
    </row>
    <row r="189" spans="1:39" s="566" customFormat="1" hidden="1">
      <c r="A189" s="613" t="s">
        <v>700</v>
      </c>
      <c r="B189" s="613" t="s">
        <v>1161</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701</v>
      </c>
      <c r="B190" s="610" t="s">
        <v>1162</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1560</v>
      </c>
      <c r="AM190" s="753">
        <f t="shared" si="9"/>
        <v>20.28</v>
      </c>
    </row>
    <row r="191" spans="1:39" s="566" customFormat="1" hidden="1">
      <c r="A191" s="610" t="s">
        <v>702</v>
      </c>
      <c r="B191" s="610" t="s">
        <v>1202</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1561</v>
      </c>
      <c r="AM191" s="753">
        <f t="shared" si="9"/>
        <v>14.79</v>
      </c>
    </row>
    <row r="192" spans="1:39" s="566" customFormat="1" hidden="1">
      <c r="A192" s="610" t="s">
        <v>703</v>
      </c>
      <c r="B192" s="610" t="s">
        <v>1203</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1562</v>
      </c>
      <c r="AM192" s="753">
        <f t="shared" si="9"/>
        <v>3.22</v>
      </c>
    </row>
    <row r="193" spans="1:39" s="566" customFormat="1" hidden="1">
      <c r="A193" s="610" t="s">
        <v>704</v>
      </c>
      <c r="B193" s="610" t="s">
        <v>1204</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1563</v>
      </c>
      <c r="AM193" s="753">
        <f t="shared" si="9"/>
        <v>1.61</v>
      </c>
    </row>
    <row r="194" spans="1:39" s="566" customFormat="1" hidden="1">
      <c r="A194" s="610" t="s">
        <v>705</v>
      </c>
      <c r="B194" s="610" t="s">
        <v>1166</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1564</v>
      </c>
      <c r="AM194" s="753">
        <f t="shared" si="9"/>
        <v>42.4</v>
      </c>
    </row>
    <row r="195" spans="1:39" s="566" customFormat="1" hidden="1">
      <c r="A195" s="610" t="s">
        <v>706</v>
      </c>
      <c r="B195" s="610" t="s">
        <v>1167</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1558</v>
      </c>
      <c r="AM195" s="753">
        <f t="shared" si="9"/>
        <v>22.03</v>
      </c>
    </row>
    <row r="196" spans="1:39" s="566" customFormat="1" hidden="1">
      <c r="A196" s="613" t="s">
        <v>707</v>
      </c>
      <c r="B196" s="613" t="s">
        <v>1168</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708</v>
      </c>
      <c r="B197" s="610" t="s">
        <v>1169</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709</v>
      </c>
      <c r="B198" s="610" t="s">
        <v>1205</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1469</v>
      </c>
      <c r="AM198" s="753">
        <f t="shared" si="9"/>
        <v>4.6100000000000003</v>
      </c>
    </row>
    <row r="199" spans="1:39" s="566" customFormat="1" hidden="1">
      <c r="A199" s="610" t="s">
        <v>710</v>
      </c>
      <c r="B199" s="610" t="s">
        <v>1171</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1470</v>
      </c>
      <c r="AM199" s="753">
        <f t="shared" si="9"/>
        <v>192.7</v>
      </c>
    </row>
    <row r="200" spans="1:39" s="566" customFormat="1" hidden="1">
      <c r="A200" s="610" t="s">
        <v>711</v>
      </c>
      <c r="B200" s="610" t="s">
        <v>1172</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712</v>
      </c>
      <c r="B201" s="610" t="s">
        <v>1206</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1565</v>
      </c>
      <c r="AM201" s="753">
        <f t="shared" si="9"/>
        <v>2.19</v>
      </c>
    </row>
    <row r="202" spans="1:39" s="566" customFormat="1" hidden="1">
      <c r="A202" s="610" t="s">
        <v>713</v>
      </c>
      <c r="B202" s="610" t="s">
        <v>1174</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1566</v>
      </c>
      <c r="AM202" s="753">
        <f t="shared" si="9"/>
        <v>17.489999999999998</v>
      </c>
    </row>
    <row r="203" spans="1:39" s="566" customFormat="1" hidden="1">
      <c r="A203" s="610" t="s">
        <v>714</v>
      </c>
      <c r="B203" s="610" t="s">
        <v>1175</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1567</v>
      </c>
      <c r="AM203" s="753">
        <f t="shared" si="9"/>
        <v>179.25</v>
      </c>
    </row>
    <row r="204" spans="1:39" s="566" customFormat="1" hidden="1">
      <c r="A204" s="610" t="s">
        <v>715</v>
      </c>
      <c r="B204" s="610" t="s">
        <v>1176</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716</v>
      </c>
      <c r="B205" s="610" t="s">
        <v>1207</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1531</v>
      </c>
      <c r="AM205" s="753">
        <f t="shared" si="9"/>
        <v>2.1800000000000002</v>
      </c>
    </row>
    <row r="206" spans="1:39" s="566" customFormat="1" hidden="1">
      <c r="A206" s="610" t="s">
        <v>717</v>
      </c>
      <c r="B206" s="610" t="s">
        <v>1178</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1568</v>
      </c>
      <c r="AM206" s="753">
        <f t="shared" ref="AM206:AM269" si="12">AL206-AK206</f>
        <v>34.799999999999997</v>
      </c>
    </row>
    <row r="207" spans="1:39" s="566" customFormat="1" hidden="1">
      <c r="A207" s="610" t="s">
        <v>718</v>
      </c>
      <c r="B207" s="610" t="s">
        <v>1179</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1569</v>
      </c>
      <c r="AM207" s="753">
        <f t="shared" si="12"/>
        <v>314.66000000000003</v>
      </c>
    </row>
    <row r="208" spans="1:39" s="566" customFormat="1" hidden="1">
      <c r="A208" s="610" t="s">
        <v>719</v>
      </c>
      <c r="B208" s="610" t="s">
        <v>1180</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720</v>
      </c>
      <c r="B209" s="610" t="s">
        <v>1181</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1477</v>
      </c>
      <c r="AM209" s="753">
        <f t="shared" si="12"/>
        <v>1.49</v>
      </c>
    </row>
    <row r="210" spans="1:39" s="566" customFormat="1" hidden="1">
      <c r="A210" s="610" t="s">
        <v>721</v>
      </c>
      <c r="B210" s="610" t="s">
        <v>1182</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1478</v>
      </c>
      <c r="AM210" s="753">
        <f t="shared" si="12"/>
        <v>19.71</v>
      </c>
    </row>
    <row r="211" spans="1:39" s="566" customFormat="1" hidden="1">
      <c r="A211" s="610" t="s">
        <v>722</v>
      </c>
      <c r="B211" s="610" t="s">
        <v>1183</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1479</v>
      </c>
      <c r="AM211" s="753">
        <f t="shared" si="12"/>
        <v>659.98</v>
      </c>
    </row>
    <row r="212" spans="1:39" s="566" customFormat="1" hidden="1">
      <c r="A212" s="610" t="s">
        <v>723</v>
      </c>
      <c r="B212" s="610" t="s">
        <v>1184</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724</v>
      </c>
      <c r="B213" s="610" t="s">
        <v>1185</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1570</v>
      </c>
      <c r="AM213" s="753">
        <f t="shared" si="12"/>
        <v>5.6</v>
      </c>
    </row>
    <row r="214" spans="1:39" s="566" customFormat="1" hidden="1">
      <c r="A214" s="610" t="s">
        <v>725</v>
      </c>
      <c r="B214" s="610" t="s">
        <v>1186</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1571</v>
      </c>
      <c r="AM214" s="753">
        <f t="shared" si="12"/>
        <v>48.75</v>
      </c>
    </row>
    <row r="215" spans="1:39" s="566" customFormat="1" hidden="1">
      <c r="A215" s="610" t="s">
        <v>726</v>
      </c>
      <c r="B215" s="610" t="s">
        <v>1187</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1572</v>
      </c>
      <c r="AM215" s="753">
        <f t="shared" si="12"/>
        <v>642.09</v>
      </c>
    </row>
    <row r="216" spans="1:39" s="566" customFormat="1" hidden="1">
      <c r="A216" s="610" t="s">
        <v>727</v>
      </c>
      <c r="B216" s="610" t="s">
        <v>1188</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728</v>
      </c>
      <c r="B217" s="610" t="s">
        <v>1189</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1573</v>
      </c>
      <c r="AM217" s="753">
        <f t="shared" si="12"/>
        <v>3.36</v>
      </c>
    </row>
    <row r="218" spans="1:39" s="566" customFormat="1" hidden="1">
      <c r="A218" s="610" t="s">
        <v>729</v>
      </c>
      <c r="B218" s="610" t="s">
        <v>1190</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1574</v>
      </c>
      <c r="AM218" s="753">
        <f t="shared" si="12"/>
        <v>38.35</v>
      </c>
    </row>
    <row r="219" spans="1:39" s="566" customFormat="1" hidden="1">
      <c r="A219" s="610" t="s">
        <v>730</v>
      </c>
      <c r="B219" s="610" t="s">
        <v>1191</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1575</v>
      </c>
      <c r="AM219" s="753">
        <f t="shared" si="12"/>
        <v>276.95999999999998</v>
      </c>
    </row>
    <row r="220" spans="1:39" s="566" customFormat="1" hidden="1">
      <c r="A220" s="610" t="s">
        <v>731</v>
      </c>
      <c r="B220" s="610" t="s">
        <v>1192</v>
      </c>
      <c r="C220" s="620" t="s">
        <v>1449</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1576</v>
      </c>
      <c r="AM220" s="753">
        <f t="shared" si="12"/>
        <v>319.48</v>
      </c>
    </row>
    <row r="221" spans="1:39" s="566" customFormat="1" hidden="1">
      <c r="A221" s="610" t="s">
        <v>732</v>
      </c>
      <c r="B221" s="610" t="s">
        <v>1193</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733</v>
      </c>
      <c r="B222" s="610" t="s">
        <v>1194</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1577</v>
      </c>
      <c r="AM222" s="753">
        <f t="shared" si="12"/>
        <v>1.03</v>
      </c>
    </row>
    <row r="223" spans="1:39" s="566" customFormat="1" hidden="1">
      <c r="A223" s="610" t="s">
        <v>734</v>
      </c>
      <c r="B223" s="610" t="s">
        <v>1195</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1578</v>
      </c>
      <c r="AM223" s="753">
        <f t="shared" si="12"/>
        <v>13.74</v>
      </c>
    </row>
    <row r="224" spans="1:39" s="566" customFormat="1" hidden="1">
      <c r="A224" s="610" t="s">
        <v>735</v>
      </c>
      <c r="B224" s="610" t="s">
        <v>1196</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1579</v>
      </c>
      <c r="AM224" s="753">
        <f t="shared" si="12"/>
        <v>65.349999999999994</v>
      </c>
    </row>
    <row r="225" spans="1:39" s="566" customFormat="1" hidden="1">
      <c r="A225" s="613" t="s">
        <v>736</v>
      </c>
      <c r="B225" s="613" t="s">
        <v>1197</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737</v>
      </c>
      <c r="B226" s="610" t="s">
        <v>1198</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1580</v>
      </c>
      <c r="AM226" s="753">
        <f t="shared" si="12"/>
        <v>110.7</v>
      </c>
    </row>
    <row r="227" spans="1:39" s="566" customFormat="1" hidden="1">
      <c r="A227" s="613" t="s">
        <v>738</v>
      </c>
      <c r="B227" s="613" t="s">
        <v>1199</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739</v>
      </c>
      <c r="B228" s="610" t="s">
        <v>1200</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1581</v>
      </c>
      <c r="AM228" s="753">
        <f t="shared" si="12"/>
        <v>46</v>
      </c>
    </row>
    <row r="229" spans="1:39" s="566" customFormat="1" hidden="1">
      <c r="A229" s="610" t="s">
        <v>740</v>
      </c>
      <c r="B229" s="610" t="s">
        <v>225</v>
      </c>
      <c r="C229" s="620" t="s">
        <v>1449</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1492</v>
      </c>
      <c r="AM229" s="753">
        <f t="shared" si="12"/>
        <v>15</v>
      </c>
    </row>
    <row r="230" spans="1:39" s="824" customFormat="1">
      <c r="A230" s="910" t="s">
        <v>741</v>
      </c>
      <c r="B230" s="911" t="s">
        <v>1210</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742</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743</v>
      </c>
      <c r="B232" s="814" t="s">
        <v>1211</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1582</v>
      </c>
      <c r="AM232" s="823">
        <f t="shared" si="12"/>
        <v>424.76</v>
      </c>
    </row>
    <row r="233" spans="1:39" s="939" customFormat="1" hidden="1">
      <c r="A233" s="928" t="s">
        <v>744</v>
      </c>
      <c r="B233" s="928" t="s">
        <v>1160</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1583</v>
      </c>
      <c r="AM233" s="938">
        <f t="shared" si="12"/>
        <v>560.87</v>
      </c>
    </row>
    <row r="234" spans="1:39" s="824" customFormat="1">
      <c r="A234" s="927" t="s">
        <v>745</v>
      </c>
      <c r="B234" s="927" t="s">
        <v>1161</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746</v>
      </c>
      <c r="B235" s="814" t="s">
        <v>1203</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1584</v>
      </c>
      <c r="AM235" s="823">
        <f t="shared" si="12"/>
        <v>7.19</v>
      </c>
    </row>
    <row r="236" spans="1:39" s="824" customFormat="1">
      <c r="A236" s="927" t="s">
        <v>747</v>
      </c>
      <c r="B236" s="927" t="s">
        <v>1168</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748</v>
      </c>
      <c r="B237" s="814" t="s">
        <v>1176</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749</v>
      </c>
      <c r="B238" s="814" t="s">
        <v>1207</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1585</v>
      </c>
      <c r="AM238" s="823">
        <f t="shared" si="12"/>
        <v>4.8899999999999997</v>
      </c>
    </row>
    <row r="239" spans="1:39" s="824" customFormat="1">
      <c r="A239" s="814" t="s">
        <v>750</v>
      </c>
      <c r="B239" s="814" t="s">
        <v>1178</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1586</v>
      </c>
      <c r="AM239" s="823">
        <f t="shared" si="12"/>
        <v>76.69</v>
      </c>
    </row>
    <row r="240" spans="1:39" s="824" customFormat="1">
      <c r="A240" s="814" t="s">
        <v>751</v>
      </c>
      <c r="B240" s="814" t="s">
        <v>1179</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1587</v>
      </c>
      <c r="AM240" s="823">
        <f t="shared" si="12"/>
        <v>323.79999999999995</v>
      </c>
    </row>
    <row r="241" spans="1:39" s="824" customFormat="1" hidden="1">
      <c r="A241" s="814" t="s">
        <v>752</v>
      </c>
      <c r="B241" s="814" t="s">
        <v>1184</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753</v>
      </c>
      <c r="B242" s="814" t="s">
        <v>1185</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1588</v>
      </c>
      <c r="AM242" s="823">
        <f t="shared" si="12"/>
        <v>4.2300000000000004</v>
      </c>
    </row>
    <row r="243" spans="1:39" s="824" customFormat="1" hidden="1">
      <c r="A243" s="814" t="s">
        <v>754</v>
      </c>
      <c r="B243" s="814" t="s">
        <v>1186</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1589</v>
      </c>
      <c r="AM243" s="823">
        <f t="shared" si="12"/>
        <v>49.66</v>
      </c>
    </row>
    <row r="244" spans="1:39" s="824" customFormat="1" hidden="1">
      <c r="A244" s="814" t="s">
        <v>755</v>
      </c>
      <c r="B244" s="814" t="s">
        <v>1187</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1590</v>
      </c>
      <c r="AM244" s="823">
        <f t="shared" si="12"/>
        <v>483.02</v>
      </c>
    </row>
    <row r="245" spans="1:39" s="824" customFormat="1">
      <c r="A245" s="814" t="s">
        <v>756</v>
      </c>
      <c r="B245" s="814" t="s">
        <v>1212</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757</v>
      </c>
      <c r="B246" s="814" t="s">
        <v>1204</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1591</v>
      </c>
      <c r="AM246" s="823">
        <f t="shared" si="12"/>
        <v>2.79</v>
      </c>
    </row>
    <row r="247" spans="1:39" s="824" customFormat="1">
      <c r="A247" s="814" t="s">
        <v>758</v>
      </c>
      <c r="B247" s="814" t="s">
        <v>1213</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1592</v>
      </c>
      <c r="AM247" s="823">
        <f t="shared" si="12"/>
        <v>37.200000000000003</v>
      </c>
    </row>
    <row r="248" spans="1:39" s="824" customFormat="1">
      <c r="A248" s="814" t="s">
        <v>759</v>
      </c>
      <c r="B248" s="814" t="s">
        <v>1214</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1593</v>
      </c>
      <c r="AM248" s="823">
        <f t="shared" si="12"/>
        <v>183.54000000000002</v>
      </c>
    </row>
    <row r="249" spans="1:39" s="824" customFormat="1" hidden="1">
      <c r="A249" s="927" t="s">
        <v>760</v>
      </c>
      <c r="B249" s="927" t="s">
        <v>1199</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761</v>
      </c>
      <c r="B250" s="814" t="s">
        <v>1215</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1594</v>
      </c>
      <c r="AM250" s="823">
        <f t="shared" si="12"/>
        <v>36</v>
      </c>
    </row>
    <row r="251" spans="1:39" s="824" customFormat="1">
      <c r="A251" s="910" t="s">
        <v>762</v>
      </c>
      <c r="B251" s="911" t="s">
        <v>1216</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763</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764</v>
      </c>
      <c r="B253" s="814" t="s">
        <v>1211</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1595</v>
      </c>
      <c r="AM253" s="823">
        <f t="shared" si="12"/>
        <v>441.64</v>
      </c>
    </row>
    <row r="254" spans="1:39" s="824" customFormat="1" hidden="1">
      <c r="A254" s="814" t="s">
        <v>765</v>
      </c>
      <c r="B254" s="814" t="s">
        <v>1160</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1596</v>
      </c>
      <c r="AM254" s="823">
        <f t="shared" si="12"/>
        <v>574.13</v>
      </c>
    </row>
    <row r="255" spans="1:39" s="824" customFormat="1">
      <c r="A255" s="927" t="s">
        <v>766</v>
      </c>
      <c r="B255" s="927" t="s">
        <v>1217</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767</v>
      </c>
      <c r="B256" s="814" t="s">
        <v>1218</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1597</v>
      </c>
      <c r="AM256" s="823">
        <f t="shared" si="12"/>
        <v>193.39999999999998</v>
      </c>
    </row>
    <row r="257" spans="1:39" s="824" customFormat="1">
      <c r="A257" s="814" t="s">
        <v>768</v>
      </c>
      <c r="B257" s="814" t="s">
        <v>1219</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1598</v>
      </c>
      <c r="AM257" s="823">
        <f t="shared" si="12"/>
        <v>493.91000000000008</v>
      </c>
    </row>
    <row r="258" spans="1:39" s="824" customFormat="1">
      <c r="A258" s="814" t="s">
        <v>769</v>
      </c>
      <c r="B258" s="814" t="s">
        <v>1220</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1599</v>
      </c>
      <c r="AM258" s="823">
        <f t="shared" si="12"/>
        <v>14858.74</v>
      </c>
    </row>
    <row r="259" spans="1:39" s="824" customFormat="1" hidden="1">
      <c r="A259" s="927" t="s">
        <v>770</v>
      </c>
      <c r="B259" s="927" t="s">
        <v>1199</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771</v>
      </c>
      <c r="B260" s="814" t="s">
        <v>1221</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1600</v>
      </c>
      <c r="AM260" s="823">
        <f t="shared" si="12"/>
        <v>111.93</v>
      </c>
    </row>
    <row r="261" spans="1:39" s="824" customFormat="1" hidden="1">
      <c r="A261" s="814" t="s">
        <v>772</v>
      </c>
      <c r="B261" s="814" t="s">
        <v>225</v>
      </c>
      <c r="C261" s="919" t="s">
        <v>1449</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1601</v>
      </c>
      <c r="AM261" s="823">
        <f t="shared" si="12"/>
        <v>24</v>
      </c>
    </row>
    <row r="262" spans="1:39" s="824" customFormat="1">
      <c r="A262" s="910" t="s">
        <v>773</v>
      </c>
      <c r="B262" s="911" t="s">
        <v>1222</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774</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775</v>
      </c>
      <c r="B264" s="814" t="s">
        <v>1211</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1602</v>
      </c>
      <c r="AM264" s="823">
        <f t="shared" si="12"/>
        <v>95.88</v>
      </c>
    </row>
    <row r="265" spans="1:39" s="824" customFormat="1" hidden="1">
      <c r="A265" s="814" t="s">
        <v>776</v>
      </c>
      <c r="B265" s="814" t="s">
        <v>1160</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1603</v>
      </c>
      <c r="AM265" s="823">
        <f t="shared" si="12"/>
        <v>124.65</v>
      </c>
    </row>
    <row r="266" spans="1:39" s="824" customFormat="1">
      <c r="A266" s="927" t="s">
        <v>777</v>
      </c>
      <c r="B266" s="927" t="s">
        <v>1161</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778</v>
      </c>
      <c r="B267" s="814" t="s">
        <v>1203</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1604</v>
      </c>
      <c r="AM267" s="823">
        <f t="shared" si="12"/>
        <v>45.09</v>
      </c>
    </row>
    <row r="268" spans="1:39" s="824" customFormat="1" ht="13.5" thickBot="1">
      <c r="A268" s="814" t="s">
        <v>779</v>
      </c>
      <c r="B268" s="814" t="s">
        <v>1223</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1605</v>
      </c>
      <c r="AM268" s="823">
        <f t="shared" si="12"/>
        <v>127.68</v>
      </c>
    </row>
    <row r="269" spans="1:39" s="566" customFormat="1" hidden="1">
      <c r="A269" s="498" t="s">
        <v>780</v>
      </c>
      <c r="B269" s="614" t="s">
        <v>1224</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781</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782</v>
      </c>
      <c r="B271" s="610" t="s">
        <v>1225</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1606</v>
      </c>
      <c r="AM271" s="753">
        <f t="shared" si="15"/>
        <v>2.81</v>
      </c>
    </row>
    <row r="272" spans="1:39" s="566" customFormat="1" hidden="1">
      <c r="A272" s="610" t="s">
        <v>783</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1607</v>
      </c>
      <c r="AM272" s="753">
        <f t="shared" si="15"/>
        <v>60</v>
      </c>
    </row>
    <row r="273" spans="1:39" s="566" customFormat="1" hidden="1">
      <c r="A273" s="610" t="s">
        <v>784</v>
      </c>
      <c r="B273" s="610" t="s">
        <v>1160</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1608</v>
      </c>
      <c r="AM273" s="753">
        <f t="shared" si="15"/>
        <v>3.51</v>
      </c>
    </row>
    <row r="274" spans="1:39" s="566" customFormat="1" hidden="1">
      <c r="A274" s="613" t="s">
        <v>785</v>
      </c>
      <c r="B274" s="613" t="s">
        <v>1161</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786</v>
      </c>
      <c r="B275" s="610" t="s">
        <v>1202</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1609</v>
      </c>
      <c r="AM275" s="753">
        <f t="shared" si="15"/>
        <v>2.16</v>
      </c>
    </row>
    <row r="276" spans="1:39" s="566" customFormat="1" hidden="1">
      <c r="A276" s="610" t="s">
        <v>787</v>
      </c>
      <c r="B276" s="610" t="s">
        <v>1226</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1607</v>
      </c>
      <c r="AM276" s="753">
        <f t="shared" si="15"/>
        <v>60</v>
      </c>
    </row>
    <row r="277" spans="1:39" s="566" customFormat="1" hidden="1">
      <c r="A277" s="613" t="s">
        <v>788</v>
      </c>
      <c r="B277" s="613" t="s">
        <v>1168</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789</v>
      </c>
      <c r="B278" s="610" t="s">
        <v>1169</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790</v>
      </c>
      <c r="B279" s="610" t="s">
        <v>1205</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1610</v>
      </c>
      <c r="AM279" s="753">
        <f t="shared" si="15"/>
        <v>2.52</v>
      </c>
    </row>
    <row r="280" spans="1:39" s="566" customFormat="1" hidden="1">
      <c r="A280" s="610" t="s">
        <v>791</v>
      </c>
      <c r="B280" s="610" t="s">
        <v>1171</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1611</v>
      </c>
      <c r="AM280" s="753">
        <f t="shared" si="15"/>
        <v>186.08</v>
      </c>
    </row>
    <row r="281" spans="1:39" s="566" customFormat="1" hidden="1">
      <c r="A281" s="613" t="s">
        <v>792</v>
      </c>
      <c r="B281" s="613" t="s">
        <v>1227</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793</v>
      </c>
      <c r="B282" s="610" t="s">
        <v>1228</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1612</v>
      </c>
      <c r="AM282" s="753">
        <f t="shared" si="15"/>
        <v>899.99</v>
      </c>
    </row>
    <row r="283" spans="1:39" s="566" customFormat="1" hidden="1">
      <c r="A283" s="610" t="s">
        <v>794</v>
      </c>
      <c r="B283" s="610" t="s">
        <v>1229</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1613</v>
      </c>
      <c r="AM283" s="753">
        <f t="shared" si="15"/>
        <v>394.52</v>
      </c>
    </row>
    <row r="284" spans="1:39" s="566" customFormat="1" hidden="1">
      <c r="A284" s="610" t="s">
        <v>795</v>
      </c>
      <c r="B284" s="610" t="s">
        <v>1230</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1614</v>
      </c>
      <c r="AM284" s="753">
        <f t="shared" si="15"/>
        <v>271.91000000000003</v>
      </c>
    </row>
    <row r="285" spans="1:39" s="566" customFormat="1" hidden="1">
      <c r="A285" s="610" t="s">
        <v>796</v>
      </c>
      <c r="B285" s="610" t="s">
        <v>1231</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1615</v>
      </c>
      <c r="AM285" s="753">
        <f t="shared" si="15"/>
        <v>80.92</v>
      </c>
    </row>
    <row r="286" spans="1:39" s="566" customFormat="1" hidden="1">
      <c r="A286" s="610" t="s">
        <v>797</v>
      </c>
      <c r="B286" s="610" t="s">
        <v>1232</v>
      </c>
      <c r="C286" s="620" t="s">
        <v>1449</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1616</v>
      </c>
      <c r="AM286" s="753">
        <f t="shared" si="15"/>
        <v>6</v>
      </c>
    </row>
    <row r="287" spans="1:39" s="566" customFormat="1" hidden="1">
      <c r="A287" s="613" t="s">
        <v>798</v>
      </c>
      <c r="B287" s="613" t="s">
        <v>1199</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5" hidden="1" thickBot="1">
      <c r="A288" s="610" t="s">
        <v>799</v>
      </c>
      <c r="B288" s="610" t="s">
        <v>225</v>
      </c>
      <c r="C288" s="620" t="s">
        <v>1449</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1617</v>
      </c>
      <c r="AM288" s="753">
        <f t="shared" si="15"/>
        <v>3</v>
      </c>
    </row>
    <row r="289" spans="1:39" s="824" customFormat="1">
      <c r="A289" s="912" t="s">
        <v>45</v>
      </c>
      <c r="B289" s="912" t="s">
        <v>1233</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1234</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1235</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800</v>
      </c>
      <c r="B292" s="814" t="s">
        <v>1236</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1618</v>
      </c>
      <c r="AM292" s="823">
        <f t="shared" si="15"/>
        <v>69.929999999999993</v>
      </c>
    </row>
    <row r="293" spans="1:39" s="824" customFormat="1" hidden="1">
      <c r="A293" s="814" t="s">
        <v>801</v>
      </c>
      <c r="B293" s="814" t="s">
        <v>1237</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1619</v>
      </c>
      <c r="AM293" s="823">
        <f t="shared" si="15"/>
        <v>15.22</v>
      </c>
    </row>
    <row r="294" spans="1:39" s="566" customFormat="1" hidden="1">
      <c r="A294" s="613" t="s">
        <v>50</v>
      </c>
      <c r="B294" s="613" t="s">
        <v>1238</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802</v>
      </c>
      <c r="B295" s="610" t="s">
        <v>1239</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1620</v>
      </c>
      <c r="AM295" s="753">
        <f t="shared" si="15"/>
        <v>123.1</v>
      </c>
    </row>
    <row r="296" spans="1:39" s="566" customFormat="1" hidden="1">
      <c r="A296" s="610" t="s">
        <v>803</v>
      </c>
      <c r="B296" s="610" t="s">
        <v>1240</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1621</v>
      </c>
      <c r="AM296" s="753">
        <f t="shared" si="15"/>
        <v>54.38</v>
      </c>
    </row>
    <row r="297" spans="1:39" s="566" customFormat="1" hidden="1">
      <c r="A297" s="610" t="s">
        <v>804</v>
      </c>
      <c r="B297" s="610" t="s">
        <v>1241</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1622</v>
      </c>
      <c r="AM297" s="753">
        <f t="shared" si="15"/>
        <v>34.44</v>
      </c>
    </row>
    <row r="298" spans="1:39" s="566" customFormat="1" hidden="1">
      <c r="A298" s="610" t="s">
        <v>805</v>
      </c>
      <c r="B298" s="610" t="s">
        <v>1242</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1623</v>
      </c>
      <c r="AM298" s="753">
        <f t="shared" si="15"/>
        <v>30.39</v>
      </c>
    </row>
    <row r="299" spans="1:39" s="566" customFormat="1" hidden="1">
      <c r="A299" s="610" t="s">
        <v>806</v>
      </c>
      <c r="B299" s="610" t="s">
        <v>1243</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1624</v>
      </c>
      <c r="AM299" s="753">
        <f t="shared" si="15"/>
        <v>39.17</v>
      </c>
    </row>
    <row r="300" spans="1:39" s="566" customFormat="1" hidden="1">
      <c r="A300" s="610" t="s">
        <v>807</v>
      </c>
      <c r="B300" s="610" t="s">
        <v>1244</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1625</v>
      </c>
      <c r="AM300" s="753">
        <f t="shared" si="15"/>
        <v>68.38</v>
      </c>
    </row>
    <row r="301" spans="1:39" s="566" customFormat="1" hidden="1">
      <c r="A301" s="610" t="s">
        <v>808</v>
      </c>
      <c r="B301" s="610" t="s">
        <v>1245</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1626</v>
      </c>
      <c r="AM301" s="753">
        <f t="shared" si="15"/>
        <v>228.32</v>
      </c>
    </row>
    <row r="302" spans="1:39" s="566" customFormat="1" hidden="1">
      <c r="A302" s="613" t="s">
        <v>51</v>
      </c>
      <c r="B302" s="613" t="s">
        <v>1246</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809</v>
      </c>
      <c r="B303" s="610" t="s">
        <v>1247</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1627</v>
      </c>
      <c r="AM303" s="753">
        <f t="shared" si="15"/>
        <v>90.62</v>
      </c>
    </row>
    <row r="304" spans="1:39" s="824" customFormat="1" hidden="1">
      <c r="A304" s="927" t="s">
        <v>277</v>
      </c>
      <c r="B304" s="927" t="s">
        <v>1248</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810</v>
      </c>
      <c r="B305" s="814" t="s">
        <v>1249</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1628</v>
      </c>
      <c r="AM305" s="823">
        <f t="shared" si="15"/>
        <v>72.22</v>
      </c>
    </row>
    <row r="306" spans="1:39" s="566" customFormat="1" hidden="1">
      <c r="A306" s="610" t="s">
        <v>811</v>
      </c>
      <c r="B306" s="610" t="s">
        <v>1250</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1629</v>
      </c>
      <c r="AM306" s="753">
        <f t="shared" si="15"/>
        <v>56.44</v>
      </c>
    </row>
    <row r="307" spans="1:39" s="566" customFormat="1" hidden="1">
      <c r="A307" s="610" t="s">
        <v>812</v>
      </c>
      <c r="B307" s="610" t="s">
        <v>1251</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1630</v>
      </c>
      <c r="AM307" s="753">
        <f t="shared" si="15"/>
        <v>15.78</v>
      </c>
    </row>
    <row r="308" spans="1:39" s="566" customFormat="1" hidden="1">
      <c r="A308" s="613" t="s">
        <v>279</v>
      </c>
      <c r="B308" s="613" t="s">
        <v>1252</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813</v>
      </c>
      <c r="B309" s="610" t="s">
        <v>1253</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1631</v>
      </c>
      <c r="AM309" s="753">
        <f t="shared" si="15"/>
        <v>11.52</v>
      </c>
    </row>
    <row r="310" spans="1:39" s="566" customFormat="1" hidden="1">
      <c r="A310" s="610" t="s">
        <v>814</v>
      </c>
      <c r="B310" s="610" t="s">
        <v>1254</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1632</v>
      </c>
      <c r="AM310" s="753">
        <f t="shared" si="15"/>
        <v>5.18</v>
      </c>
    </row>
    <row r="311" spans="1:39" s="566" customFormat="1" hidden="1">
      <c r="A311" s="613" t="s">
        <v>280</v>
      </c>
      <c r="B311" s="613" t="s">
        <v>1255</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815</v>
      </c>
      <c r="B312" s="610" t="s">
        <v>1256</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1633</v>
      </c>
      <c r="AM312" s="753">
        <f t="shared" si="15"/>
        <v>73.5</v>
      </c>
    </row>
    <row r="313" spans="1:39" s="566" customFormat="1" hidden="1">
      <c r="A313" s="613" t="s">
        <v>281</v>
      </c>
      <c r="B313" s="613" t="s">
        <v>1257</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816</v>
      </c>
      <c r="B314" s="610" t="s">
        <v>1258</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1634</v>
      </c>
      <c r="AM314" s="753">
        <f t="shared" si="15"/>
        <v>15.8</v>
      </c>
    </row>
    <row r="315" spans="1:39" s="566" customFormat="1" hidden="1">
      <c r="A315" s="610" t="s">
        <v>817</v>
      </c>
      <c r="B315" s="610" t="s">
        <v>1259</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1635</v>
      </c>
      <c r="AM315" s="753">
        <f t="shared" si="15"/>
        <v>27.62</v>
      </c>
    </row>
    <row r="316" spans="1:39" s="566" customFormat="1" hidden="1">
      <c r="A316" s="610" t="s">
        <v>818</v>
      </c>
      <c r="B316" s="610" t="s">
        <v>1260</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1636</v>
      </c>
      <c r="AM316" s="753">
        <f t="shared" si="15"/>
        <v>30.2</v>
      </c>
    </row>
    <row r="317" spans="1:39" s="566" customFormat="1" hidden="1">
      <c r="A317" s="613" t="s">
        <v>282</v>
      </c>
      <c r="B317" s="613" t="s">
        <v>1197</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819</v>
      </c>
      <c r="B318" s="610" t="s">
        <v>1261</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1637</v>
      </c>
      <c r="AM318" s="753">
        <f t="shared" si="15"/>
        <v>90.78</v>
      </c>
    </row>
    <row r="319" spans="1:39" s="566" customFormat="1" hidden="1">
      <c r="A319" s="610" t="s">
        <v>820</v>
      </c>
      <c r="B319" s="610" t="s">
        <v>1262</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1638</v>
      </c>
      <c r="AM319" s="753">
        <f t="shared" si="15"/>
        <v>29.18</v>
      </c>
    </row>
    <row r="320" spans="1:39" s="566" customFormat="1" hidden="1">
      <c r="A320" s="613" t="s">
        <v>821</v>
      </c>
      <c r="B320" s="613" t="s">
        <v>1263</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822</v>
      </c>
      <c r="B321" s="610" t="s">
        <v>1264</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1639</v>
      </c>
      <c r="AM321" s="753">
        <f t="shared" si="15"/>
        <v>6.3</v>
      </c>
    </row>
    <row r="322" spans="1:39" s="566" customFormat="1" hidden="1">
      <c r="A322" s="613" t="s">
        <v>823</v>
      </c>
      <c r="B322" s="613" t="s">
        <v>1265</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824</v>
      </c>
      <c r="B323" s="610" t="s">
        <v>1266</v>
      </c>
      <c r="C323" s="620" t="s">
        <v>1450</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1640</v>
      </c>
      <c r="AM323" s="753">
        <f t="shared" si="15"/>
        <v>9</v>
      </c>
    </row>
    <row r="324" spans="1:39" s="566" customFormat="1" hidden="1">
      <c r="A324" s="610" t="s">
        <v>825</v>
      </c>
      <c r="B324" s="610" t="s">
        <v>1267</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1617</v>
      </c>
      <c r="AM324" s="753">
        <f t="shared" si="15"/>
        <v>3</v>
      </c>
    </row>
    <row r="325" spans="1:39" s="566" customFormat="1" hidden="1">
      <c r="A325" s="613" t="s">
        <v>826</v>
      </c>
      <c r="B325" s="613" t="s">
        <v>1268</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827</v>
      </c>
      <c r="B326" s="610" t="s">
        <v>1269</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1641</v>
      </c>
      <c r="AM326" s="753">
        <f t="shared" si="15"/>
        <v>19.149999999999999</v>
      </c>
    </row>
    <row r="327" spans="1:39" s="566" customFormat="1" hidden="1">
      <c r="A327" s="610" t="s">
        <v>828</v>
      </c>
      <c r="B327" s="610" t="s">
        <v>1270</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1642</v>
      </c>
      <c r="AM327" s="753">
        <f t="shared" si="15"/>
        <v>1.5</v>
      </c>
    </row>
    <row r="328" spans="1:39" s="566" customFormat="1" hidden="1">
      <c r="A328" s="613" t="s">
        <v>829</v>
      </c>
      <c r="B328" s="613" t="s">
        <v>1271</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830</v>
      </c>
      <c r="B329" s="610" t="s">
        <v>1272</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1627</v>
      </c>
      <c r="AM329" s="753">
        <f t="shared" si="15"/>
        <v>90.62</v>
      </c>
    </row>
    <row r="330" spans="1:39" s="566" customFormat="1" hidden="1">
      <c r="A330" s="610" t="s">
        <v>831</v>
      </c>
      <c r="B330" s="610" t="s">
        <v>1273</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1620</v>
      </c>
      <c r="AM330" s="753">
        <f t="shared" si="15"/>
        <v>123.1</v>
      </c>
    </row>
    <row r="331" spans="1:39" s="566" customFormat="1" hidden="1">
      <c r="A331" s="610" t="s">
        <v>832</v>
      </c>
      <c r="B331" s="610" t="s">
        <v>1274</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1621</v>
      </c>
      <c r="AM331" s="753">
        <f t="shared" si="15"/>
        <v>54.38</v>
      </c>
    </row>
    <row r="332" spans="1:39" s="566" customFormat="1" hidden="1">
      <c r="A332" s="610" t="s">
        <v>833</v>
      </c>
      <c r="B332" s="610" t="s">
        <v>1275</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1622</v>
      </c>
      <c r="AM332" s="753">
        <f t="shared" si="15"/>
        <v>34.44</v>
      </c>
    </row>
    <row r="333" spans="1:39" s="566" customFormat="1" hidden="1">
      <c r="A333" s="610" t="s">
        <v>834</v>
      </c>
      <c r="B333" s="610" t="s">
        <v>1276</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1623</v>
      </c>
      <c r="AM333" s="753">
        <f t="shared" si="15"/>
        <v>30.39</v>
      </c>
    </row>
    <row r="334" spans="1:39" s="566" customFormat="1" hidden="1">
      <c r="A334" s="610" t="s">
        <v>835</v>
      </c>
      <c r="B334" s="610" t="s">
        <v>1277</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1634</v>
      </c>
      <c r="AM334" s="753">
        <f t="shared" ref="AM334:AM397" si="18">AL334-AK334</f>
        <v>15.8</v>
      </c>
    </row>
    <row r="335" spans="1:39" s="566" customFormat="1" hidden="1">
      <c r="A335" s="610" t="s">
        <v>836</v>
      </c>
      <c r="B335" s="610" t="s">
        <v>1278</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1643</v>
      </c>
      <c r="AM335" s="753">
        <f t="shared" si="18"/>
        <v>12.6</v>
      </c>
    </row>
    <row r="336" spans="1:39" s="566" customFormat="1" hidden="1">
      <c r="A336" s="613" t="s">
        <v>837</v>
      </c>
      <c r="B336" s="613" t="s">
        <v>1279</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838</v>
      </c>
      <c r="B337" s="610" t="s">
        <v>1280</v>
      </c>
      <c r="C337" s="620" t="s">
        <v>1449</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1640</v>
      </c>
      <c r="AM337" s="753">
        <f t="shared" si="18"/>
        <v>9</v>
      </c>
    </row>
    <row r="338" spans="1:39" s="566" customFormat="1" hidden="1">
      <c r="A338" s="610" t="s">
        <v>839</v>
      </c>
      <c r="B338" s="610" t="s">
        <v>1281</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1454</v>
      </c>
      <c r="AM338" s="753">
        <f t="shared" si="18"/>
        <v>1</v>
      </c>
    </row>
    <row r="339" spans="1:39" s="566" customFormat="1" hidden="1">
      <c r="A339" s="610" t="s">
        <v>840</v>
      </c>
      <c r="B339" s="610" t="s">
        <v>1282</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1644</v>
      </c>
      <c r="AM339" s="753">
        <f t="shared" si="18"/>
        <v>21.02</v>
      </c>
    </row>
    <row r="340" spans="1:39" s="824" customFormat="1" hidden="1">
      <c r="A340" s="910" t="s">
        <v>474</v>
      </c>
      <c r="B340" s="911" t="s">
        <v>1283</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475</v>
      </c>
      <c r="B341" s="927" t="s">
        <v>1235</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841</v>
      </c>
      <c r="B342" s="814" t="s">
        <v>1236</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1645</v>
      </c>
      <c r="AM342" s="823">
        <f t="shared" si="18"/>
        <v>73.59</v>
      </c>
    </row>
    <row r="343" spans="1:39" s="824" customFormat="1" hidden="1">
      <c r="A343" s="814" t="s">
        <v>842</v>
      </c>
      <c r="B343" s="814" t="s">
        <v>1237</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1646</v>
      </c>
      <c r="AM343" s="823">
        <f t="shared" si="18"/>
        <v>6.44</v>
      </c>
    </row>
    <row r="344" spans="1:39" s="566" customFormat="1" hidden="1">
      <c r="A344" s="613" t="s">
        <v>476</v>
      </c>
      <c r="B344" s="613" t="s">
        <v>1238</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843</v>
      </c>
      <c r="B345" s="610" t="s">
        <v>1239</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1647</v>
      </c>
      <c r="AM345" s="753">
        <f t="shared" si="18"/>
        <v>99.99</v>
      </c>
    </row>
    <row r="346" spans="1:39" s="566" customFormat="1" hidden="1">
      <c r="A346" s="610" t="s">
        <v>844</v>
      </c>
      <c r="B346" s="610" t="s">
        <v>1240</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1648</v>
      </c>
      <c r="AM346" s="753">
        <f t="shared" si="18"/>
        <v>60.07</v>
      </c>
    </row>
    <row r="347" spans="1:39" s="566" customFormat="1" hidden="1">
      <c r="A347" s="610" t="s">
        <v>845</v>
      </c>
      <c r="B347" s="610" t="s">
        <v>1241</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1649</v>
      </c>
      <c r="AM347" s="753">
        <f t="shared" si="18"/>
        <v>33.6</v>
      </c>
    </row>
    <row r="348" spans="1:39" s="566" customFormat="1" hidden="1">
      <c r="A348" s="610" t="s">
        <v>846</v>
      </c>
      <c r="B348" s="610" t="s">
        <v>1242</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1650</v>
      </c>
      <c r="AM348" s="753">
        <f t="shared" si="18"/>
        <v>27.42</v>
      </c>
    </row>
    <row r="349" spans="1:39" s="566" customFormat="1" hidden="1">
      <c r="A349" s="610" t="s">
        <v>847</v>
      </c>
      <c r="B349" s="610" t="s">
        <v>1243</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1651</v>
      </c>
      <c r="AM349" s="753">
        <f t="shared" si="18"/>
        <v>79.459999999999994</v>
      </c>
    </row>
    <row r="350" spans="1:39" s="566" customFormat="1" hidden="1">
      <c r="A350" s="610" t="s">
        <v>848</v>
      </c>
      <c r="B350" s="610" t="s">
        <v>1244</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1652</v>
      </c>
      <c r="AM350" s="753">
        <f t="shared" si="18"/>
        <v>80.02</v>
      </c>
    </row>
    <row r="351" spans="1:39" s="566" customFormat="1" hidden="1">
      <c r="A351" s="610" t="s">
        <v>849</v>
      </c>
      <c r="B351" s="610" t="s">
        <v>1245</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1653</v>
      </c>
      <c r="AM351" s="753">
        <f t="shared" si="18"/>
        <v>245.52</v>
      </c>
    </row>
    <row r="352" spans="1:39" s="566" customFormat="1" hidden="1">
      <c r="A352" s="613" t="s">
        <v>477</v>
      </c>
      <c r="B352" s="613" t="s">
        <v>1246</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850</v>
      </c>
      <c r="B353" s="610" t="s">
        <v>1247</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1654</v>
      </c>
      <c r="AM353" s="753">
        <f t="shared" si="18"/>
        <v>65.92</v>
      </c>
    </row>
    <row r="354" spans="1:39" s="824" customFormat="1" hidden="1">
      <c r="A354" s="927" t="s">
        <v>478</v>
      </c>
      <c r="B354" s="927" t="s">
        <v>1248</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851</v>
      </c>
      <c r="B355" s="814" t="s">
        <v>1249</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1655</v>
      </c>
      <c r="AM355" s="823">
        <f t="shared" si="18"/>
        <v>57.88</v>
      </c>
    </row>
    <row r="356" spans="1:39" s="566" customFormat="1" hidden="1">
      <c r="A356" s="610" t="s">
        <v>852</v>
      </c>
      <c r="B356" s="610" t="s">
        <v>1284</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1656</v>
      </c>
      <c r="AM356" s="753">
        <f t="shared" si="18"/>
        <v>40.200000000000003</v>
      </c>
    </row>
    <row r="357" spans="1:39" s="566" customFormat="1" hidden="1">
      <c r="A357" s="610" t="s">
        <v>853</v>
      </c>
      <c r="B357" s="610" t="s">
        <v>1250</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1657</v>
      </c>
      <c r="AM357" s="753">
        <f t="shared" si="18"/>
        <v>5.72</v>
      </c>
    </row>
    <row r="358" spans="1:39" s="566" customFormat="1" hidden="1">
      <c r="A358" s="610" t="s">
        <v>854</v>
      </c>
      <c r="B358" s="610" t="s">
        <v>1251</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1658</v>
      </c>
      <c r="AM358" s="753">
        <f t="shared" si="18"/>
        <v>11.96</v>
      </c>
    </row>
    <row r="359" spans="1:39" s="566" customFormat="1" hidden="1">
      <c r="A359" s="613" t="s">
        <v>479</v>
      </c>
      <c r="B359" s="613" t="s">
        <v>1255</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855</v>
      </c>
      <c r="B360" s="610" t="s">
        <v>1256</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1659</v>
      </c>
      <c r="AM360" s="753">
        <f t="shared" si="18"/>
        <v>55.35</v>
      </c>
    </row>
    <row r="361" spans="1:39" s="566" customFormat="1" hidden="1">
      <c r="A361" s="613" t="s">
        <v>480</v>
      </c>
      <c r="B361" s="613" t="s">
        <v>1257</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856</v>
      </c>
      <c r="B362" s="610" t="s">
        <v>1258</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1634</v>
      </c>
      <c r="AM362" s="753">
        <f t="shared" si="18"/>
        <v>15.8</v>
      </c>
    </row>
    <row r="363" spans="1:39" s="566" customFormat="1" hidden="1">
      <c r="A363" s="610" t="s">
        <v>857</v>
      </c>
      <c r="B363" s="610" t="s">
        <v>1285</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1660</v>
      </c>
      <c r="AM363" s="753">
        <f t="shared" si="18"/>
        <v>29.4</v>
      </c>
    </row>
    <row r="364" spans="1:39" s="566" customFormat="1" hidden="1">
      <c r="A364" s="610" t="s">
        <v>858</v>
      </c>
      <c r="B364" s="610" t="s">
        <v>1260</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1661</v>
      </c>
      <c r="AM364" s="753">
        <f t="shared" si="18"/>
        <v>9.6</v>
      </c>
    </row>
    <row r="365" spans="1:39" s="566" customFormat="1" hidden="1">
      <c r="A365" s="610" t="s">
        <v>859</v>
      </c>
      <c r="B365" s="610" t="s">
        <v>1286</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1662</v>
      </c>
      <c r="AM365" s="753">
        <f t="shared" si="18"/>
        <v>23.08</v>
      </c>
    </row>
    <row r="366" spans="1:39" s="566" customFormat="1" hidden="1">
      <c r="A366" s="613" t="s">
        <v>481</v>
      </c>
      <c r="B366" s="613" t="s">
        <v>1197</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860</v>
      </c>
      <c r="B367" s="610" t="s">
        <v>1261</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1663</v>
      </c>
      <c r="AM367" s="753">
        <f t="shared" si="18"/>
        <v>48.24</v>
      </c>
    </row>
    <row r="368" spans="1:39" s="566" customFormat="1" hidden="1">
      <c r="A368" s="610" t="s">
        <v>861</v>
      </c>
      <c r="B368" s="610" t="s">
        <v>1262</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1664</v>
      </c>
      <c r="AM368" s="753">
        <f t="shared" si="18"/>
        <v>34.880000000000003</v>
      </c>
    </row>
    <row r="369" spans="1:39" s="566" customFormat="1" hidden="1">
      <c r="A369" s="610" t="s">
        <v>862</v>
      </c>
      <c r="B369" s="610" t="s">
        <v>1287</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1665</v>
      </c>
      <c r="AM369" s="753">
        <f t="shared" si="18"/>
        <v>22.97</v>
      </c>
    </row>
    <row r="370" spans="1:39" s="566" customFormat="1" hidden="1">
      <c r="A370" s="613" t="s">
        <v>482</v>
      </c>
      <c r="B370" s="613" t="s">
        <v>1263</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863</v>
      </c>
      <c r="B371" s="610" t="s">
        <v>1288</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1666</v>
      </c>
      <c r="AM371" s="753">
        <f t="shared" si="18"/>
        <v>5.88</v>
      </c>
    </row>
    <row r="372" spans="1:39" s="566" customFormat="1" hidden="1">
      <c r="A372" s="610" t="s">
        <v>864</v>
      </c>
      <c r="B372" s="610" t="s">
        <v>1289</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1667</v>
      </c>
      <c r="AM372" s="753">
        <f t="shared" si="18"/>
        <v>1.68</v>
      </c>
    </row>
    <row r="373" spans="1:39" s="566" customFormat="1" hidden="1">
      <c r="A373" s="613" t="s">
        <v>865</v>
      </c>
      <c r="B373" s="613" t="s">
        <v>1290</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866</v>
      </c>
      <c r="B374" s="610" t="s">
        <v>1291</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1668</v>
      </c>
      <c r="AM374" s="753">
        <f t="shared" si="18"/>
        <v>9.24</v>
      </c>
    </row>
    <row r="375" spans="1:39" s="566" customFormat="1" hidden="1">
      <c r="A375" s="613" t="s">
        <v>867</v>
      </c>
      <c r="B375" s="613" t="s">
        <v>1265</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868</v>
      </c>
      <c r="B376" s="610" t="s">
        <v>1266</v>
      </c>
      <c r="C376" s="620" t="s">
        <v>1450</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1669</v>
      </c>
      <c r="AM376" s="753">
        <f t="shared" si="18"/>
        <v>20</v>
      </c>
    </row>
    <row r="377" spans="1:39" s="566" customFormat="1" hidden="1">
      <c r="A377" s="610" t="s">
        <v>869</v>
      </c>
      <c r="B377" s="610" t="s">
        <v>1267</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1670</v>
      </c>
      <c r="AM377" s="753">
        <f t="shared" si="18"/>
        <v>4</v>
      </c>
    </row>
    <row r="378" spans="1:39" s="566" customFormat="1" hidden="1">
      <c r="A378" s="610" t="s">
        <v>870</v>
      </c>
      <c r="B378" s="610" t="s">
        <v>1292</v>
      </c>
      <c r="C378" s="620" t="s">
        <v>1450</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1670</v>
      </c>
      <c r="AM378" s="753">
        <f t="shared" si="18"/>
        <v>4</v>
      </c>
    </row>
    <row r="379" spans="1:39" s="566" customFormat="1" hidden="1">
      <c r="A379" s="613" t="s">
        <v>871</v>
      </c>
      <c r="B379" s="613" t="s">
        <v>1268</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872</v>
      </c>
      <c r="B380" s="610" t="s">
        <v>1269</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1671</v>
      </c>
      <c r="AM380" s="753">
        <f t="shared" si="18"/>
        <v>18.09</v>
      </c>
    </row>
    <row r="381" spans="1:39" s="566" customFormat="1" hidden="1">
      <c r="A381" s="610" t="s">
        <v>873</v>
      </c>
      <c r="B381" s="610" t="s">
        <v>1270</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1672</v>
      </c>
      <c r="AM381" s="753">
        <f t="shared" si="18"/>
        <v>1.75</v>
      </c>
    </row>
    <row r="382" spans="1:39" s="566" customFormat="1" hidden="1">
      <c r="A382" s="613" t="s">
        <v>874</v>
      </c>
      <c r="B382" s="613" t="s">
        <v>1271</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875</v>
      </c>
      <c r="B383" s="610" t="s">
        <v>1272</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1654</v>
      </c>
      <c r="AM383" s="753">
        <f t="shared" si="18"/>
        <v>65.92</v>
      </c>
    </row>
    <row r="384" spans="1:39" s="566" customFormat="1" hidden="1">
      <c r="A384" s="610" t="s">
        <v>876</v>
      </c>
      <c r="B384" s="610" t="s">
        <v>1273</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1647</v>
      </c>
      <c r="AM384" s="753">
        <f t="shared" si="18"/>
        <v>99.99</v>
      </c>
    </row>
    <row r="385" spans="1:39" s="566" customFormat="1" hidden="1">
      <c r="A385" s="610" t="s">
        <v>877</v>
      </c>
      <c r="B385" s="610" t="s">
        <v>1274</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1648</v>
      </c>
      <c r="AM385" s="753">
        <f t="shared" si="18"/>
        <v>60.07</v>
      </c>
    </row>
    <row r="386" spans="1:39" s="566" customFormat="1" hidden="1">
      <c r="A386" s="610" t="s">
        <v>878</v>
      </c>
      <c r="B386" s="610" t="s">
        <v>1275</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1649</v>
      </c>
      <c r="AM386" s="753">
        <f t="shared" si="18"/>
        <v>33.6</v>
      </c>
    </row>
    <row r="387" spans="1:39" s="566" customFormat="1" hidden="1">
      <c r="A387" s="610" t="s">
        <v>879</v>
      </c>
      <c r="B387" s="610" t="s">
        <v>1276</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1650</v>
      </c>
      <c r="AM387" s="753">
        <f t="shared" si="18"/>
        <v>27.42</v>
      </c>
    </row>
    <row r="388" spans="1:39" s="566" customFormat="1" hidden="1">
      <c r="A388" s="610" t="s">
        <v>880</v>
      </c>
      <c r="B388" s="610" t="s">
        <v>1277</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1634</v>
      </c>
      <c r="AM388" s="753">
        <f t="shared" si="18"/>
        <v>15.8</v>
      </c>
    </row>
    <row r="389" spans="1:39" s="566" customFormat="1" hidden="1">
      <c r="A389" s="610" t="s">
        <v>881</v>
      </c>
      <c r="B389" s="610" t="s">
        <v>1278</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1673</v>
      </c>
      <c r="AM389" s="753">
        <f t="shared" si="18"/>
        <v>14.7</v>
      </c>
    </row>
    <row r="390" spans="1:39" s="566" customFormat="1" hidden="1">
      <c r="A390" s="613" t="s">
        <v>882</v>
      </c>
      <c r="B390" s="613" t="s">
        <v>1279</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883</v>
      </c>
      <c r="B391" s="610" t="s">
        <v>1280</v>
      </c>
      <c r="C391" s="620" t="s">
        <v>1449</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1674</v>
      </c>
      <c r="AM391" s="753">
        <f t="shared" si="18"/>
        <v>8</v>
      </c>
    </row>
    <row r="392" spans="1:39" s="566" customFormat="1" hidden="1">
      <c r="A392" s="610" t="s">
        <v>884</v>
      </c>
      <c r="B392" s="610" t="s">
        <v>1281</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1454</v>
      </c>
      <c r="AM392" s="753">
        <f t="shared" si="18"/>
        <v>1</v>
      </c>
    </row>
    <row r="393" spans="1:39" s="566" customFormat="1" hidden="1">
      <c r="A393" s="610" t="s">
        <v>885</v>
      </c>
      <c r="B393" s="610" t="s">
        <v>1282</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1675</v>
      </c>
      <c r="AM393" s="753">
        <f t="shared" si="18"/>
        <v>19.84</v>
      </c>
    </row>
    <row r="394" spans="1:39" s="566" customFormat="1" hidden="1">
      <c r="A394" s="498" t="s">
        <v>483</v>
      </c>
      <c r="B394" s="614" t="s">
        <v>1154</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484</v>
      </c>
      <c r="B395" s="613" t="s">
        <v>1235</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886</v>
      </c>
      <c r="B396" s="610" t="s">
        <v>1236</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1676</v>
      </c>
      <c r="AM396" s="753">
        <f t="shared" si="18"/>
        <v>45.75</v>
      </c>
    </row>
    <row r="397" spans="1:39" s="566" customFormat="1" hidden="1">
      <c r="A397" s="610" t="s">
        <v>887</v>
      </c>
      <c r="B397" s="610" t="s">
        <v>1237</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1677</v>
      </c>
      <c r="AM397" s="753">
        <f t="shared" si="18"/>
        <v>18.920000000000002</v>
      </c>
    </row>
    <row r="398" spans="1:39" s="566" customFormat="1" hidden="1">
      <c r="A398" s="613" t="s">
        <v>485</v>
      </c>
      <c r="B398" s="613" t="s">
        <v>1238</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888</v>
      </c>
      <c r="B399" s="610" t="s">
        <v>1239</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1678</v>
      </c>
      <c r="AM399" s="753">
        <f t="shared" si="21"/>
        <v>83.58</v>
      </c>
    </row>
    <row r="400" spans="1:39" s="566" customFormat="1" hidden="1">
      <c r="A400" s="610" t="s">
        <v>889</v>
      </c>
      <c r="B400" s="610" t="s">
        <v>1240</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1676</v>
      </c>
      <c r="AM400" s="753">
        <f t="shared" si="21"/>
        <v>45.75</v>
      </c>
    </row>
    <row r="401" spans="1:39" s="566" customFormat="1" hidden="1">
      <c r="A401" s="610" t="s">
        <v>890</v>
      </c>
      <c r="B401" s="610" t="s">
        <v>1241</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1679</v>
      </c>
      <c r="AM401" s="753">
        <f t="shared" si="21"/>
        <v>12.95</v>
      </c>
    </row>
    <row r="402" spans="1:39" s="566" customFormat="1" hidden="1">
      <c r="A402" s="610" t="s">
        <v>891</v>
      </c>
      <c r="B402" s="610" t="s">
        <v>1242</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1680</v>
      </c>
      <c r="AM402" s="753">
        <f t="shared" si="21"/>
        <v>24.87</v>
      </c>
    </row>
    <row r="403" spans="1:39" s="566" customFormat="1" hidden="1">
      <c r="A403" s="610" t="s">
        <v>892</v>
      </c>
      <c r="B403" s="610" t="s">
        <v>1243</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1681</v>
      </c>
      <c r="AM403" s="753">
        <f t="shared" si="21"/>
        <v>17.22</v>
      </c>
    </row>
    <row r="404" spans="1:39" s="566" customFormat="1" hidden="1">
      <c r="A404" s="610" t="s">
        <v>893</v>
      </c>
      <c r="B404" s="610" t="s">
        <v>1244</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1682</v>
      </c>
      <c r="AM404" s="753">
        <f t="shared" si="21"/>
        <v>48.7</v>
      </c>
    </row>
    <row r="405" spans="1:39" s="566" customFormat="1" hidden="1">
      <c r="A405" s="610" t="s">
        <v>894</v>
      </c>
      <c r="B405" s="610" t="s">
        <v>1245</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1683</v>
      </c>
      <c r="AM405" s="753">
        <f t="shared" si="21"/>
        <v>172.48</v>
      </c>
    </row>
    <row r="406" spans="1:39" s="566" customFormat="1" hidden="1">
      <c r="A406" s="613" t="s">
        <v>486</v>
      </c>
      <c r="B406" s="613" t="s">
        <v>1246</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895</v>
      </c>
      <c r="B407" s="610" t="s">
        <v>1247</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1684</v>
      </c>
      <c r="AM407" s="753">
        <f t="shared" si="21"/>
        <v>38.24</v>
      </c>
    </row>
    <row r="408" spans="1:39" s="566" customFormat="1" hidden="1">
      <c r="A408" s="613" t="s">
        <v>896</v>
      </c>
      <c r="B408" s="613" t="s">
        <v>1248</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897</v>
      </c>
      <c r="B409" s="610" t="s">
        <v>1249</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1685</v>
      </c>
      <c r="AM409" s="753">
        <f t="shared" si="21"/>
        <v>33.03</v>
      </c>
    </row>
    <row r="410" spans="1:39" s="566" customFormat="1" hidden="1">
      <c r="A410" s="610" t="s">
        <v>898</v>
      </c>
      <c r="B410" s="610" t="s">
        <v>1250</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1686</v>
      </c>
      <c r="AM410" s="753">
        <f t="shared" si="21"/>
        <v>30.08</v>
      </c>
    </row>
    <row r="411" spans="1:39" s="566" customFormat="1" hidden="1">
      <c r="A411" s="610" t="s">
        <v>899</v>
      </c>
      <c r="B411" s="610" t="s">
        <v>1251</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1687</v>
      </c>
      <c r="AM411" s="753">
        <f t="shared" si="21"/>
        <v>2.95</v>
      </c>
    </row>
    <row r="412" spans="1:39" s="566" customFormat="1" hidden="1">
      <c r="A412" s="613" t="s">
        <v>900</v>
      </c>
      <c r="B412" s="613" t="s">
        <v>1252</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901</v>
      </c>
      <c r="B413" s="610" t="s">
        <v>1293</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1688</v>
      </c>
      <c r="AM413" s="753">
        <f t="shared" si="21"/>
        <v>6.15</v>
      </c>
    </row>
    <row r="414" spans="1:39" s="566" customFormat="1" hidden="1">
      <c r="A414" s="610" t="s">
        <v>902</v>
      </c>
      <c r="B414" s="610" t="s">
        <v>1254</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1689</v>
      </c>
      <c r="AM414" s="753">
        <f t="shared" si="21"/>
        <v>2.77</v>
      </c>
    </row>
    <row r="415" spans="1:39" s="566" customFormat="1" hidden="1">
      <c r="A415" s="613" t="s">
        <v>903</v>
      </c>
      <c r="B415" s="613" t="s">
        <v>1255</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904</v>
      </c>
      <c r="B416" s="610" t="s">
        <v>1256</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1690</v>
      </c>
      <c r="AM416" s="753">
        <f t="shared" si="21"/>
        <v>8.3000000000000007</v>
      </c>
    </row>
    <row r="417" spans="1:39" s="566" customFormat="1" hidden="1">
      <c r="A417" s="610" t="s">
        <v>905</v>
      </c>
      <c r="B417" s="610" t="s">
        <v>1257</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906</v>
      </c>
      <c r="B418" s="610" t="s">
        <v>1258</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1691</v>
      </c>
      <c r="AM418" s="753">
        <f t="shared" si="21"/>
        <v>6.66</v>
      </c>
    </row>
    <row r="419" spans="1:39" s="566" customFormat="1" hidden="1">
      <c r="A419" s="610" t="s">
        <v>907</v>
      </c>
      <c r="B419" s="610" t="s">
        <v>1285</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1692</v>
      </c>
      <c r="AM419" s="753">
        <f t="shared" si="21"/>
        <v>7.76</v>
      </c>
    </row>
    <row r="420" spans="1:39" s="566" customFormat="1" hidden="1">
      <c r="A420" s="610" t="s">
        <v>908</v>
      </c>
      <c r="B420" s="610" t="s">
        <v>1260</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1693</v>
      </c>
      <c r="AM420" s="753">
        <f t="shared" si="21"/>
        <v>25.31</v>
      </c>
    </row>
    <row r="421" spans="1:39" s="566" customFormat="1" hidden="1">
      <c r="A421" s="613" t="s">
        <v>909</v>
      </c>
      <c r="B421" s="613" t="s">
        <v>1197</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910</v>
      </c>
      <c r="B422" s="610" t="s">
        <v>1261</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1694</v>
      </c>
      <c r="AM422" s="753">
        <f t="shared" si="21"/>
        <v>34.93</v>
      </c>
    </row>
    <row r="423" spans="1:39" s="566" customFormat="1" hidden="1">
      <c r="A423" s="610" t="s">
        <v>911</v>
      </c>
      <c r="B423" s="610" t="s">
        <v>1262</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1688</v>
      </c>
      <c r="AM423" s="753">
        <f t="shared" si="21"/>
        <v>6.15</v>
      </c>
    </row>
    <row r="424" spans="1:39" s="566" customFormat="1" hidden="1">
      <c r="A424" s="613" t="s">
        <v>912</v>
      </c>
      <c r="B424" s="613" t="s">
        <v>1263</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913</v>
      </c>
      <c r="B425" s="610" t="s">
        <v>1264</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1695</v>
      </c>
      <c r="AM425" s="753">
        <f t="shared" si="21"/>
        <v>3.78</v>
      </c>
    </row>
    <row r="426" spans="1:39" s="566" customFormat="1" hidden="1">
      <c r="A426" s="610" t="s">
        <v>914</v>
      </c>
      <c r="B426" s="610" t="s">
        <v>1294</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1696</v>
      </c>
      <c r="AM426" s="753">
        <f t="shared" si="21"/>
        <v>1.47</v>
      </c>
    </row>
    <row r="427" spans="1:39" s="566" customFormat="1" hidden="1">
      <c r="A427" s="613" t="s">
        <v>915</v>
      </c>
      <c r="B427" s="613" t="s">
        <v>1265</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916</v>
      </c>
      <c r="B428" s="610" t="s">
        <v>1266</v>
      </c>
      <c r="C428" s="620" t="s">
        <v>1450</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1640</v>
      </c>
      <c r="AM428" s="753">
        <f t="shared" si="21"/>
        <v>9</v>
      </c>
    </row>
    <row r="429" spans="1:39" s="566" customFormat="1" hidden="1">
      <c r="A429" s="610" t="s">
        <v>917</v>
      </c>
      <c r="B429" s="610" t="s">
        <v>1267</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1697</v>
      </c>
      <c r="AM429" s="753">
        <f t="shared" si="21"/>
        <v>2</v>
      </c>
    </row>
    <row r="430" spans="1:39" s="566" customFormat="1" hidden="1">
      <c r="A430" s="610" t="s">
        <v>918</v>
      </c>
      <c r="B430" s="610" t="s">
        <v>1295</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1454</v>
      </c>
      <c r="AM430" s="753">
        <f t="shared" si="21"/>
        <v>1</v>
      </c>
    </row>
    <row r="431" spans="1:39" s="566" customFormat="1" hidden="1">
      <c r="A431" s="613" t="s">
        <v>919</v>
      </c>
      <c r="B431" s="613" t="s">
        <v>1268</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920</v>
      </c>
      <c r="B432" s="610" t="s">
        <v>1269</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1698</v>
      </c>
      <c r="AM432" s="753">
        <f t="shared" si="21"/>
        <v>7.54</v>
      </c>
    </row>
    <row r="433" spans="1:39" s="566" customFormat="1" hidden="1">
      <c r="A433" s="610" t="s">
        <v>921</v>
      </c>
      <c r="B433" s="610" t="s">
        <v>1270</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1699</v>
      </c>
      <c r="AM433" s="753">
        <f t="shared" si="21"/>
        <v>1.25</v>
      </c>
    </row>
    <row r="434" spans="1:39" s="566" customFormat="1" hidden="1">
      <c r="A434" s="613" t="s">
        <v>922</v>
      </c>
      <c r="B434" s="613" t="s">
        <v>1271</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923</v>
      </c>
      <c r="B435" s="610" t="s">
        <v>1272</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1684</v>
      </c>
      <c r="AM435" s="753">
        <f t="shared" si="21"/>
        <v>38.24</v>
      </c>
    </row>
    <row r="436" spans="1:39" s="566" customFormat="1" hidden="1">
      <c r="A436" s="610" t="s">
        <v>924</v>
      </c>
      <c r="B436" s="610" t="s">
        <v>1273</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1678</v>
      </c>
      <c r="AM436" s="753">
        <f t="shared" si="21"/>
        <v>83.58</v>
      </c>
    </row>
    <row r="437" spans="1:39" s="566" customFormat="1" hidden="1">
      <c r="A437" s="610" t="s">
        <v>925</v>
      </c>
      <c r="B437" s="610" t="s">
        <v>1274</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1676</v>
      </c>
      <c r="AM437" s="753">
        <f t="shared" si="21"/>
        <v>45.75</v>
      </c>
    </row>
    <row r="438" spans="1:39" s="566" customFormat="1" hidden="1">
      <c r="A438" s="610" t="s">
        <v>926</v>
      </c>
      <c r="B438" s="610" t="s">
        <v>1275</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1679</v>
      </c>
      <c r="AM438" s="753">
        <f t="shared" si="21"/>
        <v>12.95</v>
      </c>
    </row>
    <row r="439" spans="1:39" s="566" customFormat="1" hidden="1">
      <c r="A439" s="610" t="s">
        <v>927</v>
      </c>
      <c r="B439" s="610" t="s">
        <v>1276</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1680</v>
      </c>
      <c r="AM439" s="753">
        <f t="shared" si="21"/>
        <v>24.87</v>
      </c>
    </row>
    <row r="440" spans="1:39" s="566" customFormat="1" hidden="1">
      <c r="A440" s="610" t="s">
        <v>928</v>
      </c>
      <c r="B440" s="610" t="s">
        <v>1277</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1691</v>
      </c>
      <c r="AM440" s="753">
        <f t="shared" si="21"/>
        <v>6.66</v>
      </c>
    </row>
    <row r="441" spans="1:39" s="566" customFormat="1" hidden="1">
      <c r="A441" s="610" t="s">
        <v>929</v>
      </c>
      <c r="B441" s="610" t="s">
        <v>1278</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1700</v>
      </c>
      <c r="AM441" s="753">
        <f t="shared" si="21"/>
        <v>12.48</v>
      </c>
    </row>
    <row r="442" spans="1:39" s="566" customFormat="1" hidden="1">
      <c r="A442" s="613" t="s">
        <v>930</v>
      </c>
      <c r="B442" s="613" t="s">
        <v>1279</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931</v>
      </c>
      <c r="B443" s="610" t="s">
        <v>1280</v>
      </c>
      <c r="C443" s="620" t="s">
        <v>1449</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1454</v>
      </c>
      <c r="AM443" s="753">
        <f t="shared" si="21"/>
        <v>1</v>
      </c>
    </row>
    <row r="444" spans="1:39" s="566" customFormat="1" hidden="1">
      <c r="A444" s="610" t="s">
        <v>932</v>
      </c>
      <c r="B444" s="610" t="s">
        <v>1281</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1454</v>
      </c>
      <c r="AM444" s="753">
        <f t="shared" si="21"/>
        <v>1</v>
      </c>
    </row>
    <row r="445" spans="1:39" s="566" customFormat="1" hidden="1">
      <c r="A445" s="610" t="s">
        <v>933</v>
      </c>
      <c r="B445" s="610" t="s">
        <v>1282</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1701</v>
      </c>
      <c r="AM445" s="753">
        <f t="shared" si="21"/>
        <v>6.79</v>
      </c>
    </row>
    <row r="446" spans="1:39" s="566" customFormat="1" hidden="1">
      <c r="A446" s="498" t="s">
        <v>517</v>
      </c>
      <c r="B446" s="614" t="s">
        <v>1296</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518</v>
      </c>
      <c r="B447" s="613" t="s">
        <v>1235</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519</v>
      </c>
      <c r="B448" s="610" t="s">
        <v>1236</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1702</v>
      </c>
      <c r="AM448" s="753">
        <f t="shared" si="21"/>
        <v>56.66</v>
      </c>
    </row>
    <row r="449" spans="1:39" s="566" customFormat="1" hidden="1">
      <c r="A449" s="610" t="s">
        <v>520</v>
      </c>
      <c r="B449" s="610" t="s">
        <v>1237</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1703</v>
      </c>
      <c r="AM449" s="753">
        <f t="shared" si="21"/>
        <v>8.17</v>
      </c>
    </row>
    <row r="450" spans="1:39" s="566" customFormat="1" hidden="1">
      <c r="A450" s="613" t="s">
        <v>521</v>
      </c>
      <c r="B450" s="613" t="s">
        <v>1238</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522</v>
      </c>
      <c r="B451" s="610" t="s">
        <v>1239</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1704</v>
      </c>
      <c r="AM451" s="753">
        <f t="shared" si="21"/>
        <v>77.680000000000007</v>
      </c>
    </row>
    <row r="452" spans="1:39" s="566" customFormat="1" hidden="1">
      <c r="A452" s="610" t="s">
        <v>934</v>
      </c>
      <c r="B452" s="610" t="s">
        <v>1240</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1705</v>
      </c>
      <c r="AM452" s="753">
        <f t="shared" si="21"/>
        <v>51.98</v>
      </c>
    </row>
    <row r="453" spans="1:39" s="566" customFormat="1" hidden="1">
      <c r="A453" s="610" t="s">
        <v>935</v>
      </c>
      <c r="B453" s="610" t="s">
        <v>1241</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1706</v>
      </c>
      <c r="AM453" s="753">
        <f t="shared" si="21"/>
        <v>12</v>
      </c>
    </row>
    <row r="454" spans="1:39" s="566" customFormat="1" hidden="1">
      <c r="A454" s="610" t="s">
        <v>936</v>
      </c>
      <c r="B454" s="610" t="s">
        <v>1242</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1707</v>
      </c>
      <c r="AM454" s="753">
        <f t="shared" si="21"/>
        <v>19.97</v>
      </c>
    </row>
    <row r="455" spans="1:39" s="566" customFormat="1" hidden="1">
      <c r="A455" s="610" t="s">
        <v>937</v>
      </c>
      <c r="B455" s="610" t="s">
        <v>1243</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1708</v>
      </c>
      <c r="AM455" s="753">
        <f t="shared" si="21"/>
        <v>35.729999999999997</v>
      </c>
    </row>
    <row r="456" spans="1:39" s="566" customFormat="1" hidden="1">
      <c r="A456" s="610" t="s">
        <v>938</v>
      </c>
      <c r="B456" s="610" t="s">
        <v>1244</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1709</v>
      </c>
      <c r="AM456" s="753">
        <f t="shared" si="21"/>
        <v>35.9</v>
      </c>
    </row>
    <row r="457" spans="1:39" s="566" customFormat="1" hidden="1">
      <c r="A457" s="610" t="s">
        <v>939</v>
      </c>
      <c r="B457" s="610" t="s">
        <v>1245</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1710</v>
      </c>
      <c r="AM457" s="753">
        <f t="shared" si="21"/>
        <v>151.28</v>
      </c>
    </row>
    <row r="458" spans="1:39" s="566" customFormat="1" hidden="1">
      <c r="A458" s="613" t="s">
        <v>523</v>
      </c>
      <c r="B458" s="613" t="s">
        <v>1246</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524</v>
      </c>
      <c r="B459" s="610" t="s">
        <v>1247</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1711</v>
      </c>
      <c r="AM459" s="753">
        <f t="shared" si="21"/>
        <v>33.950000000000003</v>
      </c>
    </row>
    <row r="460" spans="1:39" s="566" customFormat="1" hidden="1">
      <c r="A460" s="613" t="s">
        <v>940</v>
      </c>
      <c r="B460" s="613" t="s">
        <v>1248</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941</v>
      </c>
      <c r="B461" s="610" t="s">
        <v>1249</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1712</v>
      </c>
      <c r="AM461" s="753">
        <f t="shared" si="21"/>
        <v>22.08</v>
      </c>
    </row>
    <row r="462" spans="1:39" s="566" customFormat="1" hidden="1">
      <c r="A462" s="610" t="s">
        <v>942</v>
      </c>
      <c r="B462" s="610" t="s">
        <v>1250</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1713</v>
      </c>
      <c r="AM462" s="753">
        <f t="shared" ref="AM462:AM525" si="24">AL462-AK462</f>
        <v>12.13</v>
      </c>
    </row>
    <row r="463" spans="1:39" s="566" customFormat="1" hidden="1">
      <c r="A463" s="610" t="s">
        <v>943</v>
      </c>
      <c r="B463" s="610" t="s">
        <v>1251</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1714</v>
      </c>
      <c r="AM463" s="753">
        <f t="shared" si="24"/>
        <v>9.9499999999999993</v>
      </c>
    </row>
    <row r="464" spans="1:39" s="566" customFormat="1" hidden="1">
      <c r="A464" s="613" t="s">
        <v>944</v>
      </c>
      <c r="B464" s="613" t="s">
        <v>1255</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945</v>
      </c>
      <c r="B465" s="610" t="s">
        <v>1256</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1715</v>
      </c>
      <c r="AM465" s="753">
        <f t="shared" si="24"/>
        <v>8.93</v>
      </c>
    </row>
    <row r="466" spans="1:39" s="566" customFormat="1" hidden="1">
      <c r="A466" s="613" t="s">
        <v>946</v>
      </c>
      <c r="B466" s="613" t="s">
        <v>1257</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947</v>
      </c>
      <c r="B467" s="610" t="s">
        <v>1258</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1716</v>
      </c>
      <c r="AM467" s="753">
        <f t="shared" si="24"/>
        <v>6.91</v>
      </c>
    </row>
    <row r="468" spans="1:39" s="566" customFormat="1" hidden="1">
      <c r="A468" s="610" t="s">
        <v>948</v>
      </c>
      <c r="B468" s="610" t="s">
        <v>1285</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1717</v>
      </c>
      <c r="AM468" s="753">
        <f t="shared" si="24"/>
        <v>8.86</v>
      </c>
    </row>
    <row r="469" spans="1:39" s="566" customFormat="1" hidden="1">
      <c r="A469" s="610" t="s">
        <v>949</v>
      </c>
      <c r="B469" s="610" t="s">
        <v>1259</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1718</v>
      </c>
      <c r="AM469" s="753">
        <f t="shared" si="24"/>
        <v>10.78</v>
      </c>
    </row>
    <row r="470" spans="1:39" s="566" customFormat="1" hidden="1">
      <c r="A470" s="610" t="s">
        <v>950</v>
      </c>
      <c r="B470" s="610" t="s">
        <v>1260</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1719</v>
      </c>
      <c r="AM470" s="753">
        <f t="shared" si="24"/>
        <v>14.4</v>
      </c>
    </row>
    <row r="471" spans="1:39" s="566" customFormat="1" hidden="1">
      <c r="A471" s="613" t="s">
        <v>951</v>
      </c>
      <c r="B471" s="613" t="s">
        <v>1197</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952</v>
      </c>
      <c r="B472" s="610" t="s">
        <v>1261</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1720</v>
      </c>
      <c r="AM472" s="753">
        <f t="shared" si="24"/>
        <v>21.28</v>
      </c>
    </row>
    <row r="473" spans="1:39" s="566" customFormat="1" hidden="1">
      <c r="A473" s="610" t="s">
        <v>953</v>
      </c>
      <c r="B473" s="610" t="s">
        <v>1262</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1688</v>
      </c>
      <c r="AM473" s="753">
        <f t="shared" si="24"/>
        <v>6.15</v>
      </c>
    </row>
    <row r="474" spans="1:39" s="566" customFormat="1" hidden="1">
      <c r="A474" s="613" t="s">
        <v>954</v>
      </c>
      <c r="B474" s="613" t="s">
        <v>1263</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955</v>
      </c>
      <c r="B475" s="610" t="s">
        <v>1264</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1721</v>
      </c>
      <c r="AM475" s="753">
        <f t="shared" si="24"/>
        <v>1.89</v>
      </c>
    </row>
    <row r="476" spans="1:39" s="566" customFormat="1" hidden="1">
      <c r="A476" s="610" t="s">
        <v>956</v>
      </c>
      <c r="B476" s="610" t="s">
        <v>1294</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1722</v>
      </c>
      <c r="AM476" s="753">
        <f t="shared" si="24"/>
        <v>3.15</v>
      </c>
    </row>
    <row r="477" spans="1:39" s="566" customFormat="1" hidden="1">
      <c r="A477" s="613" t="s">
        <v>957</v>
      </c>
      <c r="B477" s="613" t="s">
        <v>1265</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958</v>
      </c>
      <c r="B478" s="610" t="s">
        <v>1266</v>
      </c>
      <c r="C478" s="620" t="s">
        <v>1450</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1640</v>
      </c>
      <c r="AM478" s="753">
        <f t="shared" si="24"/>
        <v>9</v>
      </c>
    </row>
    <row r="479" spans="1:39" s="566" customFormat="1" hidden="1">
      <c r="A479" s="610" t="s">
        <v>959</v>
      </c>
      <c r="B479" s="610" t="s">
        <v>1267</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1454</v>
      </c>
      <c r="AM479" s="753">
        <f t="shared" si="24"/>
        <v>1</v>
      </c>
    </row>
    <row r="480" spans="1:39" s="566" customFormat="1" hidden="1">
      <c r="A480" s="610" t="s">
        <v>960</v>
      </c>
      <c r="B480" s="610" t="s">
        <v>1295</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1697</v>
      </c>
      <c r="AM480" s="753">
        <f t="shared" si="24"/>
        <v>2</v>
      </c>
    </row>
    <row r="481" spans="1:39" s="566" customFormat="1" hidden="1">
      <c r="A481" s="613" t="s">
        <v>961</v>
      </c>
      <c r="B481" s="613" t="s">
        <v>1268</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962</v>
      </c>
      <c r="B482" s="610" t="s">
        <v>1269</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1723</v>
      </c>
      <c r="AM482" s="753">
        <f t="shared" si="24"/>
        <v>4.96</v>
      </c>
    </row>
    <row r="483" spans="1:39" s="566" customFormat="1" hidden="1">
      <c r="A483" s="610" t="s">
        <v>963</v>
      </c>
      <c r="B483" s="610" t="s">
        <v>1270</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1487</v>
      </c>
      <c r="AM483" s="753">
        <f t="shared" si="24"/>
        <v>1.2</v>
      </c>
    </row>
    <row r="484" spans="1:39" s="566" customFormat="1" hidden="1">
      <c r="A484" s="613" t="s">
        <v>964</v>
      </c>
      <c r="B484" s="613" t="s">
        <v>1271</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965</v>
      </c>
      <c r="B485" s="610" t="s">
        <v>1272</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1711</v>
      </c>
      <c r="AM485" s="753">
        <f t="shared" si="24"/>
        <v>33.950000000000003</v>
      </c>
    </row>
    <row r="486" spans="1:39" s="566" customFormat="1" hidden="1">
      <c r="A486" s="610" t="s">
        <v>966</v>
      </c>
      <c r="B486" s="610" t="s">
        <v>1273</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1704</v>
      </c>
      <c r="AM486" s="753">
        <f t="shared" si="24"/>
        <v>77.680000000000007</v>
      </c>
    </row>
    <row r="487" spans="1:39" s="566" customFormat="1" hidden="1">
      <c r="A487" s="610" t="s">
        <v>967</v>
      </c>
      <c r="B487" s="610" t="s">
        <v>1274</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1705</v>
      </c>
      <c r="AM487" s="753">
        <f t="shared" si="24"/>
        <v>51.98</v>
      </c>
    </row>
    <row r="488" spans="1:39" s="566" customFormat="1" hidden="1">
      <c r="A488" s="610" t="s">
        <v>968</v>
      </c>
      <c r="B488" s="610" t="s">
        <v>1275</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1706</v>
      </c>
      <c r="AM488" s="753">
        <f t="shared" si="24"/>
        <v>12</v>
      </c>
    </row>
    <row r="489" spans="1:39" s="566" customFormat="1" hidden="1">
      <c r="A489" s="610" t="s">
        <v>969</v>
      </c>
      <c r="B489" s="610" t="s">
        <v>1276</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1707</v>
      </c>
      <c r="AM489" s="753">
        <f t="shared" si="24"/>
        <v>19.97</v>
      </c>
    </row>
    <row r="490" spans="1:39" s="566" customFormat="1" hidden="1">
      <c r="A490" s="610" t="s">
        <v>970</v>
      </c>
      <c r="B490" s="610" t="s">
        <v>1277</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1716</v>
      </c>
      <c r="AM490" s="753">
        <f t="shared" si="24"/>
        <v>6.91</v>
      </c>
    </row>
    <row r="491" spans="1:39" s="566" customFormat="1" hidden="1">
      <c r="A491" s="610" t="s">
        <v>971</v>
      </c>
      <c r="B491" s="610" t="s">
        <v>1278</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1724</v>
      </c>
      <c r="AM491" s="753">
        <f t="shared" si="24"/>
        <v>10.5</v>
      </c>
    </row>
    <row r="492" spans="1:39" s="566" customFormat="1" hidden="1">
      <c r="A492" s="613" t="s">
        <v>972</v>
      </c>
      <c r="B492" s="613" t="s">
        <v>1279</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973</v>
      </c>
      <c r="B493" s="610" t="s">
        <v>1280</v>
      </c>
      <c r="C493" s="620" t="s">
        <v>1449</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1725</v>
      </c>
      <c r="AM493" s="753">
        <f t="shared" si="24"/>
        <v>11</v>
      </c>
    </row>
    <row r="494" spans="1:39" s="566" customFormat="1" hidden="1">
      <c r="A494" s="610" t="s">
        <v>974</v>
      </c>
      <c r="B494" s="610" t="s">
        <v>1281</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1454</v>
      </c>
      <c r="AM494" s="753">
        <f t="shared" si="24"/>
        <v>1</v>
      </c>
    </row>
    <row r="495" spans="1:39" s="566" customFormat="1" hidden="1">
      <c r="A495" s="610" t="s">
        <v>975</v>
      </c>
      <c r="B495" s="610" t="s">
        <v>1282</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1726</v>
      </c>
      <c r="AM495" s="753">
        <f t="shared" si="24"/>
        <v>8.15</v>
      </c>
    </row>
    <row r="496" spans="1:39" s="824" customFormat="1" hidden="1">
      <c r="A496" s="910" t="s">
        <v>525</v>
      </c>
      <c r="B496" s="911" t="s">
        <v>1297</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526</v>
      </c>
      <c r="B497" s="927" t="s">
        <v>1235</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527</v>
      </c>
      <c r="B498" s="814" t="s">
        <v>1298</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1727</v>
      </c>
      <c r="AM498" s="823">
        <f t="shared" si="24"/>
        <v>239.98</v>
      </c>
    </row>
    <row r="499" spans="1:39" s="566" customFormat="1" hidden="1">
      <c r="A499" s="613" t="s">
        <v>976</v>
      </c>
      <c r="B499" s="613" t="s">
        <v>1238</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977</v>
      </c>
      <c r="B500" s="610" t="s">
        <v>1299</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1728</v>
      </c>
      <c r="AM500" s="753">
        <f t="shared" si="24"/>
        <v>117.85</v>
      </c>
    </row>
    <row r="501" spans="1:39" s="566" customFormat="1" hidden="1">
      <c r="A501" s="610" t="s">
        <v>978</v>
      </c>
      <c r="B501" s="610" t="s">
        <v>1300</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1729</v>
      </c>
      <c r="AM501" s="753">
        <f t="shared" si="24"/>
        <v>65.94</v>
      </c>
    </row>
    <row r="502" spans="1:39" s="566" customFormat="1" hidden="1">
      <c r="A502" s="610" t="s">
        <v>979</v>
      </c>
      <c r="B502" s="610" t="s">
        <v>1301</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1589</v>
      </c>
      <c r="AM502" s="753">
        <f t="shared" si="24"/>
        <v>49.66</v>
      </c>
    </row>
    <row r="503" spans="1:39" s="566" customFormat="1" hidden="1">
      <c r="A503" s="613" t="s">
        <v>980</v>
      </c>
      <c r="B503" s="613" t="s">
        <v>1290</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981</v>
      </c>
      <c r="B504" s="610" t="s">
        <v>1302</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1730</v>
      </c>
      <c r="AM504" s="753">
        <f t="shared" si="24"/>
        <v>7.98</v>
      </c>
    </row>
    <row r="505" spans="1:39" s="566" customFormat="1" hidden="1">
      <c r="A505" s="613" t="s">
        <v>982</v>
      </c>
      <c r="B505" s="613" t="s">
        <v>1271</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983</v>
      </c>
      <c r="B506" s="610" t="s">
        <v>1303</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1728</v>
      </c>
      <c r="AM506" s="753">
        <f t="shared" si="24"/>
        <v>117.85</v>
      </c>
    </row>
    <row r="507" spans="1:39" s="566" customFormat="1" hidden="1">
      <c r="A507" s="610" t="s">
        <v>984</v>
      </c>
      <c r="B507" s="610" t="s">
        <v>1275</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1729</v>
      </c>
      <c r="AM507" s="753">
        <f t="shared" si="24"/>
        <v>65.94</v>
      </c>
    </row>
    <row r="508" spans="1:39" s="566" customFormat="1" hidden="1">
      <c r="A508" s="610" t="s">
        <v>985</v>
      </c>
      <c r="B508" s="610" t="s">
        <v>1276</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1589</v>
      </c>
      <c r="AM508" s="753">
        <f t="shared" si="24"/>
        <v>49.66</v>
      </c>
    </row>
    <row r="509" spans="1:39" s="566" customFormat="1" hidden="1">
      <c r="A509" s="498" t="s">
        <v>986</v>
      </c>
      <c r="B509" s="614" t="s">
        <v>1304</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987</v>
      </c>
      <c r="B510" s="613" t="s">
        <v>1305</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1731</v>
      </c>
      <c r="AM510" s="753">
        <f t="shared" si="24"/>
        <v>154.19</v>
      </c>
    </row>
    <row r="511" spans="1:39" s="566" customFormat="1" hidden="1">
      <c r="A511" s="613" t="s">
        <v>988</v>
      </c>
      <c r="B511" s="613" t="s">
        <v>1306</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1732</v>
      </c>
      <c r="AM511" s="753">
        <f t="shared" si="24"/>
        <v>48.81</v>
      </c>
    </row>
    <row r="512" spans="1:39" s="566" customFormat="1" hidden="1">
      <c r="A512" s="498" t="s">
        <v>989</v>
      </c>
      <c r="B512" s="614" t="s">
        <v>1307</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990</v>
      </c>
      <c r="B513" s="613" t="s">
        <v>1248</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991</v>
      </c>
      <c r="B514" s="610" t="s">
        <v>1308</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1607</v>
      </c>
      <c r="AM514" s="753">
        <f t="shared" si="24"/>
        <v>60</v>
      </c>
    </row>
    <row r="515" spans="1:39" s="566" customFormat="1" hidden="1">
      <c r="A515" s="610" t="s">
        <v>992</v>
      </c>
      <c r="B515" s="610" t="s">
        <v>1309</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1632</v>
      </c>
      <c r="AM515" s="753">
        <f t="shared" si="24"/>
        <v>5.18</v>
      </c>
    </row>
    <row r="516" spans="1:39" s="566" customFormat="1" hidden="1">
      <c r="A516" s="613" t="s">
        <v>993</v>
      </c>
      <c r="B516" s="613" t="s">
        <v>1252</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994</v>
      </c>
      <c r="B517" s="610" t="s">
        <v>1310</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1733</v>
      </c>
      <c r="AM517" s="753">
        <f t="shared" si="24"/>
        <v>73.98</v>
      </c>
    </row>
    <row r="518" spans="1:39" s="566" customFormat="1" hidden="1">
      <c r="A518" s="610" t="s">
        <v>995</v>
      </c>
      <c r="B518" s="610" t="s">
        <v>1254</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1734</v>
      </c>
      <c r="AM518" s="753">
        <f t="shared" si="24"/>
        <v>44.39</v>
      </c>
    </row>
    <row r="519" spans="1:39" s="566" customFormat="1" hidden="1">
      <c r="A519" s="613" t="s">
        <v>996</v>
      </c>
      <c r="B519" s="613" t="s">
        <v>1311</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997</v>
      </c>
      <c r="B520" s="610" t="s">
        <v>1312</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1735</v>
      </c>
      <c r="AM520" s="753">
        <f t="shared" si="24"/>
        <v>64</v>
      </c>
    </row>
    <row r="521" spans="1:39" s="566" customFormat="1" hidden="1">
      <c r="A521" s="613" t="s">
        <v>998</v>
      </c>
      <c r="B521" s="613" t="s">
        <v>1199</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999</v>
      </c>
      <c r="B522" s="610" t="s">
        <v>1313</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1736</v>
      </c>
      <c r="AM522" s="753">
        <f t="shared" si="24"/>
        <v>22</v>
      </c>
    </row>
    <row r="523" spans="1:39" s="566" customFormat="1" hidden="1">
      <c r="A523" s="610" t="s">
        <v>1000</v>
      </c>
      <c r="B523" s="610" t="s">
        <v>1314</v>
      </c>
      <c r="C523" s="620" t="s">
        <v>1449</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1454</v>
      </c>
      <c r="AM523" s="753">
        <f t="shared" si="24"/>
        <v>1</v>
      </c>
    </row>
    <row r="524" spans="1:39" s="566" customFormat="1" hidden="1">
      <c r="A524" s="498" t="s">
        <v>1001</v>
      </c>
      <c r="B524" s="614" t="s">
        <v>1315</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1002</v>
      </c>
      <c r="B525" s="613" t="s">
        <v>1248</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1003</v>
      </c>
      <c r="B526" s="610" t="s">
        <v>1316</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1737</v>
      </c>
      <c r="AM526" s="753">
        <f t="shared" ref="AM526:AM589" si="27">AL526-AK526</f>
        <v>28.21</v>
      </c>
    </row>
    <row r="527" spans="1:39" s="566" customFormat="1" hidden="1">
      <c r="A527" s="613" t="s">
        <v>1004</v>
      </c>
      <c r="B527" s="613" t="s">
        <v>1317</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1005</v>
      </c>
      <c r="B528" s="610" t="s">
        <v>1318</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1738</v>
      </c>
      <c r="AM528" s="753">
        <f t="shared" si="27"/>
        <v>5.9</v>
      </c>
    </row>
    <row r="529" spans="1:39" s="566" customFormat="1" hidden="1">
      <c r="A529" s="610" t="s">
        <v>1006</v>
      </c>
      <c r="B529" s="610" t="s">
        <v>1195</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1677</v>
      </c>
      <c r="AM529" s="753">
        <f t="shared" si="27"/>
        <v>18.920000000000002</v>
      </c>
    </row>
    <row r="530" spans="1:39" s="566" customFormat="1" hidden="1">
      <c r="A530" s="613" t="s">
        <v>1007</v>
      </c>
      <c r="B530" s="613" t="s">
        <v>1290</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1008</v>
      </c>
      <c r="B531" s="610" t="s">
        <v>1319</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1627</v>
      </c>
      <c r="AM531" s="753">
        <f t="shared" si="27"/>
        <v>90.62</v>
      </c>
    </row>
    <row r="532" spans="1:39" s="566" customFormat="1" hidden="1">
      <c r="A532" s="613" t="s">
        <v>1009</v>
      </c>
      <c r="B532" s="613" t="s">
        <v>1320</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1010</v>
      </c>
      <c r="B533" s="610" t="s">
        <v>1313</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1739</v>
      </c>
      <c r="AM533" s="753">
        <f t="shared" si="27"/>
        <v>36.799999999999997</v>
      </c>
    </row>
    <row r="534" spans="1:39" s="566" customFormat="1" hidden="1">
      <c r="A534" s="498" t="s">
        <v>1011</v>
      </c>
      <c r="B534" s="614" t="s">
        <v>1321</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1012</v>
      </c>
      <c r="B535" s="613" t="s">
        <v>1322</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1013</v>
      </c>
      <c r="B536" s="610" t="s">
        <v>1323</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1740</v>
      </c>
      <c r="AM536" s="753">
        <f t="shared" si="27"/>
        <v>42.32</v>
      </c>
    </row>
    <row r="537" spans="1:39" s="566" customFormat="1" hidden="1">
      <c r="A537" s="610" t="s">
        <v>1014</v>
      </c>
      <c r="B537" s="610" t="s">
        <v>1324</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1740</v>
      </c>
      <c r="AM537" s="753">
        <f t="shared" si="27"/>
        <v>42.32</v>
      </c>
    </row>
    <row r="538" spans="1:39" s="566" customFormat="1" ht="13.5" hidden="1" thickBot="1">
      <c r="A538" s="610" t="s">
        <v>1015</v>
      </c>
      <c r="B538" s="610" t="s">
        <v>1325</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1741</v>
      </c>
      <c r="AM538" s="753">
        <f t="shared" si="27"/>
        <v>10</v>
      </c>
    </row>
    <row r="539" spans="1:39" s="566" customFormat="1" hidden="1">
      <c r="A539" s="612" t="s">
        <v>487</v>
      </c>
      <c r="B539" s="612" t="s">
        <v>1326</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488</v>
      </c>
      <c r="B540" s="614" t="s">
        <v>1327</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489</v>
      </c>
      <c r="B541" s="613" t="s">
        <v>1328</v>
      </c>
      <c r="C541" s="620" t="s">
        <v>1449</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1670</v>
      </c>
      <c r="AM541" s="753">
        <f t="shared" si="27"/>
        <v>4</v>
      </c>
    </row>
    <row r="542" spans="1:39" s="566" customFormat="1" hidden="1">
      <c r="A542" s="613" t="s">
        <v>490</v>
      </c>
      <c r="B542" s="613" t="s">
        <v>1329</v>
      </c>
      <c r="C542" s="620" t="s">
        <v>1449</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1697</v>
      </c>
      <c r="AM542" s="753">
        <f t="shared" si="27"/>
        <v>2</v>
      </c>
    </row>
    <row r="543" spans="1:39" s="566" customFormat="1" hidden="1">
      <c r="A543" s="613" t="s">
        <v>491</v>
      </c>
      <c r="B543" s="613" t="s">
        <v>1330</v>
      </c>
      <c r="C543" s="620" t="s">
        <v>1449</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1670</v>
      </c>
      <c r="AM543" s="753">
        <f t="shared" si="27"/>
        <v>4</v>
      </c>
    </row>
    <row r="544" spans="1:39" s="566" customFormat="1" hidden="1">
      <c r="A544" s="613" t="s">
        <v>1016</v>
      </c>
      <c r="B544" s="613" t="s">
        <v>1331</v>
      </c>
      <c r="C544" s="620" t="s">
        <v>1449</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1697</v>
      </c>
      <c r="AM544" s="753">
        <f t="shared" si="27"/>
        <v>2</v>
      </c>
    </row>
    <row r="545" spans="1:39" s="566" customFormat="1" hidden="1">
      <c r="A545" s="613" t="s">
        <v>1017</v>
      </c>
      <c r="B545" s="613" t="s">
        <v>1332</v>
      </c>
      <c r="C545" s="620" t="s">
        <v>1449</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1454</v>
      </c>
      <c r="AM545" s="753">
        <f t="shared" si="27"/>
        <v>1</v>
      </c>
    </row>
    <row r="546" spans="1:39" s="566" customFormat="1" hidden="1">
      <c r="A546" s="613" t="s">
        <v>1018</v>
      </c>
      <c r="B546" s="613" t="s">
        <v>1333</v>
      </c>
      <c r="C546" s="620" t="s">
        <v>1449</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1616</v>
      </c>
      <c r="AM546" s="753">
        <f t="shared" si="27"/>
        <v>6</v>
      </c>
    </row>
    <row r="547" spans="1:39" s="566" customFormat="1" hidden="1">
      <c r="A547" s="613" t="s">
        <v>1019</v>
      </c>
      <c r="B547" s="613" t="s">
        <v>1334</v>
      </c>
      <c r="C547" s="620" t="s">
        <v>1449</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1670</v>
      </c>
      <c r="AM547" s="753">
        <f t="shared" si="27"/>
        <v>4</v>
      </c>
    </row>
    <row r="548" spans="1:39" s="566" customFormat="1" hidden="1">
      <c r="A548" s="613" t="s">
        <v>1020</v>
      </c>
      <c r="B548" s="613" t="s">
        <v>1335</v>
      </c>
      <c r="C548" s="620" t="s">
        <v>1450</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1454</v>
      </c>
      <c r="AM548" s="753">
        <f t="shared" si="27"/>
        <v>1</v>
      </c>
    </row>
    <row r="549" spans="1:39" s="566" customFormat="1" hidden="1">
      <c r="A549" s="613" t="s">
        <v>1021</v>
      </c>
      <c r="B549" s="613" t="s">
        <v>1336</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1454</v>
      </c>
      <c r="AM549" s="753">
        <f t="shared" si="27"/>
        <v>1</v>
      </c>
    </row>
    <row r="550" spans="1:39" s="566" customFormat="1" hidden="1">
      <c r="A550" s="613" t="s">
        <v>1022</v>
      </c>
      <c r="B550" s="613" t="s">
        <v>1337</v>
      </c>
      <c r="C550" s="620" t="s">
        <v>1449</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1454</v>
      </c>
      <c r="AM550" s="753">
        <f t="shared" si="27"/>
        <v>1</v>
      </c>
    </row>
    <row r="551" spans="1:39" s="566" customFormat="1" hidden="1">
      <c r="A551" s="613" t="s">
        <v>1023</v>
      </c>
      <c r="B551" s="613" t="s">
        <v>1338</v>
      </c>
      <c r="C551" s="620" t="s">
        <v>1450</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1742</v>
      </c>
      <c r="AM551" s="753">
        <f t="shared" si="27"/>
        <v>19</v>
      </c>
    </row>
    <row r="552" spans="1:39" s="566" customFormat="1" hidden="1">
      <c r="A552" s="498" t="s">
        <v>492</v>
      </c>
      <c r="B552" s="614" t="s">
        <v>1339</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493</v>
      </c>
      <c r="B553" s="613" t="s">
        <v>1340</v>
      </c>
      <c r="C553" s="620" t="s">
        <v>1451</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1670</v>
      </c>
      <c r="AM553" s="753">
        <f t="shared" si="27"/>
        <v>4</v>
      </c>
    </row>
    <row r="554" spans="1:39" s="566" customFormat="1" hidden="1">
      <c r="A554" s="613" t="s">
        <v>494</v>
      </c>
      <c r="B554" s="613" t="s">
        <v>1341</v>
      </c>
      <c r="C554" s="620" t="s">
        <v>1451</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1616</v>
      </c>
      <c r="AM554" s="753">
        <f t="shared" si="27"/>
        <v>6</v>
      </c>
    </row>
    <row r="555" spans="1:39" s="566" customFormat="1" hidden="1">
      <c r="A555" s="613" t="s">
        <v>495</v>
      </c>
      <c r="B555" s="613" t="s">
        <v>1342</v>
      </c>
      <c r="C555" s="620" t="s">
        <v>1451</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1741</v>
      </c>
      <c r="AM555" s="753">
        <f t="shared" si="27"/>
        <v>10</v>
      </c>
    </row>
    <row r="556" spans="1:39" s="566" customFormat="1" hidden="1">
      <c r="A556" s="613" t="s">
        <v>1024</v>
      </c>
      <c r="B556" s="613" t="s">
        <v>1343</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1743</v>
      </c>
      <c r="AM556" s="753">
        <f t="shared" si="27"/>
        <v>32.450000000000003</v>
      </c>
    </row>
    <row r="557" spans="1:39" s="566" customFormat="1" hidden="1">
      <c r="A557" s="613" t="s">
        <v>1025</v>
      </c>
      <c r="B557" s="613" t="s">
        <v>1344</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1744</v>
      </c>
      <c r="AM557" s="753">
        <f t="shared" si="27"/>
        <v>45.55</v>
      </c>
    </row>
    <row r="558" spans="1:39" s="566" customFormat="1" hidden="1">
      <c r="A558" s="613" t="s">
        <v>1026</v>
      </c>
      <c r="B558" s="613" t="s">
        <v>1345</v>
      </c>
      <c r="C558" s="620" t="s">
        <v>1449</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1670</v>
      </c>
      <c r="AM558" s="753">
        <f t="shared" si="27"/>
        <v>4</v>
      </c>
    </row>
    <row r="559" spans="1:39" s="566" customFormat="1" hidden="1">
      <c r="A559" s="613" t="s">
        <v>1027</v>
      </c>
      <c r="B559" s="613" t="s">
        <v>1346</v>
      </c>
      <c r="C559" s="620" t="s">
        <v>1449</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1697</v>
      </c>
      <c r="AM559" s="753">
        <f t="shared" si="27"/>
        <v>2</v>
      </c>
    </row>
    <row r="560" spans="1:39" s="566" customFormat="1" hidden="1">
      <c r="A560" s="613" t="s">
        <v>1028</v>
      </c>
      <c r="B560" s="613" t="s">
        <v>1347</v>
      </c>
      <c r="C560" s="620" t="s">
        <v>1449</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1616</v>
      </c>
      <c r="AM560" s="753">
        <f t="shared" si="27"/>
        <v>6</v>
      </c>
    </row>
    <row r="561" spans="1:39" s="566" customFormat="1" hidden="1">
      <c r="A561" s="613" t="s">
        <v>1029</v>
      </c>
      <c r="B561" s="613" t="s">
        <v>1348</v>
      </c>
      <c r="C561" s="620" t="s">
        <v>1449</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1616</v>
      </c>
      <c r="AM561" s="753">
        <f t="shared" si="27"/>
        <v>6</v>
      </c>
    </row>
    <row r="562" spans="1:39" s="566" customFormat="1" hidden="1">
      <c r="A562" s="613" t="s">
        <v>1030</v>
      </c>
      <c r="B562" s="613" t="s">
        <v>1349</v>
      </c>
      <c r="C562" s="620" t="s">
        <v>1450</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1616</v>
      </c>
      <c r="AM562" s="753">
        <f t="shared" si="27"/>
        <v>6</v>
      </c>
    </row>
    <row r="563" spans="1:39" s="566" customFormat="1" hidden="1">
      <c r="A563" s="498" t="s">
        <v>496</v>
      </c>
      <c r="B563" s="614" t="s">
        <v>1350</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497</v>
      </c>
      <c r="B564" s="613" t="s">
        <v>1351</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1745</v>
      </c>
      <c r="AM564" s="753">
        <f t="shared" si="27"/>
        <v>18.04</v>
      </c>
    </row>
    <row r="565" spans="1:39" s="566" customFormat="1" hidden="1">
      <c r="A565" s="613" t="s">
        <v>498</v>
      </c>
      <c r="B565" s="613" t="s">
        <v>1352</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1745</v>
      </c>
      <c r="AM565" s="753">
        <f t="shared" si="27"/>
        <v>18.04</v>
      </c>
    </row>
    <row r="566" spans="1:39" s="566" customFormat="1" hidden="1">
      <c r="A566" s="613" t="s">
        <v>1031</v>
      </c>
      <c r="B566" s="613" t="s">
        <v>1353</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1454</v>
      </c>
      <c r="AM566" s="753">
        <f t="shared" si="27"/>
        <v>1</v>
      </c>
    </row>
    <row r="567" spans="1:39" s="566" customFormat="1" hidden="1">
      <c r="A567" s="613" t="s">
        <v>1032</v>
      </c>
      <c r="B567" s="613" t="s">
        <v>1354</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1454</v>
      </c>
      <c r="AM567" s="753">
        <f t="shared" si="27"/>
        <v>1</v>
      </c>
    </row>
    <row r="568" spans="1:39" s="566" customFormat="1" hidden="1">
      <c r="A568" s="498" t="s">
        <v>499</v>
      </c>
      <c r="B568" s="614" t="s">
        <v>1355</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500</v>
      </c>
      <c r="B569" s="613" t="s">
        <v>1351</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1746</v>
      </c>
      <c r="AM569" s="753">
        <f t="shared" si="27"/>
        <v>10.08</v>
      </c>
    </row>
    <row r="570" spans="1:39" s="566" customFormat="1" hidden="1">
      <c r="A570" s="613" t="s">
        <v>501</v>
      </c>
      <c r="B570" s="613" t="s">
        <v>1352</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1746</v>
      </c>
      <c r="AM570" s="753">
        <f t="shared" si="27"/>
        <v>10.08</v>
      </c>
    </row>
    <row r="571" spans="1:39" s="566" customFormat="1" hidden="1">
      <c r="A571" s="613" t="s">
        <v>502</v>
      </c>
      <c r="B571" s="613" t="s">
        <v>1356</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1747</v>
      </c>
      <c r="AM571" s="753">
        <f t="shared" si="27"/>
        <v>5.04</v>
      </c>
    </row>
    <row r="572" spans="1:39" s="566" customFormat="1" hidden="1">
      <c r="A572" s="613" t="s">
        <v>503</v>
      </c>
      <c r="B572" s="613" t="s">
        <v>1357</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1454</v>
      </c>
      <c r="AM572" s="753">
        <f t="shared" si="27"/>
        <v>1</v>
      </c>
    </row>
    <row r="573" spans="1:39" s="566" customFormat="1" hidden="1">
      <c r="A573" s="613" t="s">
        <v>1033</v>
      </c>
      <c r="B573" s="613" t="s">
        <v>1358</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1601</v>
      </c>
      <c r="AM573" s="753">
        <f t="shared" si="27"/>
        <v>24</v>
      </c>
    </row>
    <row r="574" spans="1:39" s="566" customFormat="1" hidden="1">
      <c r="A574" s="498" t="s">
        <v>504</v>
      </c>
      <c r="B574" s="614" t="s">
        <v>1359</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505</v>
      </c>
      <c r="B575" s="613" t="s">
        <v>1360</v>
      </c>
      <c r="C575" s="620" t="s">
        <v>1451</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1492</v>
      </c>
      <c r="AM575" s="753">
        <f t="shared" si="27"/>
        <v>15</v>
      </c>
    </row>
    <row r="576" spans="1:39" s="566" customFormat="1" hidden="1">
      <c r="A576" s="613" t="s">
        <v>506</v>
      </c>
      <c r="B576" s="613" t="s">
        <v>1361</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1748</v>
      </c>
      <c r="AM576" s="753">
        <f t="shared" si="27"/>
        <v>31.6</v>
      </c>
    </row>
    <row r="577" spans="1:39" s="566" customFormat="1" hidden="1">
      <c r="A577" s="613" t="s">
        <v>507</v>
      </c>
      <c r="B577" s="613" t="s">
        <v>1362</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1749</v>
      </c>
      <c r="AM577" s="753">
        <f t="shared" si="27"/>
        <v>46.35</v>
      </c>
    </row>
    <row r="578" spans="1:39" s="566" customFormat="1" hidden="1">
      <c r="A578" s="613" t="s">
        <v>1034</v>
      </c>
      <c r="B578" s="613" t="s">
        <v>1363</v>
      </c>
      <c r="C578" s="620" t="s">
        <v>1449</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1616</v>
      </c>
      <c r="AM578" s="753">
        <f t="shared" si="27"/>
        <v>6</v>
      </c>
    </row>
    <row r="579" spans="1:39" s="566" customFormat="1" hidden="1">
      <c r="A579" s="613" t="s">
        <v>1035</v>
      </c>
      <c r="B579" s="613" t="s">
        <v>1364</v>
      </c>
      <c r="C579" s="620" t="s">
        <v>1450</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1454</v>
      </c>
      <c r="AM579" s="753">
        <f t="shared" si="27"/>
        <v>1</v>
      </c>
    </row>
    <row r="580" spans="1:39" s="566" customFormat="1" hidden="1">
      <c r="A580" s="613" t="s">
        <v>1036</v>
      </c>
      <c r="B580" s="613" t="s">
        <v>1365</v>
      </c>
      <c r="C580" s="620" t="s">
        <v>1449</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1697</v>
      </c>
      <c r="AM580" s="753">
        <f t="shared" si="27"/>
        <v>2</v>
      </c>
    </row>
    <row r="581" spans="1:39" s="566" customFormat="1" hidden="1">
      <c r="A581" s="498" t="s">
        <v>1037</v>
      </c>
      <c r="B581" s="614" t="s">
        <v>1366</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508</v>
      </c>
      <c r="B582" s="613" t="s">
        <v>1367</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1454</v>
      </c>
      <c r="AM582" s="753">
        <f t="shared" si="27"/>
        <v>1</v>
      </c>
    </row>
    <row r="583" spans="1:39" s="566" customFormat="1" hidden="1">
      <c r="A583" s="613" t="s">
        <v>509</v>
      </c>
      <c r="B583" s="613" t="s">
        <v>1368</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1750</v>
      </c>
      <c r="AM583" s="753">
        <f t="shared" si="27"/>
        <v>77.95</v>
      </c>
    </row>
    <row r="584" spans="1:39" s="566" customFormat="1" hidden="1">
      <c r="A584" s="498" t="s">
        <v>1038</v>
      </c>
      <c r="B584" s="614" t="s">
        <v>1369</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1039</v>
      </c>
      <c r="B585" s="613" t="s">
        <v>1370</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1751</v>
      </c>
      <c r="AM585" s="753">
        <f t="shared" si="27"/>
        <v>110.78</v>
      </c>
    </row>
    <row r="586" spans="1:39" s="566" customFormat="1" hidden="1">
      <c r="A586" s="613" t="s">
        <v>1040</v>
      </c>
      <c r="B586" s="613" t="s">
        <v>1371</v>
      </c>
      <c r="C586" s="620" t="s">
        <v>1449</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1752</v>
      </c>
      <c r="AM586" s="753">
        <f t="shared" si="27"/>
        <v>34</v>
      </c>
    </row>
    <row r="587" spans="1:39" s="566" customFormat="1" hidden="1">
      <c r="A587" s="613" t="s">
        <v>1041</v>
      </c>
      <c r="B587" s="613" t="s">
        <v>1372</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1753</v>
      </c>
      <c r="AM587" s="753">
        <f t="shared" si="27"/>
        <v>35.200000000000003</v>
      </c>
    </row>
    <row r="588" spans="1:39" s="566" customFormat="1" hidden="1">
      <c r="A588" s="613" t="s">
        <v>1042</v>
      </c>
      <c r="B588" s="613" t="s">
        <v>1373</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1754</v>
      </c>
      <c r="AM588" s="753">
        <f t="shared" si="27"/>
        <v>1.32</v>
      </c>
    </row>
    <row r="589" spans="1:39" s="566" customFormat="1" hidden="1">
      <c r="A589" s="613" t="s">
        <v>1043</v>
      </c>
      <c r="B589" s="613" t="s">
        <v>1374</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1755</v>
      </c>
      <c r="AM589" s="753">
        <f t="shared" si="27"/>
        <v>114.4</v>
      </c>
    </row>
    <row r="590" spans="1:39" s="566" customFormat="1" hidden="1">
      <c r="A590" s="613" t="s">
        <v>1044</v>
      </c>
      <c r="B590" s="613" t="s">
        <v>1375</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1756</v>
      </c>
      <c r="AM590" s="753">
        <f t="shared" ref="AM590:AM653" si="30">AL590-AK590</f>
        <v>89.98</v>
      </c>
    </row>
    <row r="591" spans="1:39" s="566" customFormat="1" hidden="1">
      <c r="A591" s="613" t="s">
        <v>1045</v>
      </c>
      <c r="B591" s="613" t="s">
        <v>1376</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1757</v>
      </c>
      <c r="AM591" s="753">
        <f t="shared" si="30"/>
        <v>33.78</v>
      </c>
    </row>
    <row r="592" spans="1:39" s="566" customFormat="1" hidden="1">
      <c r="A592" s="613" t="s">
        <v>1046</v>
      </c>
      <c r="B592" s="613" t="s">
        <v>1352</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1758</v>
      </c>
      <c r="AM592" s="753">
        <f t="shared" si="30"/>
        <v>18</v>
      </c>
    </row>
    <row r="593" spans="1:39" s="566" customFormat="1" hidden="1">
      <c r="A593" s="613" t="s">
        <v>1047</v>
      </c>
      <c r="B593" s="613" t="s">
        <v>1377</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1759</v>
      </c>
      <c r="AM593" s="753">
        <f t="shared" si="30"/>
        <v>56.2</v>
      </c>
    </row>
    <row r="594" spans="1:39" s="566" customFormat="1" hidden="1">
      <c r="A594" s="613" t="s">
        <v>1048</v>
      </c>
      <c r="B594" s="613" t="s">
        <v>1378</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1759</v>
      </c>
      <c r="AM594" s="753">
        <f t="shared" si="30"/>
        <v>56.2</v>
      </c>
    </row>
    <row r="595" spans="1:39" s="566" customFormat="1" hidden="1">
      <c r="A595" s="613" t="s">
        <v>1049</v>
      </c>
      <c r="B595" s="613" t="s">
        <v>1379</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1760</v>
      </c>
      <c r="AM595" s="753">
        <f t="shared" si="30"/>
        <v>59.01</v>
      </c>
    </row>
    <row r="596" spans="1:39" s="566" customFormat="1" hidden="1">
      <c r="A596" s="613" t="s">
        <v>1050</v>
      </c>
      <c r="B596" s="613" t="s">
        <v>1380</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1761</v>
      </c>
      <c r="AM596" s="753">
        <f t="shared" si="30"/>
        <v>36.119999999999997</v>
      </c>
    </row>
    <row r="597" spans="1:39" s="566" customFormat="1" ht="13.5" hidden="1" thickBot="1">
      <c r="A597" s="613" t="s">
        <v>1051</v>
      </c>
      <c r="B597" s="613" t="s">
        <v>1381</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1669</v>
      </c>
      <c r="AM597" s="753">
        <f t="shared" si="30"/>
        <v>20</v>
      </c>
    </row>
    <row r="598" spans="1:39" s="824" customFormat="1" hidden="1">
      <c r="A598" s="912" t="s">
        <v>510</v>
      </c>
      <c r="B598" s="912" t="s">
        <v>1382</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511</v>
      </c>
      <c r="B599" s="614" t="s">
        <v>1383</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1052</v>
      </c>
      <c r="B600" s="613" t="s">
        <v>1384</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1053</v>
      </c>
      <c r="B601" s="610" t="s">
        <v>1385</v>
      </c>
      <c r="C601" s="620" t="s">
        <v>1452</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1454</v>
      </c>
      <c r="AM601" s="753">
        <f t="shared" si="30"/>
        <v>1</v>
      </c>
    </row>
    <row r="602" spans="1:39" s="566" customFormat="1" hidden="1">
      <c r="A602" s="610" t="s">
        <v>1054</v>
      </c>
      <c r="B602" s="610" t="s">
        <v>1386</v>
      </c>
      <c r="C602" s="620" t="s">
        <v>1452</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1454</v>
      </c>
      <c r="AM602" s="753">
        <f t="shared" si="30"/>
        <v>1</v>
      </c>
    </row>
    <row r="603" spans="1:39" s="566" customFormat="1" hidden="1">
      <c r="A603" s="610" t="s">
        <v>1055</v>
      </c>
      <c r="B603" s="610" t="s">
        <v>1387</v>
      </c>
      <c r="C603" s="620" t="s">
        <v>1452</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1454</v>
      </c>
      <c r="AM603" s="753">
        <f t="shared" si="30"/>
        <v>1</v>
      </c>
    </row>
    <row r="604" spans="1:39" s="566" customFormat="1" hidden="1">
      <c r="A604" s="610" t="s">
        <v>1056</v>
      </c>
      <c r="B604" s="610" t="s">
        <v>1388</v>
      </c>
      <c r="C604" s="620" t="s">
        <v>1452</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1454</v>
      </c>
      <c r="AM604" s="753">
        <f t="shared" si="30"/>
        <v>1</v>
      </c>
    </row>
    <row r="605" spans="1:39" s="824" customFormat="1" hidden="1">
      <c r="A605" s="927" t="s">
        <v>1057</v>
      </c>
      <c r="B605" s="927" t="s">
        <v>1389</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1058</v>
      </c>
      <c r="B606" s="814" t="s">
        <v>1389</v>
      </c>
      <c r="C606" s="919" t="s">
        <v>1451</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1762</v>
      </c>
      <c r="AM606" s="823">
        <f t="shared" si="30"/>
        <v>43</v>
      </c>
    </row>
    <row r="607" spans="1:39" s="824" customFormat="1" hidden="1">
      <c r="A607" s="814" t="s">
        <v>1059</v>
      </c>
      <c r="B607" s="814" t="s">
        <v>1390</v>
      </c>
      <c r="C607" s="919" t="s">
        <v>1451</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1763</v>
      </c>
      <c r="AM607" s="823">
        <f t="shared" si="30"/>
        <v>7</v>
      </c>
    </row>
    <row r="608" spans="1:39" s="566" customFormat="1" hidden="1">
      <c r="A608" s="613" t="s">
        <v>1060</v>
      </c>
      <c r="B608" s="613" t="s">
        <v>1391</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1061</v>
      </c>
      <c r="B609" s="610" t="s">
        <v>1392</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1764</v>
      </c>
      <c r="AM609" s="753">
        <f t="shared" si="30"/>
        <v>17</v>
      </c>
    </row>
    <row r="610" spans="1:39" s="566" customFormat="1" hidden="1">
      <c r="A610" s="610" t="s">
        <v>1062</v>
      </c>
      <c r="B610" s="610" t="s">
        <v>1393</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1765</v>
      </c>
      <c r="AM610" s="753">
        <f t="shared" si="30"/>
        <v>23</v>
      </c>
    </row>
    <row r="611" spans="1:39" s="566" customFormat="1" hidden="1">
      <c r="A611" s="610" t="s">
        <v>1063</v>
      </c>
      <c r="B611" s="610" t="s">
        <v>1394</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1697</v>
      </c>
      <c r="AM611" s="753">
        <f t="shared" si="30"/>
        <v>2</v>
      </c>
    </row>
    <row r="612" spans="1:39" s="566" customFormat="1" hidden="1">
      <c r="A612" s="610" t="s">
        <v>1064</v>
      </c>
      <c r="B612" s="610" t="s">
        <v>1395</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1454</v>
      </c>
      <c r="AM612" s="753">
        <f t="shared" si="30"/>
        <v>1</v>
      </c>
    </row>
    <row r="613" spans="1:39" s="566" customFormat="1" hidden="1">
      <c r="A613" s="610" t="s">
        <v>1065</v>
      </c>
      <c r="B613" s="610" t="s">
        <v>1396</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1763</v>
      </c>
      <c r="AM613" s="753">
        <f t="shared" si="30"/>
        <v>7</v>
      </c>
    </row>
    <row r="614" spans="1:39" s="824" customFormat="1" hidden="1">
      <c r="A614" s="927" t="s">
        <v>1066</v>
      </c>
      <c r="B614" s="927" t="s">
        <v>1397</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1067</v>
      </c>
      <c r="B615" s="814" t="s">
        <v>1398</v>
      </c>
      <c r="C615" s="919" t="s">
        <v>1451</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1488</v>
      </c>
      <c r="AM615" s="823">
        <f t="shared" si="30"/>
        <v>16</v>
      </c>
    </row>
    <row r="616" spans="1:39" s="824" customFormat="1" hidden="1">
      <c r="A616" s="814" t="s">
        <v>1068</v>
      </c>
      <c r="B616" s="814" t="s">
        <v>1399</v>
      </c>
      <c r="C616" s="919" t="s">
        <v>1451</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1697</v>
      </c>
      <c r="AM616" s="823">
        <f t="shared" si="30"/>
        <v>2</v>
      </c>
    </row>
    <row r="617" spans="1:39" s="824" customFormat="1" hidden="1">
      <c r="A617" s="814" t="s">
        <v>1069</v>
      </c>
      <c r="B617" s="814" t="s">
        <v>1400</v>
      </c>
      <c r="C617" s="919" t="s">
        <v>1451</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1697</v>
      </c>
      <c r="AM617" s="823">
        <f t="shared" si="30"/>
        <v>2</v>
      </c>
    </row>
    <row r="618" spans="1:39" s="824" customFormat="1" hidden="1">
      <c r="A618" s="927" t="s">
        <v>1070</v>
      </c>
      <c r="B618" s="927" t="s">
        <v>1401</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1071</v>
      </c>
      <c r="B619" s="814" t="s">
        <v>1402</v>
      </c>
      <c r="C619" s="919" t="s">
        <v>1451</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1766</v>
      </c>
      <c r="AM619" s="823">
        <f t="shared" si="30"/>
        <v>14</v>
      </c>
    </row>
    <row r="620" spans="1:39" s="824" customFormat="1" hidden="1">
      <c r="A620" s="814" t="s">
        <v>1072</v>
      </c>
      <c r="B620" s="814" t="s">
        <v>1403</v>
      </c>
      <c r="C620" s="919" t="s">
        <v>1451</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1454</v>
      </c>
      <c r="AM620" s="823">
        <f t="shared" si="30"/>
        <v>1</v>
      </c>
    </row>
    <row r="621" spans="1:39" s="824" customFormat="1" hidden="1">
      <c r="A621" s="814" t="s">
        <v>1073</v>
      </c>
      <c r="B621" s="814" t="s">
        <v>1404</v>
      </c>
      <c r="C621" s="919" t="s">
        <v>1451</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1617</v>
      </c>
      <c r="AM621" s="823">
        <f t="shared" si="30"/>
        <v>3</v>
      </c>
    </row>
    <row r="622" spans="1:39" s="824" customFormat="1" hidden="1">
      <c r="A622" s="814" t="s">
        <v>1074</v>
      </c>
      <c r="B622" s="814" t="s">
        <v>1405</v>
      </c>
      <c r="C622" s="919" t="s">
        <v>1451</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1640</v>
      </c>
      <c r="AM622" s="823">
        <f t="shared" si="30"/>
        <v>9</v>
      </c>
    </row>
    <row r="623" spans="1:39" s="824" customFormat="1" hidden="1">
      <c r="A623" s="814" t="s">
        <v>1075</v>
      </c>
      <c r="B623" s="814" t="s">
        <v>1406</v>
      </c>
      <c r="C623" s="919" t="s">
        <v>1451</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1454</v>
      </c>
      <c r="AM623" s="823">
        <f t="shared" si="30"/>
        <v>1</v>
      </c>
    </row>
    <row r="624" spans="1:39" s="566" customFormat="1" hidden="1">
      <c r="A624" s="613" t="s">
        <v>1076</v>
      </c>
      <c r="B624" s="613" t="s">
        <v>1407</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1077</v>
      </c>
      <c r="B625" s="610" t="s">
        <v>1408</v>
      </c>
      <c r="C625" s="620" t="s">
        <v>1451</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1454</v>
      </c>
      <c r="AM625" s="753">
        <f t="shared" si="30"/>
        <v>1</v>
      </c>
    </row>
    <row r="626" spans="1:39" s="566" customFormat="1" hidden="1">
      <c r="A626" s="610" t="s">
        <v>1078</v>
      </c>
      <c r="B626" s="610" t="s">
        <v>1409</v>
      </c>
      <c r="C626" s="620" t="s">
        <v>1451</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1454</v>
      </c>
      <c r="AM626" s="753">
        <f t="shared" si="30"/>
        <v>1</v>
      </c>
    </row>
    <row r="627" spans="1:39" s="566" customFormat="1" hidden="1">
      <c r="A627" s="610" t="s">
        <v>1079</v>
      </c>
      <c r="B627" s="610" t="s">
        <v>1410</v>
      </c>
      <c r="C627" s="620" t="s">
        <v>1451</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1725</v>
      </c>
      <c r="AM627" s="753">
        <f t="shared" si="30"/>
        <v>11</v>
      </c>
    </row>
    <row r="628" spans="1:39" s="566" customFormat="1" hidden="1">
      <c r="A628" s="610" t="s">
        <v>1080</v>
      </c>
      <c r="B628" s="610" t="s">
        <v>1411</v>
      </c>
      <c r="C628" s="620" t="s">
        <v>1451</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1697</v>
      </c>
      <c r="AM628" s="753">
        <f t="shared" si="30"/>
        <v>2</v>
      </c>
    </row>
    <row r="629" spans="1:39" s="566" customFormat="1" hidden="1">
      <c r="A629" s="610" t="s">
        <v>1081</v>
      </c>
      <c r="B629" s="610" t="s">
        <v>1412</v>
      </c>
      <c r="C629" s="620" t="s">
        <v>1451</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1697</v>
      </c>
      <c r="AM629" s="753">
        <f t="shared" si="30"/>
        <v>2</v>
      </c>
    </row>
    <row r="630" spans="1:39" s="824" customFormat="1" hidden="1">
      <c r="A630" s="927" t="s">
        <v>1082</v>
      </c>
      <c r="B630" s="927" t="s">
        <v>1413</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1083</v>
      </c>
      <c r="B631" s="814" t="s">
        <v>1414</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1454</v>
      </c>
      <c r="AM631" s="823">
        <f t="shared" si="30"/>
        <v>1</v>
      </c>
    </row>
    <row r="632" spans="1:39" s="566" customFormat="1" hidden="1">
      <c r="A632" s="613" t="s">
        <v>1084</v>
      </c>
      <c r="B632" s="613" t="s">
        <v>1415</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1085</v>
      </c>
      <c r="B633" s="610" t="s">
        <v>1416</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1454</v>
      </c>
      <c r="AM633" s="753">
        <f t="shared" si="30"/>
        <v>1</v>
      </c>
    </row>
    <row r="634" spans="1:39" s="566" customFormat="1" hidden="1">
      <c r="A634" s="498" t="s">
        <v>512</v>
      </c>
      <c r="B634" s="614" t="s">
        <v>1417</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1086</v>
      </c>
      <c r="B635" s="613" t="s">
        <v>1418</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1087</v>
      </c>
      <c r="B636" s="610" t="s">
        <v>1419</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1767</v>
      </c>
      <c r="AM636" s="753">
        <f t="shared" si="30"/>
        <v>29</v>
      </c>
    </row>
    <row r="637" spans="1:39" s="566" customFormat="1" hidden="1">
      <c r="A637" s="613" t="s">
        <v>1088</v>
      </c>
      <c r="B637" s="613" t="s">
        <v>1420</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1089</v>
      </c>
      <c r="B638" s="610" t="s">
        <v>1421</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1735</v>
      </c>
      <c r="AM638" s="753">
        <f t="shared" si="30"/>
        <v>64</v>
      </c>
    </row>
    <row r="639" spans="1:39" s="566" customFormat="1" hidden="1">
      <c r="A639" s="613" t="s">
        <v>1090</v>
      </c>
      <c r="B639" s="613" t="s">
        <v>1422</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1091</v>
      </c>
      <c r="B640" s="610" t="s">
        <v>1423</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1735</v>
      </c>
      <c r="AM640" s="753">
        <f t="shared" si="30"/>
        <v>64</v>
      </c>
    </row>
    <row r="641" spans="1:39" s="566" customFormat="1" hidden="1">
      <c r="A641" s="613" t="s">
        <v>1092</v>
      </c>
      <c r="B641" s="613" t="s">
        <v>1424</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1093</v>
      </c>
      <c r="B642" s="610" t="s">
        <v>1425</v>
      </c>
      <c r="C642" s="620" t="s">
        <v>1451</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1616</v>
      </c>
      <c r="AM642" s="753">
        <f t="shared" si="30"/>
        <v>6</v>
      </c>
    </row>
    <row r="643" spans="1:39" s="566" customFormat="1" hidden="1">
      <c r="A643" s="613" t="s">
        <v>1094</v>
      </c>
      <c r="B643" s="613" t="s">
        <v>1391</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1095</v>
      </c>
      <c r="B644" s="610" t="s">
        <v>1426</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1616</v>
      </c>
      <c r="AM644" s="753">
        <f t="shared" si="30"/>
        <v>6</v>
      </c>
    </row>
    <row r="645" spans="1:39" s="566" customFormat="1" hidden="1">
      <c r="A645" s="498" t="s">
        <v>1096</v>
      </c>
      <c r="B645" s="614" t="s">
        <v>1427</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1097</v>
      </c>
      <c r="B646" s="613" t="s">
        <v>1418</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1098</v>
      </c>
      <c r="B647" s="610" t="s">
        <v>1419</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1768</v>
      </c>
      <c r="AM647" s="753">
        <f t="shared" si="30"/>
        <v>56</v>
      </c>
    </row>
    <row r="648" spans="1:39" s="566" customFormat="1" hidden="1">
      <c r="A648" s="613" t="s">
        <v>1099</v>
      </c>
      <c r="B648" s="613" t="s">
        <v>1420</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1100</v>
      </c>
      <c r="B649" s="610" t="s">
        <v>1428</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1769</v>
      </c>
      <c r="AM649" s="753">
        <f t="shared" si="30"/>
        <v>80</v>
      </c>
    </row>
    <row r="650" spans="1:39" s="566" customFormat="1" hidden="1">
      <c r="A650" s="613" t="s">
        <v>1101</v>
      </c>
      <c r="B650" s="613" t="s">
        <v>1422</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1102</v>
      </c>
      <c r="B651" s="610" t="s">
        <v>1429</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1768</v>
      </c>
      <c r="AM651" s="753">
        <f t="shared" si="30"/>
        <v>56</v>
      </c>
    </row>
    <row r="652" spans="1:39" s="566" customFormat="1" hidden="1">
      <c r="A652" s="613" t="s">
        <v>1103</v>
      </c>
      <c r="B652" s="613" t="s">
        <v>1430</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1104</v>
      </c>
      <c r="B653" s="610" t="s">
        <v>1431</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1616</v>
      </c>
      <c r="AM653" s="753">
        <f t="shared" si="30"/>
        <v>6</v>
      </c>
    </row>
    <row r="654" spans="1:39" s="566" customFormat="1" hidden="1">
      <c r="A654" s="613" t="s">
        <v>1105</v>
      </c>
      <c r="B654" s="613" t="s">
        <v>1432</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1106</v>
      </c>
      <c r="B655" s="610" t="s">
        <v>1433</v>
      </c>
      <c r="C655" s="620" t="s">
        <v>1451</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1616</v>
      </c>
      <c r="AM655" s="753">
        <f t="shared" si="33"/>
        <v>6</v>
      </c>
    </row>
    <row r="656" spans="1:39" s="566" customFormat="1" hidden="1">
      <c r="A656" s="613" t="s">
        <v>1107</v>
      </c>
      <c r="B656" s="613" t="s">
        <v>1415</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1108</v>
      </c>
      <c r="B657" s="610" t="s">
        <v>1434</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1616</v>
      </c>
      <c r="AM657" s="753">
        <f t="shared" si="33"/>
        <v>6</v>
      </c>
    </row>
    <row r="658" spans="1:39" s="566" customFormat="1" hidden="1">
      <c r="A658" s="613" t="s">
        <v>1109</v>
      </c>
      <c r="B658" s="613" t="s">
        <v>1424</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1110</v>
      </c>
      <c r="B659" s="610" t="s">
        <v>1435</v>
      </c>
      <c r="C659" s="620" t="s">
        <v>1451</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1616</v>
      </c>
      <c r="AM659" s="753">
        <f t="shared" si="33"/>
        <v>6</v>
      </c>
    </row>
    <row r="660" spans="1:39" s="566" customFormat="1" hidden="1">
      <c r="A660" s="613" t="s">
        <v>1111</v>
      </c>
      <c r="B660" s="613" t="s">
        <v>1391</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1112</v>
      </c>
      <c r="B661" s="610" t="s">
        <v>1436</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1616</v>
      </c>
      <c r="AM661" s="753">
        <f t="shared" si="33"/>
        <v>6</v>
      </c>
    </row>
    <row r="662" spans="1:39" s="566" customFormat="1" hidden="1">
      <c r="A662" s="498" t="s">
        <v>1113</v>
      </c>
      <c r="B662" s="614" t="s">
        <v>1437</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1114</v>
      </c>
      <c r="B663" s="613" t="s">
        <v>1438</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1115</v>
      </c>
      <c r="B664" s="610" t="s">
        <v>1439</v>
      </c>
      <c r="C664" s="620" t="s">
        <v>1452</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1454</v>
      </c>
      <c r="AM664" s="753">
        <f t="shared" si="33"/>
        <v>1</v>
      </c>
    </row>
    <row r="665" spans="1:39" s="566" customFormat="1" hidden="1">
      <c r="A665" s="613" t="s">
        <v>1116</v>
      </c>
      <c r="B665" s="613" t="s">
        <v>1440</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1117</v>
      </c>
      <c r="B666" s="610" t="s">
        <v>1441</v>
      </c>
      <c r="C666" s="620" t="s">
        <v>1453</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1697</v>
      </c>
      <c r="AM666" s="753">
        <f t="shared" si="33"/>
        <v>2</v>
      </c>
    </row>
    <row r="667" spans="1:39" s="566" customFormat="1" hidden="1">
      <c r="A667" s="613" t="s">
        <v>1118</v>
      </c>
      <c r="B667" s="613" t="s">
        <v>1418</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1119</v>
      </c>
      <c r="B668" s="610" t="s">
        <v>1419</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1770</v>
      </c>
      <c r="AM668" s="753">
        <f t="shared" si="33"/>
        <v>90</v>
      </c>
    </row>
    <row r="669" spans="1:39" s="566" customFormat="1" hidden="1">
      <c r="A669" s="613" t="s">
        <v>1120</v>
      </c>
      <c r="B669" s="613" t="s">
        <v>1420</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1121</v>
      </c>
      <c r="B670" s="610" t="s">
        <v>1442</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1122</v>
      </c>
      <c r="B671" s="610" t="s">
        <v>1443</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1123</v>
      </c>
      <c r="B672" s="613" t="s">
        <v>1422</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1124</v>
      </c>
      <c r="B673" s="610" t="s">
        <v>1444</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1125</v>
      </c>
      <c r="B674" s="613" t="s">
        <v>1415</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1126</v>
      </c>
      <c r="B675" s="610" t="s">
        <v>1416</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1127</v>
      </c>
      <c r="B676" s="613" t="s">
        <v>1445</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1128</v>
      </c>
      <c r="B677" s="610" t="s">
        <v>1446</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1129</v>
      </c>
      <c r="B678" s="613" t="s">
        <v>1447</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5" hidden="1" thickBot="1">
      <c r="A679" s="626" t="s">
        <v>1130</v>
      </c>
      <c r="B679" s="626" t="s">
        <v>1448</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5"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1800</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1922</v>
      </c>
    </row>
    <row r="687" spans="1:39" s="1042" customFormat="1" ht="24" thickBot="1">
      <c r="A687" s="3164" t="s">
        <v>257</v>
      </c>
      <c r="B687" s="3164"/>
      <c r="C687" s="3164"/>
      <c r="D687" s="3164"/>
      <c r="E687" s="3164"/>
      <c r="F687" s="3164"/>
      <c r="G687" s="3164"/>
      <c r="H687" s="3164"/>
      <c r="I687" s="3164"/>
      <c r="J687" s="3164"/>
      <c r="K687" s="3164"/>
      <c r="L687" s="3164"/>
      <c r="M687" s="3164"/>
      <c r="N687" s="3164"/>
      <c r="O687" s="3164"/>
      <c r="P687" s="3164"/>
      <c r="Q687" s="3164"/>
      <c r="R687" s="3164"/>
      <c r="S687" s="3164"/>
      <c r="T687" s="3164"/>
      <c r="U687" s="3164"/>
      <c r="V687" s="3164"/>
      <c r="W687" s="3164"/>
      <c r="X687" s="3164"/>
      <c r="Y687" s="3164"/>
      <c r="Z687" s="3164"/>
      <c r="AA687" s="3164"/>
      <c r="AB687" s="3164"/>
      <c r="AC687" s="3164"/>
      <c r="AD687" s="3164"/>
      <c r="AE687" s="3164"/>
      <c r="AF687" s="3164"/>
      <c r="AG687" s="3164"/>
      <c r="AH687" s="3164"/>
    </row>
    <row r="688" spans="1:39" s="585" customFormat="1">
      <c r="A688" s="809" t="s">
        <v>33</v>
      </c>
      <c r="B688" s="810" t="s">
        <v>1131</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1132</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idden="1">
      <c r="A690" s="610" t="s">
        <v>536</v>
      </c>
      <c r="B690" s="325" t="s">
        <v>1133</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1454</v>
      </c>
      <c r="AM690" s="753">
        <f>AL690-AK690</f>
        <v>1</v>
      </c>
    </row>
    <row r="691" spans="1:45" s="566" customFormat="1" hidden="1">
      <c r="A691" s="610" t="s">
        <v>537</v>
      </c>
      <c r="B691" s="326" t="s">
        <v>1134</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1454</v>
      </c>
      <c r="AM691" s="753">
        <f t="shared" ref="AM691:AM694" si="37">AL691-AK691</f>
        <v>1</v>
      </c>
    </row>
    <row r="692" spans="1:45" s="566" customFormat="1" hidden="1">
      <c r="A692" s="610" t="s">
        <v>538</v>
      </c>
      <c r="B692" s="325" t="s">
        <v>1135</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1454</v>
      </c>
      <c r="AM692" s="753">
        <f t="shared" si="37"/>
        <v>1</v>
      </c>
    </row>
    <row r="693" spans="1:45" s="566" customFormat="1" hidden="1">
      <c r="A693" s="610" t="s">
        <v>539</v>
      </c>
      <c r="B693" s="326" t="s">
        <v>1136</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1454</v>
      </c>
      <c r="AM693" s="753">
        <f t="shared" si="37"/>
        <v>1</v>
      </c>
    </row>
    <row r="694" spans="1:45" s="566" customFormat="1" hidden="1">
      <c r="A694" s="610" t="s">
        <v>540</v>
      </c>
      <c r="B694" s="326" t="s">
        <v>1137</v>
      </c>
      <c r="C694" s="591" t="s">
        <v>1449</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1454</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3.5" thickBot="1">
      <c r="A696" s="814" t="s">
        <v>542</v>
      </c>
      <c r="B696" s="743" t="s">
        <v>1139</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1456</v>
      </c>
      <c r="AM696" s="823">
        <f>AN696-AK696</f>
        <v>0</v>
      </c>
      <c r="AN696" s="921">
        <v>1024</v>
      </c>
      <c r="AO696" s="835">
        <f>AL696-AN696</f>
        <v>-416.4</v>
      </c>
      <c r="AP696" s="835"/>
      <c r="AQ696" s="835"/>
      <c r="AR696" s="835"/>
      <c r="AS696" s="835"/>
    </row>
    <row r="697" spans="1:45" s="566" customFormat="1" ht="13.5" hidden="1" thickBot="1">
      <c r="A697" s="610" t="s">
        <v>543</v>
      </c>
      <c r="B697" s="616" t="s">
        <v>1140</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1457</v>
      </c>
      <c r="AM697" s="753">
        <f t="shared" ref="AM697:AM760" si="49">AL697-AK697</f>
        <v>759.49</v>
      </c>
      <c r="AO697" s="584">
        <f>AN696-AK696</f>
        <v>0</v>
      </c>
      <c r="AP697" s="566">
        <f>AO696/30</f>
        <v>-13.879999999999999</v>
      </c>
    </row>
    <row r="698" spans="1:45" s="566" customFormat="1" ht="13.5" hidden="1" thickBot="1">
      <c r="A698" s="498" t="s">
        <v>544</v>
      </c>
      <c r="B698" s="614" t="s">
        <v>1141</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5" hidden="1" thickBot="1">
      <c r="A699" s="610" t="s">
        <v>545</v>
      </c>
      <c r="B699" s="610" t="s">
        <v>1141</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1454</v>
      </c>
      <c r="AM699" s="753">
        <f t="shared" si="49"/>
        <v>1</v>
      </c>
    </row>
    <row r="700" spans="1:45" s="566" customFormat="1" ht="13.5" hidden="1" thickBot="1">
      <c r="A700" s="610" t="s">
        <v>546</v>
      </c>
      <c r="B700" s="616" t="s">
        <v>1143</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1454</v>
      </c>
      <c r="AM700" s="753">
        <f t="shared" si="49"/>
        <v>1</v>
      </c>
    </row>
    <row r="701" spans="1:45" s="566" customFormat="1" ht="13.5" hidden="1" thickBot="1">
      <c r="A701" s="498" t="s">
        <v>547</v>
      </c>
      <c r="B701" s="614" t="s">
        <v>1144</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5" hidden="1" thickBot="1">
      <c r="A702" s="610" t="s">
        <v>548</v>
      </c>
      <c r="B702" s="610" t="s">
        <v>1145</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1455</v>
      </c>
      <c r="AM702" s="753">
        <f t="shared" si="49"/>
        <v>0</v>
      </c>
    </row>
    <row r="703" spans="1:45" s="566" customFormat="1" ht="13.5" hidden="1" thickBot="1">
      <c r="A703" s="610" t="s">
        <v>549</v>
      </c>
      <c r="B703" s="610" t="s">
        <v>1818</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1455</v>
      </c>
      <c r="AM703" s="753">
        <f>AL703-AK703</f>
        <v>502.44999999999993</v>
      </c>
      <c r="AO703" s="566">
        <f>AM696/15</f>
        <v>0</v>
      </c>
    </row>
    <row r="704" spans="1:45" s="585" customFormat="1" ht="13.5" hidden="1" thickBot="1">
      <c r="A704" s="498" t="s">
        <v>550</v>
      </c>
      <c r="B704" s="614" t="s">
        <v>1146</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5" hidden="1" thickBot="1">
      <c r="A705" s="610" t="s">
        <v>551</v>
      </c>
      <c r="B705" s="616" t="s">
        <v>1147</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1454</v>
      </c>
      <c r="AM705" s="753">
        <f t="shared" si="49"/>
        <v>1</v>
      </c>
    </row>
    <row r="706" spans="1:39" s="566" customFormat="1" ht="13.5" hidden="1" thickBot="1">
      <c r="A706" s="610" t="s">
        <v>552</v>
      </c>
      <c r="B706" s="616" t="s">
        <v>1148</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1458</v>
      </c>
      <c r="AM706" s="753">
        <f t="shared" si="49"/>
        <v>30</v>
      </c>
    </row>
    <row r="707" spans="1:39" s="585" customFormat="1" ht="13.5" hidden="1" thickBot="1">
      <c r="A707" s="610" t="s">
        <v>553</v>
      </c>
      <c r="B707" s="616" t="s">
        <v>1149</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1454</v>
      </c>
      <c r="AM707" s="753">
        <f t="shared" si="49"/>
        <v>1</v>
      </c>
    </row>
    <row r="708" spans="1:39" s="566" customFormat="1" ht="13.5" hidden="1" thickBot="1">
      <c r="A708" s="610" t="s">
        <v>554</v>
      </c>
      <c r="B708" s="616" t="s">
        <v>1150</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1454</v>
      </c>
      <c r="AM708" s="753">
        <f t="shared" si="49"/>
        <v>1</v>
      </c>
    </row>
    <row r="709" spans="1:39" s="566" customFormat="1" ht="13.5" hidden="1" thickBot="1">
      <c r="A709" s="610" t="s">
        <v>555</v>
      </c>
      <c r="B709" s="616" t="s">
        <v>1151</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1454</v>
      </c>
      <c r="AM709" s="753">
        <f t="shared" si="49"/>
        <v>1</v>
      </c>
    </row>
    <row r="710" spans="1:39" s="566" customFormat="1" ht="13.5" hidden="1" thickBot="1">
      <c r="A710" s="610" t="s">
        <v>556</v>
      </c>
      <c r="B710" s="616" t="s">
        <v>1152</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1454</v>
      </c>
      <c r="AM710" s="753">
        <f t="shared" si="49"/>
        <v>1</v>
      </c>
    </row>
    <row r="711" spans="1:39" s="566" customFormat="1">
      <c r="A711" s="612" t="s">
        <v>42</v>
      </c>
      <c r="B711" s="612" t="s">
        <v>1153</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1154</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557</v>
      </c>
      <c r="B714" s="610" t="s">
        <v>1155</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1459</v>
      </c>
      <c r="AM714" s="753">
        <f t="shared" si="49"/>
        <v>27.29</v>
      </c>
    </row>
    <row r="715" spans="1:39" s="566" customFormat="1" hidden="1">
      <c r="A715" s="610" t="s">
        <v>558</v>
      </c>
      <c r="B715" s="610" t="s">
        <v>1156</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1460</v>
      </c>
      <c r="AM715" s="753">
        <f t="shared" si="49"/>
        <v>8.75</v>
      </c>
    </row>
    <row r="716" spans="1:39" s="566" customFormat="1" hidden="1">
      <c r="A716" s="610" t="s">
        <v>559</v>
      </c>
      <c r="B716" s="610" t="s">
        <v>1157</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1461</v>
      </c>
      <c r="AM716" s="753">
        <f t="shared" si="49"/>
        <v>13.99</v>
      </c>
    </row>
    <row r="717" spans="1:39" s="566" customFormat="1" hidden="1">
      <c r="A717" s="610" t="s">
        <v>560</v>
      </c>
      <c r="B717" s="610" t="s">
        <v>1158</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1462</v>
      </c>
      <c r="AM717" s="753">
        <f t="shared" si="49"/>
        <v>26.03</v>
      </c>
    </row>
    <row r="718" spans="1:39" s="566" customFormat="1" hidden="1">
      <c r="A718" s="610" t="s">
        <v>561</v>
      </c>
      <c r="B718" s="610" t="s">
        <v>1159</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1463</v>
      </c>
      <c r="AM718" s="753">
        <f t="shared" si="49"/>
        <v>27.56</v>
      </c>
    </row>
    <row r="719" spans="1:39" s="566" customFormat="1" hidden="1">
      <c r="A719" s="610" t="s">
        <v>562</v>
      </c>
      <c r="B719" s="610" t="s">
        <v>1160</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1463</v>
      </c>
      <c r="AM719" s="753">
        <f t="shared" si="49"/>
        <v>27.56</v>
      </c>
    </row>
    <row r="720" spans="1:39" s="566" customFormat="1" hidden="1">
      <c r="A720" s="613" t="s">
        <v>563</v>
      </c>
      <c r="B720" s="613" t="s">
        <v>1161</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564</v>
      </c>
      <c r="B721" s="610" t="s">
        <v>1162</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1464</v>
      </c>
      <c r="AM721" s="753">
        <f t="shared" si="49"/>
        <v>7.7</v>
      </c>
    </row>
    <row r="722" spans="1:39" s="566" customFormat="1" hidden="1">
      <c r="A722" s="610" t="s">
        <v>565</v>
      </c>
      <c r="B722" s="610" t="s">
        <v>1163</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1465</v>
      </c>
      <c r="AM722" s="753">
        <f t="shared" si="49"/>
        <v>13.46</v>
      </c>
    </row>
    <row r="723" spans="1:39" s="566" customFormat="1" hidden="1">
      <c r="A723" s="610" t="s">
        <v>566</v>
      </c>
      <c r="B723" s="610" t="s">
        <v>1164</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1466</v>
      </c>
      <c r="AM723" s="753">
        <f t="shared" si="49"/>
        <v>2.97</v>
      </c>
    </row>
    <row r="724" spans="1:39" s="566" customFormat="1" hidden="1">
      <c r="A724" s="610" t="s">
        <v>567</v>
      </c>
      <c r="B724" s="610" t="s">
        <v>1165</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1467</v>
      </c>
      <c r="AM724" s="753">
        <f t="shared" si="49"/>
        <v>0.84</v>
      </c>
    </row>
    <row r="725" spans="1:39" s="566" customFormat="1" hidden="1">
      <c r="A725" s="610" t="s">
        <v>568</v>
      </c>
      <c r="B725" s="610" t="s">
        <v>1166</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1468</v>
      </c>
      <c r="AM725" s="753">
        <f t="shared" si="49"/>
        <v>23.65</v>
      </c>
    </row>
    <row r="726" spans="1:39" s="566" customFormat="1" hidden="1">
      <c r="A726" s="610" t="s">
        <v>569</v>
      </c>
      <c r="B726" s="610" t="s">
        <v>1167</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1462</v>
      </c>
      <c r="AM726" s="753">
        <f t="shared" si="49"/>
        <v>26.03</v>
      </c>
    </row>
    <row r="727" spans="1:39" s="566" customFormat="1" hidden="1">
      <c r="A727" s="613" t="s">
        <v>570</v>
      </c>
      <c r="B727" s="613" t="s">
        <v>1168</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571</v>
      </c>
      <c r="B728" s="610" t="s">
        <v>1169</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572</v>
      </c>
      <c r="B729" s="610" t="s">
        <v>1170</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1469</v>
      </c>
      <c r="AM729" s="753">
        <f t="shared" si="49"/>
        <v>4.6100000000000003</v>
      </c>
    </row>
    <row r="730" spans="1:39" s="566" customFormat="1" hidden="1">
      <c r="A730" s="610" t="s">
        <v>573</v>
      </c>
      <c r="B730" s="610" t="s">
        <v>1171</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1470</v>
      </c>
      <c r="AM730" s="753">
        <f t="shared" si="49"/>
        <v>192.7</v>
      </c>
    </row>
    <row r="731" spans="1:39" s="566" customFormat="1" hidden="1">
      <c r="A731" s="610" t="s">
        <v>574</v>
      </c>
      <c r="B731" s="610" t="s">
        <v>1172</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575</v>
      </c>
      <c r="B732" s="610" t="s">
        <v>1173</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1471</v>
      </c>
      <c r="AM732" s="753">
        <f t="shared" si="49"/>
        <v>1.93</v>
      </c>
    </row>
    <row r="733" spans="1:39" s="566" customFormat="1" hidden="1">
      <c r="A733" s="610" t="s">
        <v>576</v>
      </c>
      <c r="B733" s="610" t="s">
        <v>1174</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1472</v>
      </c>
      <c r="AM733" s="753">
        <f t="shared" si="49"/>
        <v>15.42</v>
      </c>
    </row>
    <row r="734" spans="1:39" s="566" customFormat="1" hidden="1">
      <c r="A734" s="610" t="s">
        <v>577</v>
      </c>
      <c r="B734" s="610" t="s">
        <v>1175</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1473</v>
      </c>
      <c r="AM734" s="753">
        <f t="shared" si="49"/>
        <v>275.55</v>
      </c>
    </row>
    <row r="735" spans="1:39" s="566" customFormat="1" hidden="1">
      <c r="A735" s="610" t="s">
        <v>578</v>
      </c>
      <c r="B735" s="610" t="s">
        <v>1176</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579</v>
      </c>
      <c r="B736" s="610" t="s">
        <v>1177</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1474</v>
      </c>
      <c r="AM736" s="753">
        <f t="shared" si="49"/>
        <v>2.83</v>
      </c>
    </row>
    <row r="737" spans="1:39" s="566" customFormat="1" hidden="1">
      <c r="A737" s="610" t="s">
        <v>580</v>
      </c>
      <c r="B737" s="610" t="s">
        <v>1178</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1475</v>
      </c>
      <c r="AM737" s="753">
        <f t="shared" si="49"/>
        <v>40.020000000000003</v>
      </c>
    </row>
    <row r="738" spans="1:39" s="566" customFormat="1" hidden="1">
      <c r="A738" s="610" t="s">
        <v>581</v>
      </c>
      <c r="B738" s="610" t="s">
        <v>1179</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1476</v>
      </c>
      <c r="AM738" s="753">
        <f t="shared" si="49"/>
        <v>444.48</v>
      </c>
    </row>
    <row r="739" spans="1:39" s="566" customFormat="1" hidden="1">
      <c r="A739" s="610" t="s">
        <v>582</v>
      </c>
      <c r="B739" s="610" t="s">
        <v>1180</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583</v>
      </c>
      <c r="B740" s="610" t="s">
        <v>1181</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1477</v>
      </c>
      <c r="AM740" s="753">
        <f t="shared" si="49"/>
        <v>1.49</v>
      </c>
    </row>
    <row r="741" spans="1:39" s="566" customFormat="1" hidden="1">
      <c r="A741" s="610" t="s">
        <v>584</v>
      </c>
      <c r="B741" s="610" t="s">
        <v>1182</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1478</v>
      </c>
      <c r="AM741" s="753">
        <f t="shared" si="49"/>
        <v>19.71</v>
      </c>
    </row>
    <row r="742" spans="1:39" s="566" customFormat="1" hidden="1">
      <c r="A742" s="610" t="s">
        <v>585</v>
      </c>
      <c r="B742" s="610" t="s">
        <v>1183</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1479</v>
      </c>
      <c r="AM742" s="753">
        <f t="shared" si="49"/>
        <v>659.98</v>
      </c>
    </row>
    <row r="743" spans="1:39" s="566" customFormat="1" hidden="1">
      <c r="A743" s="610" t="s">
        <v>586</v>
      </c>
      <c r="B743" s="610" t="s">
        <v>1184</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587</v>
      </c>
      <c r="B744" s="610" t="s">
        <v>1185</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1480</v>
      </c>
      <c r="AM744" s="753">
        <f t="shared" si="49"/>
        <v>4.54</v>
      </c>
    </row>
    <row r="745" spans="1:39" s="566" customFormat="1" hidden="1">
      <c r="A745" s="610" t="s">
        <v>588</v>
      </c>
      <c r="B745" s="610" t="s">
        <v>1186</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1481</v>
      </c>
      <c r="AM745" s="753">
        <f t="shared" si="49"/>
        <v>38.93</v>
      </c>
    </row>
    <row r="746" spans="1:39" s="566" customFormat="1" hidden="1">
      <c r="A746" s="610" t="s">
        <v>589</v>
      </c>
      <c r="B746" s="610" t="s">
        <v>1187</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1482</v>
      </c>
      <c r="AM746" s="753">
        <f t="shared" si="49"/>
        <v>563.80999999999995</v>
      </c>
    </row>
    <row r="747" spans="1:39" s="566" customFormat="1" hidden="1">
      <c r="A747" s="610" t="s">
        <v>590</v>
      </c>
      <c r="B747" s="610" t="s">
        <v>1188</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591</v>
      </c>
      <c r="B748" s="610" t="s">
        <v>1189</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1483</v>
      </c>
      <c r="AM748" s="753">
        <f t="shared" si="49"/>
        <v>3.65</v>
      </c>
    </row>
    <row r="749" spans="1:39" s="566" customFormat="1" hidden="1">
      <c r="A749" s="610" t="s">
        <v>592</v>
      </c>
      <c r="B749" s="610" t="s">
        <v>1190</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1484</v>
      </c>
      <c r="AM749" s="753">
        <f t="shared" si="49"/>
        <v>41.77</v>
      </c>
    </row>
    <row r="750" spans="1:39" s="566" customFormat="1" hidden="1">
      <c r="A750" s="610" t="s">
        <v>593</v>
      </c>
      <c r="B750" s="610" t="s">
        <v>1191</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1485</v>
      </c>
      <c r="AM750" s="753">
        <f t="shared" si="49"/>
        <v>298.24</v>
      </c>
    </row>
    <row r="751" spans="1:39" s="566" customFormat="1" hidden="1">
      <c r="A751" s="610" t="s">
        <v>594</v>
      </c>
      <c r="B751" s="610" t="s">
        <v>1192</v>
      </c>
      <c r="C751" s="620" t="s">
        <v>1449</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1486</v>
      </c>
      <c r="AM751" s="753">
        <f t="shared" si="49"/>
        <v>347.95</v>
      </c>
    </row>
    <row r="752" spans="1:39" s="566" customFormat="1" hidden="1">
      <c r="A752" s="610" t="s">
        <v>595</v>
      </c>
      <c r="B752" s="610" t="s">
        <v>1193</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596</v>
      </c>
      <c r="B753" s="610" t="s">
        <v>1194</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1487</v>
      </c>
      <c r="AM753" s="753">
        <f t="shared" si="49"/>
        <v>1.2</v>
      </c>
    </row>
    <row r="754" spans="1:39" s="566" customFormat="1" hidden="1">
      <c r="A754" s="610" t="s">
        <v>597</v>
      </c>
      <c r="B754" s="610" t="s">
        <v>1195</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1488</v>
      </c>
      <c r="AM754" s="753">
        <f t="shared" si="49"/>
        <v>16</v>
      </c>
    </row>
    <row r="755" spans="1:39" s="566" customFormat="1" hidden="1">
      <c r="A755" s="610" t="s">
        <v>598</v>
      </c>
      <c r="B755" s="610" t="s">
        <v>1196</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1489</v>
      </c>
      <c r="AM755" s="753">
        <f t="shared" si="49"/>
        <v>124.05</v>
      </c>
    </row>
    <row r="756" spans="1:39" s="566" customFormat="1" hidden="1">
      <c r="A756" s="613" t="s">
        <v>599</v>
      </c>
      <c r="B756" s="613" t="s">
        <v>1197</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600</v>
      </c>
      <c r="B757" s="610" t="s">
        <v>1198</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1490</v>
      </c>
      <c r="AM757" s="753">
        <f t="shared" si="49"/>
        <v>59.04</v>
      </c>
    </row>
    <row r="758" spans="1:39" s="566" customFormat="1" hidden="1">
      <c r="A758" s="613" t="s">
        <v>601</v>
      </c>
      <c r="B758" s="613" t="s">
        <v>1199</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602</v>
      </c>
      <c r="B759" s="610" t="s">
        <v>1200</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1491</v>
      </c>
      <c r="AM759" s="753">
        <f t="shared" si="49"/>
        <v>100.3</v>
      </c>
    </row>
    <row r="760" spans="1:39" s="566" customFormat="1" hidden="1">
      <c r="A760" s="610" t="s">
        <v>603</v>
      </c>
      <c r="B760" s="610" t="s">
        <v>225</v>
      </c>
      <c r="C760" s="536" t="s">
        <v>1449</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1492</v>
      </c>
      <c r="AM760" s="753">
        <f t="shared" si="49"/>
        <v>15</v>
      </c>
    </row>
    <row r="761" spans="1:39" s="566" customFormat="1">
      <c r="A761" s="498" t="s">
        <v>44</v>
      </c>
      <c r="B761" s="614" t="s">
        <v>1201</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604</v>
      </c>
      <c r="B763" s="610" t="s">
        <v>1155</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1493</v>
      </c>
      <c r="AM763" s="753">
        <f t="shared" si="52"/>
        <v>34.270000000000003</v>
      </c>
    </row>
    <row r="764" spans="1:39" s="566" customFormat="1" hidden="1">
      <c r="A764" s="610" t="s">
        <v>605</v>
      </c>
      <c r="B764" s="610" t="s">
        <v>1156</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1494</v>
      </c>
      <c r="AM764" s="753">
        <f t="shared" si="52"/>
        <v>16.989999999999998</v>
      </c>
    </row>
    <row r="765" spans="1:39" s="566" customFormat="1" hidden="1">
      <c r="A765" s="610" t="s">
        <v>606</v>
      </c>
      <c r="B765" s="610" t="s">
        <v>1157</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1495</v>
      </c>
      <c r="AM765" s="753">
        <f t="shared" si="52"/>
        <v>28.37</v>
      </c>
    </row>
    <row r="766" spans="1:39" s="566" customFormat="1" hidden="1">
      <c r="A766" s="610" t="s">
        <v>607</v>
      </c>
      <c r="B766" s="610" t="s">
        <v>1158</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1496</v>
      </c>
      <c r="AM766" s="753">
        <f t="shared" si="52"/>
        <v>57.19</v>
      </c>
    </row>
    <row r="767" spans="1:39" s="566" customFormat="1" hidden="1">
      <c r="A767" s="610" t="s">
        <v>608</v>
      </c>
      <c r="B767" s="610" t="s">
        <v>1159</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1497</v>
      </c>
      <c r="AM767" s="753">
        <f t="shared" si="52"/>
        <v>28.61</v>
      </c>
    </row>
    <row r="768" spans="1:39" s="566" customFormat="1" hidden="1">
      <c r="A768" s="610" t="s">
        <v>609</v>
      </c>
      <c r="B768" s="610" t="s">
        <v>1160</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1497</v>
      </c>
      <c r="AM768" s="753">
        <f t="shared" si="52"/>
        <v>28.61</v>
      </c>
    </row>
    <row r="769" spans="1:39" s="566" customFormat="1" hidden="1">
      <c r="A769" s="613" t="s">
        <v>55</v>
      </c>
      <c r="B769" s="613" t="s">
        <v>1161</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610</v>
      </c>
      <c r="B770" s="610" t="s">
        <v>1202</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1498</v>
      </c>
      <c r="AM770" s="753">
        <f t="shared" si="52"/>
        <v>26.55</v>
      </c>
    </row>
    <row r="771" spans="1:39" s="939" customFormat="1" hidden="1">
      <c r="A771" s="928" t="s">
        <v>611</v>
      </c>
      <c r="B771" s="928" t="s">
        <v>1203</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1499</v>
      </c>
      <c r="AM771" s="938">
        <f t="shared" si="52"/>
        <v>12.87</v>
      </c>
    </row>
    <row r="772" spans="1:39" s="939" customFormat="1" hidden="1">
      <c r="A772" s="928" t="s">
        <v>612</v>
      </c>
      <c r="B772" s="928" t="s">
        <v>1204</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1500</v>
      </c>
      <c r="AM772" s="938">
        <f t="shared" si="52"/>
        <v>2.68</v>
      </c>
    </row>
    <row r="773" spans="1:39" s="939" customFormat="1" hidden="1">
      <c r="A773" s="928" t="s">
        <v>613</v>
      </c>
      <c r="B773" s="928" t="s">
        <v>1166</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1501</v>
      </c>
      <c r="AM773" s="938">
        <f t="shared" si="52"/>
        <v>96.66</v>
      </c>
    </row>
    <row r="774" spans="1:39" s="566" customFormat="1" hidden="1">
      <c r="A774" s="610" t="s">
        <v>614</v>
      </c>
      <c r="B774" s="610" t="s">
        <v>1167</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1496</v>
      </c>
      <c r="AM774" s="753">
        <f t="shared" si="52"/>
        <v>57.19</v>
      </c>
    </row>
    <row r="775" spans="1:39" s="566" customFormat="1">
      <c r="A775" s="613" t="s">
        <v>615</v>
      </c>
      <c r="B775" s="613" t="s">
        <v>1168</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616</v>
      </c>
      <c r="B776" s="610" t="s">
        <v>1169</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617</v>
      </c>
      <c r="B777" s="610" t="s">
        <v>1205</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1502</v>
      </c>
      <c r="AM777" s="753">
        <f t="shared" si="52"/>
        <v>8.06</v>
      </c>
    </row>
    <row r="778" spans="1:39" s="566" customFormat="1" hidden="1">
      <c r="A778" s="610" t="s">
        <v>618</v>
      </c>
      <c r="B778" s="610" t="s">
        <v>1171</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1503</v>
      </c>
      <c r="AM778" s="753">
        <f t="shared" si="52"/>
        <v>337.22</v>
      </c>
    </row>
    <row r="779" spans="1:39" s="566" customFormat="1">
      <c r="A779" s="610" t="s">
        <v>619</v>
      </c>
      <c r="B779" s="610" t="s">
        <v>1172</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620</v>
      </c>
      <c r="B780" s="610" t="s">
        <v>1206</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1504</v>
      </c>
      <c r="AM780" s="753">
        <f t="shared" si="52"/>
        <v>2.5</v>
      </c>
    </row>
    <row r="781" spans="1:39" s="566" customFormat="1">
      <c r="A781" s="610" t="s">
        <v>621</v>
      </c>
      <c r="B781" s="610" t="s">
        <v>1174</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1505</v>
      </c>
      <c r="AM781" s="753">
        <f t="shared" si="52"/>
        <v>19.989999999999998</v>
      </c>
    </row>
    <row r="782" spans="1:39" s="566" customFormat="1">
      <c r="A782" s="610" t="s">
        <v>622</v>
      </c>
      <c r="B782" s="610" t="s">
        <v>1175</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1506</v>
      </c>
      <c r="AM782" s="753">
        <f t="shared" si="52"/>
        <v>116.45999999999998</v>
      </c>
    </row>
    <row r="783" spans="1:39" s="566" customFormat="1" hidden="1">
      <c r="A783" s="610" t="s">
        <v>623</v>
      </c>
      <c r="B783" s="610" t="s">
        <v>1176</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624</v>
      </c>
      <c r="B784" s="610" t="s">
        <v>1207</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1507</v>
      </c>
      <c r="AM784" s="753">
        <f t="shared" si="52"/>
        <v>5.95</v>
      </c>
    </row>
    <row r="785" spans="1:39" s="566" customFormat="1" hidden="1">
      <c r="A785" s="610" t="s">
        <v>625</v>
      </c>
      <c r="B785" s="610" t="s">
        <v>1178</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1508</v>
      </c>
      <c r="AM785" s="753">
        <f t="shared" si="52"/>
        <v>77.91</v>
      </c>
    </row>
    <row r="786" spans="1:39" s="566" customFormat="1" hidden="1">
      <c r="A786" s="610" t="s">
        <v>626</v>
      </c>
      <c r="B786" s="610" t="s">
        <v>1179</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1509</v>
      </c>
      <c r="AM786" s="753">
        <f t="shared" si="52"/>
        <v>2582.91</v>
      </c>
    </row>
    <row r="787" spans="1:39" s="566" customFormat="1" hidden="1">
      <c r="A787" s="610" t="s">
        <v>627</v>
      </c>
      <c r="B787" s="610" t="s">
        <v>1180</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628</v>
      </c>
      <c r="B788" s="610" t="s">
        <v>1181</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1510</v>
      </c>
      <c r="AM788" s="753">
        <f t="shared" si="52"/>
        <v>2.82</v>
      </c>
    </row>
    <row r="789" spans="1:39" s="566" customFormat="1" hidden="1">
      <c r="A789" s="610" t="s">
        <v>629</v>
      </c>
      <c r="B789" s="610" t="s">
        <v>1182</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1511</v>
      </c>
      <c r="AM789" s="753">
        <f t="shared" si="52"/>
        <v>35.44</v>
      </c>
    </row>
    <row r="790" spans="1:39" s="566" customFormat="1" hidden="1">
      <c r="A790" s="610" t="s">
        <v>630</v>
      </c>
      <c r="B790" s="610" t="s">
        <v>1183</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1512</v>
      </c>
      <c r="AM790" s="753">
        <f t="shared" si="52"/>
        <v>536.94000000000005</v>
      </c>
    </row>
    <row r="791" spans="1:39" s="566" customFormat="1" hidden="1">
      <c r="A791" s="610" t="s">
        <v>631</v>
      </c>
      <c r="B791" s="610" t="s">
        <v>1184</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632</v>
      </c>
      <c r="B792" s="610" t="s">
        <v>1185</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1513</v>
      </c>
      <c r="AM792" s="753">
        <f t="shared" si="52"/>
        <v>10.33</v>
      </c>
    </row>
    <row r="793" spans="1:39" s="566" customFormat="1" hidden="1">
      <c r="A793" s="610" t="s">
        <v>633</v>
      </c>
      <c r="B793" s="610" t="s">
        <v>1186</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1514</v>
      </c>
      <c r="AM793" s="753">
        <f t="shared" si="52"/>
        <v>116.46</v>
      </c>
    </row>
    <row r="794" spans="1:39" s="566" customFormat="1" hidden="1">
      <c r="A794" s="610" t="s">
        <v>634</v>
      </c>
      <c r="B794" s="610" t="s">
        <v>1187</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1515</v>
      </c>
      <c r="AM794" s="753">
        <f t="shared" si="52"/>
        <v>1452.85</v>
      </c>
    </row>
    <row r="795" spans="1:39" s="566" customFormat="1" hidden="1">
      <c r="A795" s="610" t="s">
        <v>635</v>
      </c>
      <c r="B795" s="610" t="s">
        <v>1188</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636</v>
      </c>
      <c r="B796" s="610" t="s">
        <v>1189</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1516</v>
      </c>
      <c r="AM796" s="753">
        <f t="shared" si="52"/>
        <v>8.94</v>
      </c>
    </row>
    <row r="797" spans="1:39" s="566" customFormat="1" hidden="1">
      <c r="A797" s="610" t="s">
        <v>637</v>
      </c>
      <c r="B797" s="610" t="s">
        <v>1190</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1517</v>
      </c>
      <c r="AM797" s="753">
        <f t="shared" si="52"/>
        <v>102.17</v>
      </c>
    </row>
    <row r="798" spans="1:39" s="566" customFormat="1" hidden="1">
      <c r="A798" s="610" t="s">
        <v>638</v>
      </c>
      <c r="B798" s="610" t="s">
        <v>1191</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1518</v>
      </c>
      <c r="AM798" s="753">
        <f t="shared" si="52"/>
        <v>1062.45</v>
      </c>
    </row>
    <row r="799" spans="1:39" s="566" customFormat="1" hidden="1">
      <c r="A799" s="610" t="s">
        <v>639</v>
      </c>
      <c r="B799" s="610" t="s">
        <v>1192</v>
      </c>
      <c r="C799" s="536" t="s">
        <v>1449</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1519</v>
      </c>
      <c r="AM799" s="753">
        <f t="shared" si="52"/>
        <v>851.11</v>
      </c>
    </row>
    <row r="800" spans="1:39" s="566" customFormat="1" hidden="1">
      <c r="A800" s="610" t="s">
        <v>640</v>
      </c>
      <c r="B800" s="610" t="s">
        <v>1193</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641</v>
      </c>
      <c r="B801" s="610" t="s">
        <v>1194</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1520</v>
      </c>
      <c r="AM801" s="753">
        <f t="shared" si="52"/>
        <v>2.66</v>
      </c>
    </row>
    <row r="802" spans="1:39" s="566" customFormat="1" hidden="1">
      <c r="A802" s="610" t="s">
        <v>642</v>
      </c>
      <c r="B802" s="610" t="s">
        <v>1195</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1511</v>
      </c>
      <c r="AM802" s="753">
        <f t="shared" si="52"/>
        <v>35.44</v>
      </c>
    </row>
    <row r="803" spans="1:39" s="566" customFormat="1" hidden="1">
      <c r="A803" s="610" t="s">
        <v>643</v>
      </c>
      <c r="B803" s="610" t="s">
        <v>1196</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1521</v>
      </c>
      <c r="AM803" s="753">
        <f t="shared" si="52"/>
        <v>179.59</v>
      </c>
    </row>
    <row r="804" spans="1:39" s="566" customFormat="1" hidden="1">
      <c r="A804" s="613" t="s">
        <v>644</v>
      </c>
      <c r="B804" s="613" t="s">
        <v>1197</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645</v>
      </c>
      <c r="B805" s="610" t="s">
        <v>1198</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1522</v>
      </c>
      <c r="AM805" s="753">
        <f t="shared" si="52"/>
        <v>158.4</v>
      </c>
    </row>
    <row r="806" spans="1:39" s="566" customFormat="1" hidden="1">
      <c r="A806" s="613" t="s">
        <v>646</v>
      </c>
      <c r="B806" s="613" t="s">
        <v>1199</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647</v>
      </c>
      <c r="B807" s="610" t="s">
        <v>1200</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1523</v>
      </c>
      <c r="AM807" s="753">
        <f t="shared" si="52"/>
        <v>83.2</v>
      </c>
    </row>
    <row r="808" spans="1:39" s="566" customFormat="1" hidden="1">
      <c r="A808" s="610" t="s">
        <v>648</v>
      </c>
      <c r="B808" s="610" t="s">
        <v>225</v>
      </c>
      <c r="C808" s="536" t="s">
        <v>1449</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1492</v>
      </c>
      <c r="AM808" s="753">
        <f t="shared" si="52"/>
        <v>15</v>
      </c>
    </row>
    <row r="809" spans="1:39" s="566" customFormat="1">
      <c r="A809" s="498" t="s">
        <v>52</v>
      </c>
      <c r="B809" s="614" t="s">
        <v>1208</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1524</v>
      </c>
      <c r="AM810" s="753">
        <f t="shared" si="52"/>
        <v>28.51</v>
      </c>
    </row>
    <row r="811" spans="1:39" s="566" customFormat="1" hidden="1">
      <c r="A811" s="610" t="s">
        <v>649</v>
      </c>
      <c r="B811" s="610" t="s">
        <v>1155</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1525</v>
      </c>
      <c r="AM811" s="753">
        <f t="shared" si="52"/>
        <v>19.8</v>
      </c>
    </row>
    <row r="812" spans="1:39" s="566" customFormat="1" hidden="1">
      <c r="A812" s="610" t="s">
        <v>650</v>
      </c>
      <c r="B812" s="610" t="s">
        <v>1156</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1526</v>
      </c>
      <c r="AM812" s="753">
        <f t="shared" si="52"/>
        <v>34.56</v>
      </c>
    </row>
    <row r="813" spans="1:39" s="566" customFormat="1" hidden="1">
      <c r="A813" s="610" t="s">
        <v>651</v>
      </c>
      <c r="B813" s="610" t="s">
        <v>1157</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1527</v>
      </c>
      <c r="AM813" s="753">
        <f t="shared" si="52"/>
        <v>72.33</v>
      </c>
    </row>
    <row r="814" spans="1:39" s="566" customFormat="1" hidden="1">
      <c r="A814" s="610" t="s">
        <v>652</v>
      </c>
      <c r="B814" s="610" t="s">
        <v>1158</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1528</v>
      </c>
      <c r="AM814" s="753">
        <f t="shared" si="52"/>
        <v>17.190000000000001</v>
      </c>
    </row>
    <row r="815" spans="1:39" s="566" customFormat="1" hidden="1">
      <c r="A815" s="610" t="s">
        <v>653</v>
      </c>
      <c r="B815" s="610" t="s">
        <v>1159</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1528</v>
      </c>
      <c r="AM815" s="753">
        <f t="shared" si="52"/>
        <v>17.190000000000001</v>
      </c>
    </row>
    <row r="816" spans="1:39" s="566" customFormat="1" hidden="1">
      <c r="A816" s="610" t="s">
        <v>654</v>
      </c>
      <c r="B816" s="610" t="s">
        <v>1160</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1161</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1529</v>
      </c>
      <c r="AM817" s="753">
        <f t="shared" si="52"/>
        <v>23.07</v>
      </c>
    </row>
    <row r="818" spans="1:42" s="566" customFormat="1" hidden="1">
      <c r="A818" s="610" t="s">
        <v>655</v>
      </c>
      <c r="B818" s="610" t="s">
        <v>1202</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1530</v>
      </c>
      <c r="AM818" s="753">
        <f t="shared" si="52"/>
        <v>10.4</v>
      </c>
    </row>
    <row r="819" spans="1:42" s="939" customFormat="1" hidden="1">
      <c r="A819" s="928" t="s">
        <v>656</v>
      </c>
      <c r="B819" s="928" t="s">
        <v>1203</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1531</v>
      </c>
      <c r="AM819" s="938">
        <f t="shared" si="52"/>
        <v>2.1800000000000002</v>
      </c>
    </row>
    <row r="820" spans="1:42" s="939" customFormat="1" hidden="1">
      <c r="A820" s="928" t="s">
        <v>657</v>
      </c>
      <c r="B820" s="928" t="s">
        <v>1204</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1532</v>
      </c>
      <c r="AM820" s="938">
        <f t="shared" si="52"/>
        <v>29.03</v>
      </c>
    </row>
    <row r="821" spans="1:42" s="566" customFormat="1" hidden="1">
      <c r="A821" s="610" t="s">
        <v>658</v>
      </c>
      <c r="B821" s="610" t="s">
        <v>1166</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1527</v>
      </c>
      <c r="AM821" s="753">
        <f t="shared" si="52"/>
        <v>72.33</v>
      </c>
    </row>
    <row r="822" spans="1:42" s="566" customFormat="1" hidden="1">
      <c r="A822" s="610" t="s">
        <v>659</v>
      </c>
      <c r="B822" s="610" t="s">
        <v>1167</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660</v>
      </c>
      <c r="B823" s="613" t="s">
        <v>1168</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661</v>
      </c>
      <c r="B824" s="610" t="s">
        <v>1169</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1533</v>
      </c>
      <c r="AM824" s="753">
        <f t="shared" si="52"/>
        <v>6.34</v>
      </c>
    </row>
    <row r="825" spans="1:42" s="566" customFormat="1" hidden="1">
      <c r="A825" s="610" t="s">
        <v>662</v>
      </c>
      <c r="B825" s="610" t="s">
        <v>1205</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1534</v>
      </c>
      <c r="AM825" s="753">
        <f t="shared" ref="AM825:AM830" si="55">AL825-AK825</f>
        <v>264.95999999999998</v>
      </c>
    </row>
    <row r="826" spans="1:42" s="566" customFormat="1" hidden="1">
      <c r="A826" s="610" t="s">
        <v>663</v>
      </c>
      <c r="B826" s="610" t="s">
        <v>1171</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664</v>
      </c>
      <c r="B827" s="610" t="s">
        <v>1172</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1535</v>
      </c>
      <c r="AM827" s="753">
        <f t="shared" si="55"/>
        <v>3.77</v>
      </c>
    </row>
    <row r="828" spans="1:42" s="566" customFormat="1">
      <c r="A828" s="610" t="s">
        <v>665</v>
      </c>
      <c r="B828" s="610" t="s">
        <v>1206</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1536</v>
      </c>
      <c r="AM828" s="753">
        <f t="shared" si="55"/>
        <v>28.919999999999998</v>
      </c>
    </row>
    <row r="829" spans="1:42" s="566" customFormat="1">
      <c r="A829" s="610" t="s">
        <v>666</v>
      </c>
      <c r="B829" s="610" t="s">
        <v>1174</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1537</v>
      </c>
      <c r="AM829" s="753">
        <f t="shared" si="55"/>
        <v>355.24</v>
      </c>
    </row>
    <row r="830" spans="1:42" s="566" customFormat="1" ht="13.35" customHeight="1">
      <c r="A830" s="610" t="s">
        <v>667</v>
      </c>
      <c r="B830" s="610" t="s">
        <v>1175</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165" t="s">
        <v>258</v>
      </c>
      <c r="E831" s="3165"/>
      <c r="F831" s="3165"/>
      <c r="G831" s="3165"/>
      <c r="H831" s="3165"/>
      <c r="I831" s="3165"/>
      <c r="J831" s="3165"/>
      <c r="K831" s="3165"/>
      <c r="L831" s="3165"/>
      <c r="M831" s="3165"/>
      <c r="N831" s="3165"/>
      <c r="O831" s="3165"/>
      <c r="P831" s="3165"/>
      <c r="Q831" s="3165"/>
      <c r="R831" s="3165"/>
      <c r="S831" s="3165"/>
      <c r="T831" s="3165"/>
      <c r="U831" s="3165"/>
      <c r="V831" s="3165"/>
      <c r="W831" s="3165"/>
      <c r="X831" s="3165"/>
      <c r="Y831" s="3165"/>
      <c r="Z831" s="3165"/>
      <c r="AA831" s="3165"/>
      <c r="AB831" s="3165"/>
      <c r="AC831" s="3165"/>
      <c r="AD831" s="3165"/>
      <c r="AE831" s="3165"/>
      <c r="AF831" s="3165"/>
      <c r="AG831" s="3165"/>
      <c r="AH831" s="3165"/>
      <c r="AI831" s="3165"/>
      <c r="AJ831" s="3165"/>
      <c r="AK831" s="3165"/>
      <c r="AL831" s="3165"/>
      <c r="AM831" s="3165"/>
      <c r="AN831" s="3165"/>
      <c r="AO831" s="3165"/>
      <c r="AP831" s="3165"/>
    </row>
    <row r="832" spans="1:42" s="585" customFormat="1">
      <c r="A832" s="632" t="s">
        <v>513</v>
      </c>
      <c r="B832" s="633" t="s">
        <v>1803</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514</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c r="A834" s="610" t="s">
        <v>1804</v>
      </c>
      <c r="B834" s="326" t="s">
        <v>1819</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c r="A835" s="610" t="s">
        <v>1926</v>
      </c>
      <c r="B835" s="846" t="s">
        <v>1932</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c r="A836" s="610" t="s">
        <v>1928</v>
      </c>
      <c r="B836" s="846" t="s">
        <v>1933</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c r="A837" s="610" t="s">
        <v>1929</v>
      </c>
      <c r="B837" s="846" t="s">
        <v>1934</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c r="A838" s="610" t="s">
        <v>1930</v>
      </c>
      <c r="B838" s="846" t="s">
        <v>1936</v>
      </c>
      <c r="C838" s="840" t="s">
        <v>1935</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c r="A839" s="610" t="s">
        <v>1931</v>
      </c>
      <c r="B839" s="846" t="s">
        <v>1927</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c r="A840" s="610" t="s">
        <v>1937</v>
      </c>
      <c r="B840" s="846" t="s">
        <v>1941</v>
      </c>
      <c r="C840" s="841" t="s">
        <v>1940</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c r="A841" s="610" t="s">
        <v>1938</v>
      </c>
      <c r="B841" s="846" t="s">
        <v>1942</v>
      </c>
      <c r="C841" s="841" t="s">
        <v>1940</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c r="A842" s="610" t="s">
        <v>1939</v>
      </c>
      <c r="B842" s="846" t="s">
        <v>1943</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c r="A843" s="610" t="s">
        <v>1990</v>
      </c>
      <c r="B843" s="1009" t="s">
        <v>2003</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c r="A844" s="610" t="s">
        <v>2001</v>
      </c>
      <c r="B844" s="1009" t="s">
        <v>2092</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c r="A845" s="610" t="s">
        <v>2005</v>
      </c>
      <c r="B845" s="1009" t="s">
        <v>2006</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c r="A846" s="981" t="s">
        <v>2062</v>
      </c>
      <c r="B846" s="846" t="s">
        <v>1201</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c r="A847" s="982" t="s">
        <v>2063</v>
      </c>
      <c r="B847" s="846" t="s">
        <v>1946</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c r="A848" s="982" t="s">
        <v>2064</v>
      </c>
      <c r="B848" s="846" t="s">
        <v>1947</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c r="A849" s="982" t="s">
        <v>2065</v>
      </c>
      <c r="B849" s="846" t="s">
        <v>1991</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c r="A850" s="982" t="s">
        <v>2066</v>
      </c>
      <c r="B850" s="846" t="s">
        <v>1992</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c r="A851" s="982" t="s">
        <v>2067</v>
      </c>
      <c r="B851" s="1009" t="s">
        <v>1993</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5">
      <c r="A852" s="982" t="s">
        <v>2068</v>
      </c>
      <c r="B852" s="1009" t="s">
        <v>1994</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c r="A853" s="982" t="s">
        <v>2069</v>
      </c>
      <c r="B853" s="1009" t="s">
        <v>1995</v>
      </c>
      <c r="C853" s="841" t="s">
        <v>1935</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c r="A854" s="982" t="s">
        <v>2070</v>
      </c>
      <c r="B854" s="846" t="s">
        <v>1996</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c r="A855" s="982" t="s">
        <v>2071</v>
      </c>
      <c r="B855" s="1009" t="s">
        <v>1997</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5">
      <c r="A856" s="982" t="s">
        <v>2072</v>
      </c>
      <c r="B856" s="1009" t="s">
        <v>1998</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c r="A857" s="982" t="s">
        <v>2073</v>
      </c>
      <c r="B857" s="1009" t="s">
        <v>1999</v>
      </c>
      <c r="C857" s="841" t="s">
        <v>1935</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c r="A858" s="981" t="s">
        <v>2074</v>
      </c>
      <c r="B858" s="846" t="s">
        <v>1208</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c r="A859" s="982" t="s">
        <v>2075</v>
      </c>
      <c r="B859" s="846" t="s">
        <v>1946</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c r="A860" s="982" t="s">
        <v>2076</v>
      </c>
      <c r="B860" s="846" t="s">
        <v>1947</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c r="A861" s="982" t="s">
        <v>2077</v>
      </c>
      <c r="B861" s="846" t="s">
        <v>1991</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c r="A862" s="982" t="s">
        <v>2078</v>
      </c>
      <c r="B862" s="846" t="s">
        <v>1992</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c r="A863" s="982" t="s">
        <v>2079</v>
      </c>
      <c r="B863" s="1009" t="s">
        <v>1993</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c r="A864" s="982" t="s">
        <v>2080</v>
      </c>
      <c r="B864" s="1009" t="s">
        <v>1994</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c r="A865" s="982" t="s">
        <v>2081</v>
      </c>
      <c r="B865" s="1009" t="s">
        <v>1995</v>
      </c>
      <c r="C865" s="841" t="s">
        <v>1935</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c r="A866" s="982" t="s">
        <v>2082</v>
      </c>
      <c r="B866" s="846" t="s">
        <v>1996</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c r="A867" s="982" t="s">
        <v>2083</v>
      </c>
      <c r="B867" s="1009" t="s">
        <v>1997</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c r="A868" s="982" t="s">
        <v>2084</v>
      </c>
      <c r="B868" s="1009" t="s">
        <v>1998</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c r="A869" s="982" t="s">
        <v>2085</v>
      </c>
      <c r="B869" s="1009" t="s">
        <v>1999</v>
      </c>
      <c r="C869" s="841" t="s">
        <v>1935</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c r="A870" s="981" t="s">
        <v>2086</v>
      </c>
      <c r="B870" s="616" t="s">
        <v>1210</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c r="A871" s="982" t="s">
        <v>2087</v>
      </c>
      <c r="B871" s="846" t="s">
        <v>1946</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c r="A872" s="982" t="s">
        <v>2088</v>
      </c>
      <c r="B872" s="846" t="s">
        <v>1947</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2578125" defaultRowHeight="12.75"/>
  <cols>
    <col min="1" max="1" width="12.5703125" style="624" customWidth="1"/>
    <col min="2" max="2" width="74.5703125" style="622" customWidth="1"/>
    <col min="3" max="3" width="7" style="565" customWidth="1"/>
    <col min="4" max="4" width="7" style="829" customWidth="1"/>
    <col min="5" max="5" width="9.42578125" style="563" customWidth="1"/>
    <col min="6" max="10" width="7" style="563" customWidth="1"/>
    <col min="11" max="11" width="9.570312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703125" style="563" customWidth="1"/>
    <col min="24" max="24" width="9.42578125" style="564" customWidth="1"/>
    <col min="25" max="25" width="7" style="829" customWidth="1"/>
    <col min="26" max="26" width="10.42578125" style="563" customWidth="1"/>
    <col min="27" max="27" width="8.5703125" style="563" customWidth="1"/>
    <col min="28" max="28" width="7" style="563" customWidth="1"/>
    <col min="29" max="29" width="9.42578125" style="563" customWidth="1"/>
    <col min="30" max="30" width="7" style="829" customWidth="1"/>
    <col min="31" max="31" width="9.5703125" style="563" customWidth="1"/>
    <col min="32" max="32" width="7" style="829" customWidth="1"/>
    <col min="33" max="33" width="9.42578125" style="1167" customWidth="1"/>
    <col min="34" max="34" width="9.42578125" style="564" hidden="1" customWidth="1"/>
    <col min="35" max="37" width="9.42578125" style="563" customWidth="1"/>
    <col min="38" max="38" width="11.42578125" style="563"/>
    <col min="39" max="39" width="14.42578125" style="563" customWidth="1"/>
    <col min="40" max="257" width="11.42578125" style="563"/>
    <col min="258" max="258" width="6.42578125" style="563" customWidth="1"/>
    <col min="259" max="259" width="47.5703125" style="563" customWidth="1"/>
    <col min="260" max="261" width="5" style="563" customWidth="1"/>
    <col min="262" max="262" width="5.42578125" style="563" customWidth="1"/>
    <col min="263" max="263" width="4.5703125" style="563" customWidth="1"/>
    <col min="264" max="265" width="4.42578125" style="563" customWidth="1"/>
    <col min="266" max="266" width="3.5703125" style="563" customWidth="1"/>
    <col min="267" max="267" width="5" style="563" customWidth="1"/>
    <col min="268" max="268" width="4" style="563" customWidth="1"/>
    <col min="269" max="270" width="4.5703125" style="563" customWidth="1"/>
    <col min="271" max="271" width="4.42578125" style="563" customWidth="1"/>
    <col min="272" max="272" width="4" style="563" customWidth="1"/>
    <col min="273" max="273" width="3.5703125" style="563" customWidth="1"/>
    <col min="274" max="275" width="4.5703125" style="563" customWidth="1"/>
    <col min="276" max="276" width="4" style="563" customWidth="1"/>
    <col min="277" max="278" width="4.42578125" style="563" customWidth="1"/>
    <col min="279" max="279" width="3.5703125" style="563" customWidth="1"/>
    <col min="280" max="280" width="4.42578125" style="563" customWidth="1"/>
    <col min="281" max="281" width="5.5703125" style="563" customWidth="1"/>
    <col min="282" max="282" width="3.5703125" style="563" customWidth="1"/>
    <col min="283" max="283" width="4" style="563" customWidth="1"/>
    <col min="284" max="284" width="4.5703125" style="563" customWidth="1"/>
    <col min="285" max="287" width="4.42578125" style="563" customWidth="1"/>
    <col min="288" max="289" width="4.5703125" style="563" customWidth="1"/>
    <col min="290" max="290" width="4" style="563" customWidth="1"/>
    <col min="291" max="291" width="4.5703125" style="563" customWidth="1"/>
    <col min="292" max="292" width="6" style="563" customWidth="1"/>
    <col min="293" max="293" width="8.5703125" style="563" customWidth="1"/>
    <col min="294" max="513" width="11.42578125" style="563"/>
    <col min="514" max="514" width="6.42578125" style="563" customWidth="1"/>
    <col min="515" max="515" width="47.5703125" style="563" customWidth="1"/>
    <col min="516" max="517" width="5" style="563" customWidth="1"/>
    <col min="518" max="518" width="5.42578125" style="563" customWidth="1"/>
    <col min="519" max="519" width="4.5703125" style="563" customWidth="1"/>
    <col min="520" max="521" width="4.42578125" style="563" customWidth="1"/>
    <col min="522" max="522" width="3.5703125" style="563" customWidth="1"/>
    <col min="523" max="523" width="5" style="563" customWidth="1"/>
    <col min="524" max="524" width="4" style="563" customWidth="1"/>
    <col min="525" max="526" width="4.5703125" style="563" customWidth="1"/>
    <col min="527" max="527" width="4.42578125" style="563" customWidth="1"/>
    <col min="528" max="528" width="4" style="563" customWidth="1"/>
    <col min="529" max="529" width="3.5703125" style="563" customWidth="1"/>
    <col min="530" max="531" width="4.5703125" style="563" customWidth="1"/>
    <col min="532" max="532" width="4" style="563" customWidth="1"/>
    <col min="533" max="534" width="4.42578125" style="563" customWidth="1"/>
    <col min="535" max="535" width="3.5703125" style="563" customWidth="1"/>
    <col min="536" max="536" width="4.42578125" style="563" customWidth="1"/>
    <col min="537" max="537" width="5.5703125" style="563" customWidth="1"/>
    <col min="538" max="538" width="3.5703125" style="563" customWidth="1"/>
    <col min="539" max="539" width="4" style="563" customWidth="1"/>
    <col min="540" max="540" width="4.5703125" style="563" customWidth="1"/>
    <col min="541" max="543" width="4.42578125" style="563" customWidth="1"/>
    <col min="544" max="545" width="4.5703125" style="563" customWidth="1"/>
    <col min="546" max="546" width="4" style="563" customWidth="1"/>
    <col min="547" max="547" width="4.5703125" style="563" customWidth="1"/>
    <col min="548" max="548" width="6" style="563" customWidth="1"/>
    <col min="549" max="549" width="8.5703125" style="563" customWidth="1"/>
    <col min="550" max="769" width="11.42578125" style="563"/>
    <col min="770" max="770" width="6.42578125" style="563" customWidth="1"/>
    <col min="771" max="771" width="47.5703125" style="563" customWidth="1"/>
    <col min="772" max="773" width="5" style="563" customWidth="1"/>
    <col min="774" max="774" width="5.42578125" style="563" customWidth="1"/>
    <col min="775" max="775" width="4.5703125" style="563" customWidth="1"/>
    <col min="776" max="777" width="4.42578125" style="563" customWidth="1"/>
    <col min="778" max="778" width="3.5703125" style="563" customWidth="1"/>
    <col min="779" max="779" width="5" style="563" customWidth="1"/>
    <col min="780" max="780" width="4" style="563" customWidth="1"/>
    <col min="781" max="782" width="4.5703125" style="563" customWidth="1"/>
    <col min="783" max="783" width="4.42578125" style="563" customWidth="1"/>
    <col min="784" max="784" width="4" style="563" customWidth="1"/>
    <col min="785" max="785" width="3.5703125" style="563" customWidth="1"/>
    <col min="786" max="787" width="4.5703125" style="563" customWidth="1"/>
    <col min="788" max="788" width="4" style="563" customWidth="1"/>
    <col min="789" max="790" width="4.42578125" style="563" customWidth="1"/>
    <col min="791" max="791" width="3.5703125" style="563" customWidth="1"/>
    <col min="792" max="792" width="4.42578125" style="563" customWidth="1"/>
    <col min="793" max="793" width="5.5703125" style="563" customWidth="1"/>
    <col min="794" max="794" width="3.5703125" style="563" customWidth="1"/>
    <col min="795" max="795" width="4" style="563" customWidth="1"/>
    <col min="796" max="796" width="4.5703125" style="563" customWidth="1"/>
    <col min="797" max="799" width="4.42578125" style="563" customWidth="1"/>
    <col min="800" max="801" width="4.5703125" style="563" customWidth="1"/>
    <col min="802" max="802" width="4" style="563" customWidth="1"/>
    <col min="803" max="803" width="4.5703125" style="563" customWidth="1"/>
    <col min="804" max="804" width="6" style="563" customWidth="1"/>
    <col min="805" max="805" width="8.5703125" style="563" customWidth="1"/>
    <col min="806" max="1025" width="11.42578125" style="563"/>
    <col min="1026" max="1026" width="6.42578125" style="563" customWidth="1"/>
    <col min="1027" max="1027" width="47.5703125" style="563" customWidth="1"/>
    <col min="1028" max="1029" width="5" style="563" customWidth="1"/>
    <col min="1030" max="1030" width="5.42578125" style="563" customWidth="1"/>
    <col min="1031" max="1031" width="4.5703125" style="563" customWidth="1"/>
    <col min="1032" max="1033" width="4.42578125" style="563" customWidth="1"/>
    <col min="1034" max="1034" width="3.5703125" style="563" customWidth="1"/>
    <col min="1035" max="1035" width="5" style="563" customWidth="1"/>
    <col min="1036" max="1036" width="4" style="563" customWidth="1"/>
    <col min="1037" max="1038" width="4.5703125" style="563" customWidth="1"/>
    <col min="1039" max="1039" width="4.42578125" style="563" customWidth="1"/>
    <col min="1040" max="1040" width="4" style="563" customWidth="1"/>
    <col min="1041" max="1041" width="3.5703125" style="563" customWidth="1"/>
    <col min="1042" max="1043" width="4.5703125" style="563" customWidth="1"/>
    <col min="1044" max="1044" width="4" style="563" customWidth="1"/>
    <col min="1045" max="1046" width="4.42578125" style="563" customWidth="1"/>
    <col min="1047" max="1047" width="3.5703125" style="563" customWidth="1"/>
    <col min="1048" max="1048" width="4.42578125" style="563" customWidth="1"/>
    <col min="1049" max="1049" width="5.5703125" style="563" customWidth="1"/>
    <col min="1050" max="1050" width="3.5703125" style="563" customWidth="1"/>
    <col min="1051" max="1051" width="4" style="563" customWidth="1"/>
    <col min="1052" max="1052" width="4.5703125" style="563" customWidth="1"/>
    <col min="1053" max="1055" width="4.42578125" style="563" customWidth="1"/>
    <col min="1056" max="1057" width="4.5703125" style="563" customWidth="1"/>
    <col min="1058" max="1058" width="4" style="563" customWidth="1"/>
    <col min="1059" max="1059" width="4.5703125" style="563" customWidth="1"/>
    <col min="1060" max="1060" width="6" style="563" customWidth="1"/>
    <col min="1061" max="1061" width="8.5703125" style="563" customWidth="1"/>
    <col min="1062" max="1281" width="11.42578125" style="563"/>
    <col min="1282" max="1282" width="6.42578125" style="563" customWidth="1"/>
    <col min="1283" max="1283" width="47.5703125" style="563" customWidth="1"/>
    <col min="1284" max="1285" width="5" style="563" customWidth="1"/>
    <col min="1286" max="1286" width="5.42578125" style="563" customWidth="1"/>
    <col min="1287" max="1287" width="4.5703125" style="563" customWidth="1"/>
    <col min="1288" max="1289" width="4.42578125" style="563" customWidth="1"/>
    <col min="1290" max="1290" width="3.5703125" style="563" customWidth="1"/>
    <col min="1291" max="1291" width="5" style="563" customWidth="1"/>
    <col min="1292" max="1292" width="4" style="563" customWidth="1"/>
    <col min="1293" max="1294" width="4.5703125" style="563" customWidth="1"/>
    <col min="1295" max="1295" width="4.42578125" style="563" customWidth="1"/>
    <col min="1296" max="1296" width="4" style="563" customWidth="1"/>
    <col min="1297" max="1297" width="3.5703125" style="563" customWidth="1"/>
    <col min="1298" max="1299" width="4.5703125" style="563" customWidth="1"/>
    <col min="1300" max="1300" width="4" style="563" customWidth="1"/>
    <col min="1301" max="1302" width="4.42578125" style="563" customWidth="1"/>
    <col min="1303" max="1303" width="3.5703125" style="563" customWidth="1"/>
    <col min="1304" max="1304" width="4.42578125" style="563" customWidth="1"/>
    <col min="1305" max="1305" width="5.5703125" style="563" customWidth="1"/>
    <col min="1306" max="1306" width="3.5703125" style="563" customWidth="1"/>
    <col min="1307" max="1307" width="4" style="563" customWidth="1"/>
    <col min="1308" max="1308" width="4.5703125" style="563" customWidth="1"/>
    <col min="1309" max="1311" width="4.42578125" style="563" customWidth="1"/>
    <col min="1312" max="1313" width="4.5703125" style="563" customWidth="1"/>
    <col min="1314" max="1314" width="4" style="563" customWidth="1"/>
    <col min="1315" max="1315" width="4.5703125" style="563" customWidth="1"/>
    <col min="1316" max="1316" width="6" style="563" customWidth="1"/>
    <col min="1317" max="1317" width="8.5703125" style="563" customWidth="1"/>
    <col min="1318" max="1537" width="11.42578125" style="563"/>
    <col min="1538" max="1538" width="6.42578125" style="563" customWidth="1"/>
    <col min="1539" max="1539" width="47.5703125" style="563" customWidth="1"/>
    <col min="1540" max="1541" width="5" style="563" customWidth="1"/>
    <col min="1542" max="1542" width="5.42578125" style="563" customWidth="1"/>
    <col min="1543" max="1543" width="4.5703125" style="563" customWidth="1"/>
    <col min="1544" max="1545" width="4.42578125" style="563" customWidth="1"/>
    <col min="1546" max="1546" width="3.5703125" style="563" customWidth="1"/>
    <col min="1547" max="1547" width="5" style="563" customWidth="1"/>
    <col min="1548" max="1548" width="4" style="563" customWidth="1"/>
    <col min="1549" max="1550" width="4.5703125" style="563" customWidth="1"/>
    <col min="1551" max="1551" width="4.42578125" style="563" customWidth="1"/>
    <col min="1552" max="1552" width="4" style="563" customWidth="1"/>
    <col min="1553" max="1553" width="3.5703125" style="563" customWidth="1"/>
    <col min="1554" max="1555" width="4.5703125" style="563" customWidth="1"/>
    <col min="1556" max="1556" width="4" style="563" customWidth="1"/>
    <col min="1557" max="1558" width="4.42578125" style="563" customWidth="1"/>
    <col min="1559" max="1559" width="3.5703125" style="563" customWidth="1"/>
    <col min="1560" max="1560" width="4.42578125" style="563" customWidth="1"/>
    <col min="1561" max="1561" width="5.5703125" style="563" customWidth="1"/>
    <col min="1562" max="1562" width="3.5703125" style="563" customWidth="1"/>
    <col min="1563" max="1563" width="4" style="563" customWidth="1"/>
    <col min="1564" max="1564" width="4.5703125" style="563" customWidth="1"/>
    <col min="1565" max="1567" width="4.42578125" style="563" customWidth="1"/>
    <col min="1568" max="1569" width="4.5703125" style="563" customWidth="1"/>
    <col min="1570" max="1570" width="4" style="563" customWidth="1"/>
    <col min="1571" max="1571" width="4.5703125" style="563" customWidth="1"/>
    <col min="1572" max="1572" width="6" style="563" customWidth="1"/>
    <col min="1573" max="1573" width="8.5703125" style="563" customWidth="1"/>
    <col min="1574" max="1793" width="11.42578125" style="563"/>
    <col min="1794" max="1794" width="6.42578125" style="563" customWidth="1"/>
    <col min="1795" max="1795" width="47.5703125" style="563" customWidth="1"/>
    <col min="1796" max="1797" width="5" style="563" customWidth="1"/>
    <col min="1798" max="1798" width="5.42578125" style="563" customWidth="1"/>
    <col min="1799" max="1799" width="4.5703125" style="563" customWidth="1"/>
    <col min="1800" max="1801" width="4.42578125" style="563" customWidth="1"/>
    <col min="1802" max="1802" width="3.5703125" style="563" customWidth="1"/>
    <col min="1803" max="1803" width="5" style="563" customWidth="1"/>
    <col min="1804" max="1804" width="4" style="563" customWidth="1"/>
    <col min="1805" max="1806" width="4.5703125" style="563" customWidth="1"/>
    <col min="1807" max="1807" width="4.42578125" style="563" customWidth="1"/>
    <col min="1808" max="1808" width="4" style="563" customWidth="1"/>
    <col min="1809" max="1809" width="3.5703125" style="563" customWidth="1"/>
    <col min="1810" max="1811" width="4.5703125" style="563" customWidth="1"/>
    <col min="1812" max="1812" width="4" style="563" customWidth="1"/>
    <col min="1813" max="1814" width="4.42578125" style="563" customWidth="1"/>
    <col min="1815" max="1815" width="3.5703125" style="563" customWidth="1"/>
    <col min="1816" max="1816" width="4.42578125" style="563" customWidth="1"/>
    <col min="1817" max="1817" width="5.5703125" style="563" customWidth="1"/>
    <col min="1818" max="1818" width="3.5703125" style="563" customWidth="1"/>
    <col min="1819" max="1819" width="4" style="563" customWidth="1"/>
    <col min="1820" max="1820" width="4.5703125" style="563" customWidth="1"/>
    <col min="1821" max="1823" width="4.42578125" style="563" customWidth="1"/>
    <col min="1824" max="1825" width="4.5703125" style="563" customWidth="1"/>
    <col min="1826" max="1826" width="4" style="563" customWidth="1"/>
    <col min="1827" max="1827" width="4.5703125" style="563" customWidth="1"/>
    <col min="1828" max="1828" width="6" style="563" customWidth="1"/>
    <col min="1829" max="1829" width="8.5703125" style="563" customWidth="1"/>
    <col min="1830" max="2049" width="11.42578125" style="563"/>
    <col min="2050" max="2050" width="6.42578125" style="563" customWidth="1"/>
    <col min="2051" max="2051" width="47.5703125" style="563" customWidth="1"/>
    <col min="2052" max="2053" width="5" style="563" customWidth="1"/>
    <col min="2054" max="2054" width="5.42578125" style="563" customWidth="1"/>
    <col min="2055" max="2055" width="4.5703125" style="563" customWidth="1"/>
    <col min="2056" max="2057" width="4.42578125" style="563" customWidth="1"/>
    <col min="2058" max="2058" width="3.5703125" style="563" customWidth="1"/>
    <col min="2059" max="2059" width="5" style="563" customWidth="1"/>
    <col min="2060" max="2060" width="4" style="563" customWidth="1"/>
    <col min="2061" max="2062" width="4.5703125" style="563" customWidth="1"/>
    <col min="2063" max="2063" width="4.42578125" style="563" customWidth="1"/>
    <col min="2064" max="2064" width="4" style="563" customWidth="1"/>
    <col min="2065" max="2065" width="3.5703125" style="563" customWidth="1"/>
    <col min="2066" max="2067" width="4.5703125" style="563" customWidth="1"/>
    <col min="2068" max="2068" width="4" style="563" customWidth="1"/>
    <col min="2069" max="2070" width="4.42578125" style="563" customWidth="1"/>
    <col min="2071" max="2071" width="3.5703125" style="563" customWidth="1"/>
    <col min="2072" max="2072" width="4.42578125" style="563" customWidth="1"/>
    <col min="2073" max="2073" width="5.5703125" style="563" customWidth="1"/>
    <col min="2074" max="2074" width="3.5703125" style="563" customWidth="1"/>
    <col min="2075" max="2075" width="4" style="563" customWidth="1"/>
    <col min="2076" max="2076" width="4.5703125" style="563" customWidth="1"/>
    <col min="2077" max="2079" width="4.42578125" style="563" customWidth="1"/>
    <col min="2080" max="2081" width="4.5703125" style="563" customWidth="1"/>
    <col min="2082" max="2082" width="4" style="563" customWidth="1"/>
    <col min="2083" max="2083" width="4.5703125" style="563" customWidth="1"/>
    <col min="2084" max="2084" width="6" style="563" customWidth="1"/>
    <col min="2085" max="2085" width="8.5703125" style="563" customWidth="1"/>
    <col min="2086" max="2305" width="11.42578125" style="563"/>
    <col min="2306" max="2306" width="6.42578125" style="563" customWidth="1"/>
    <col min="2307" max="2307" width="47.5703125" style="563" customWidth="1"/>
    <col min="2308" max="2309" width="5" style="563" customWidth="1"/>
    <col min="2310" max="2310" width="5.42578125" style="563" customWidth="1"/>
    <col min="2311" max="2311" width="4.5703125" style="563" customWidth="1"/>
    <col min="2312" max="2313" width="4.42578125" style="563" customWidth="1"/>
    <col min="2314" max="2314" width="3.5703125" style="563" customWidth="1"/>
    <col min="2315" max="2315" width="5" style="563" customWidth="1"/>
    <col min="2316" max="2316" width="4" style="563" customWidth="1"/>
    <col min="2317" max="2318" width="4.5703125" style="563" customWidth="1"/>
    <col min="2319" max="2319" width="4.42578125" style="563" customWidth="1"/>
    <col min="2320" max="2320" width="4" style="563" customWidth="1"/>
    <col min="2321" max="2321" width="3.5703125" style="563" customWidth="1"/>
    <col min="2322" max="2323" width="4.5703125" style="563" customWidth="1"/>
    <col min="2324" max="2324" width="4" style="563" customWidth="1"/>
    <col min="2325" max="2326" width="4.42578125" style="563" customWidth="1"/>
    <col min="2327" max="2327" width="3.5703125" style="563" customWidth="1"/>
    <col min="2328" max="2328" width="4.42578125" style="563" customWidth="1"/>
    <col min="2329" max="2329" width="5.5703125" style="563" customWidth="1"/>
    <col min="2330" max="2330" width="3.5703125" style="563" customWidth="1"/>
    <col min="2331" max="2331" width="4" style="563" customWidth="1"/>
    <col min="2332" max="2332" width="4.5703125" style="563" customWidth="1"/>
    <col min="2333" max="2335" width="4.42578125" style="563" customWidth="1"/>
    <col min="2336" max="2337" width="4.5703125" style="563" customWidth="1"/>
    <col min="2338" max="2338" width="4" style="563" customWidth="1"/>
    <col min="2339" max="2339" width="4.5703125" style="563" customWidth="1"/>
    <col min="2340" max="2340" width="6" style="563" customWidth="1"/>
    <col min="2341" max="2341" width="8.5703125" style="563" customWidth="1"/>
    <col min="2342" max="2561" width="11.42578125" style="563"/>
    <col min="2562" max="2562" width="6.42578125" style="563" customWidth="1"/>
    <col min="2563" max="2563" width="47.5703125" style="563" customWidth="1"/>
    <col min="2564" max="2565" width="5" style="563" customWidth="1"/>
    <col min="2566" max="2566" width="5.42578125" style="563" customWidth="1"/>
    <col min="2567" max="2567" width="4.5703125" style="563" customWidth="1"/>
    <col min="2568" max="2569" width="4.42578125" style="563" customWidth="1"/>
    <col min="2570" max="2570" width="3.5703125" style="563" customWidth="1"/>
    <col min="2571" max="2571" width="5" style="563" customWidth="1"/>
    <col min="2572" max="2572" width="4" style="563" customWidth="1"/>
    <col min="2573" max="2574" width="4.5703125" style="563" customWidth="1"/>
    <col min="2575" max="2575" width="4.42578125" style="563" customWidth="1"/>
    <col min="2576" max="2576" width="4" style="563" customWidth="1"/>
    <col min="2577" max="2577" width="3.5703125" style="563" customWidth="1"/>
    <col min="2578" max="2579" width="4.5703125" style="563" customWidth="1"/>
    <col min="2580" max="2580" width="4" style="563" customWidth="1"/>
    <col min="2581" max="2582" width="4.42578125" style="563" customWidth="1"/>
    <col min="2583" max="2583" width="3.5703125" style="563" customWidth="1"/>
    <col min="2584" max="2584" width="4.42578125" style="563" customWidth="1"/>
    <col min="2585" max="2585" width="5.5703125" style="563" customWidth="1"/>
    <col min="2586" max="2586" width="3.5703125" style="563" customWidth="1"/>
    <col min="2587" max="2587" width="4" style="563" customWidth="1"/>
    <col min="2588" max="2588" width="4.5703125" style="563" customWidth="1"/>
    <col min="2589" max="2591" width="4.42578125" style="563" customWidth="1"/>
    <col min="2592" max="2593" width="4.5703125" style="563" customWidth="1"/>
    <col min="2594" max="2594" width="4" style="563" customWidth="1"/>
    <col min="2595" max="2595" width="4.5703125" style="563" customWidth="1"/>
    <col min="2596" max="2596" width="6" style="563" customWidth="1"/>
    <col min="2597" max="2597" width="8.5703125" style="563" customWidth="1"/>
    <col min="2598" max="2817" width="11.42578125" style="563"/>
    <col min="2818" max="2818" width="6.42578125" style="563" customWidth="1"/>
    <col min="2819" max="2819" width="47.5703125" style="563" customWidth="1"/>
    <col min="2820" max="2821" width="5" style="563" customWidth="1"/>
    <col min="2822" max="2822" width="5.42578125" style="563" customWidth="1"/>
    <col min="2823" max="2823" width="4.5703125" style="563" customWidth="1"/>
    <col min="2824" max="2825" width="4.42578125" style="563" customWidth="1"/>
    <col min="2826" max="2826" width="3.5703125" style="563" customWidth="1"/>
    <col min="2827" max="2827" width="5" style="563" customWidth="1"/>
    <col min="2828" max="2828" width="4" style="563" customWidth="1"/>
    <col min="2829" max="2830" width="4.5703125" style="563" customWidth="1"/>
    <col min="2831" max="2831" width="4.42578125" style="563" customWidth="1"/>
    <col min="2832" max="2832" width="4" style="563" customWidth="1"/>
    <col min="2833" max="2833" width="3.5703125" style="563" customWidth="1"/>
    <col min="2834" max="2835" width="4.5703125" style="563" customWidth="1"/>
    <col min="2836" max="2836" width="4" style="563" customWidth="1"/>
    <col min="2837" max="2838" width="4.42578125" style="563" customWidth="1"/>
    <col min="2839" max="2839" width="3.5703125" style="563" customWidth="1"/>
    <col min="2840" max="2840" width="4.42578125" style="563" customWidth="1"/>
    <col min="2841" max="2841" width="5.5703125" style="563" customWidth="1"/>
    <col min="2842" max="2842" width="3.5703125" style="563" customWidth="1"/>
    <col min="2843" max="2843" width="4" style="563" customWidth="1"/>
    <col min="2844" max="2844" width="4.5703125" style="563" customWidth="1"/>
    <col min="2845" max="2847" width="4.42578125" style="563" customWidth="1"/>
    <col min="2848" max="2849" width="4.5703125" style="563" customWidth="1"/>
    <col min="2850" max="2850" width="4" style="563" customWidth="1"/>
    <col min="2851" max="2851" width="4.5703125" style="563" customWidth="1"/>
    <col min="2852" max="2852" width="6" style="563" customWidth="1"/>
    <col min="2853" max="2853" width="8.5703125" style="563" customWidth="1"/>
    <col min="2854" max="3073" width="11.42578125" style="563"/>
    <col min="3074" max="3074" width="6.42578125" style="563" customWidth="1"/>
    <col min="3075" max="3075" width="47.5703125" style="563" customWidth="1"/>
    <col min="3076" max="3077" width="5" style="563" customWidth="1"/>
    <col min="3078" max="3078" width="5.42578125" style="563" customWidth="1"/>
    <col min="3079" max="3079" width="4.5703125" style="563" customWidth="1"/>
    <col min="3080" max="3081" width="4.42578125" style="563" customWidth="1"/>
    <col min="3082" max="3082" width="3.5703125" style="563" customWidth="1"/>
    <col min="3083" max="3083" width="5" style="563" customWidth="1"/>
    <col min="3084" max="3084" width="4" style="563" customWidth="1"/>
    <col min="3085" max="3086" width="4.5703125" style="563" customWidth="1"/>
    <col min="3087" max="3087" width="4.42578125" style="563" customWidth="1"/>
    <col min="3088" max="3088" width="4" style="563" customWidth="1"/>
    <col min="3089" max="3089" width="3.5703125" style="563" customWidth="1"/>
    <col min="3090" max="3091" width="4.5703125" style="563" customWidth="1"/>
    <col min="3092" max="3092" width="4" style="563" customWidth="1"/>
    <col min="3093" max="3094" width="4.42578125" style="563" customWidth="1"/>
    <col min="3095" max="3095" width="3.5703125" style="563" customWidth="1"/>
    <col min="3096" max="3096" width="4.42578125" style="563" customWidth="1"/>
    <col min="3097" max="3097" width="5.5703125" style="563" customWidth="1"/>
    <col min="3098" max="3098" width="3.5703125" style="563" customWidth="1"/>
    <col min="3099" max="3099" width="4" style="563" customWidth="1"/>
    <col min="3100" max="3100" width="4.5703125" style="563" customWidth="1"/>
    <col min="3101" max="3103" width="4.42578125" style="563" customWidth="1"/>
    <col min="3104" max="3105" width="4.5703125" style="563" customWidth="1"/>
    <col min="3106" max="3106" width="4" style="563" customWidth="1"/>
    <col min="3107" max="3107" width="4.5703125" style="563" customWidth="1"/>
    <col min="3108" max="3108" width="6" style="563" customWidth="1"/>
    <col min="3109" max="3109" width="8.5703125" style="563" customWidth="1"/>
    <col min="3110" max="3329" width="11.42578125" style="563"/>
    <col min="3330" max="3330" width="6.42578125" style="563" customWidth="1"/>
    <col min="3331" max="3331" width="47.5703125" style="563" customWidth="1"/>
    <col min="3332" max="3333" width="5" style="563" customWidth="1"/>
    <col min="3334" max="3334" width="5.42578125" style="563" customWidth="1"/>
    <col min="3335" max="3335" width="4.5703125" style="563" customWidth="1"/>
    <col min="3336" max="3337" width="4.42578125" style="563" customWidth="1"/>
    <col min="3338" max="3338" width="3.5703125" style="563" customWidth="1"/>
    <col min="3339" max="3339" width="5" style="563" customWidth="1"/>
    <col min="3340" max="3340" width="4" style="563" customWidth="1"/>
    <col min="3341" max="3342" width="4.5703125" style="563" customWidth="1"/>
    <col min="3343" max="3343" width="4.42578125" style="563" customWidth="1"/>
    <col min="3344" max="3344" width="4" style="563" customWidth="1"/>
    <col min="3345" max="3345" width="3.5703125" style="563" customWidth="1"/>
    <col min="3346" max="3347" width="4.5703125" style="563" customWidth="1"/>
    <col min="3348" max="3348" width="4" style="563" customWidth="1"/>
    <col min="3349" max="3350" width="4.42578125" style="563" customWidth="1"/>
    <col min="3351" max="3351" width="3.5703125" style="563" customWidth="1"/>
    <col min="3352" max="3352" width="4.42578125" style="563" customWidth="1"/>
    <col min="3353" max="3353" width="5.5703125" style="563" customWidth="1"/>
    <col min="3354" max="3354" width="3.5703125" style="563" customWidth="1"/>
    <col min="3355" max="3355" width="4" style="563" customWidth="1"/>
    <col min="3356" max="3356" width="4.5703125" style="563" customWidth="1"/>
    <col min="3357" max="3359" width="4.42578125" style="563" customWidth="1"/>
    <col min="3360" max="3361" width="4.5703125" style="563" customWidth="1"/>
    <col min="3362" max="3362" width="4" style="563" customWidth="1"/>
    <col min="3363" max="3363" width="4.5703125" style="563" customWidth="1"/>
    <col min="3364" max="3364" width="6" style="563" customWidth="1"/>
    <col min="3365" max="3365" width="8.5703125" style="563" customWidth="1"/>
    <col min="3366" max="3585" width="11.42578125" style="563"/>
    <col min="3586" max="3586" width="6.42578125" style="563" customWidth="1"/>
    <col min="3587" max="3587" width="47.5703125" style="563" customWidth="1"/>
    <col min="3588" max="3589" width="5" style="563" customWidth="1"/>
    <col min="3590" max="3590" width="5.42578125" style="563" customWidth="1"/>
    <col min="3591" max="3591" width="4.5703125" style="563" customWidth="1"/>
    <col min="3592" max="3593" width="4.42578125" style="563" customWidth="1"/>
    <col min="3594" max="3594" width="3.5703125" style="563" customWidth="1"/>
    <col min="3595" max="3595" width="5" style="563" customWidth="1"/>
    <col min="3596" max="3596" width="4" style="563" customWidth="1"/>
    <col min="3597" max="3598" width="4.5703125" style="563" customWidth="1"/>
    <col min="3599" max="3599" width="4.42578125" style="563" customWidth="1"/>
    <col min="3600" max="3600" width="4" style="563" customWidth="1"/>
    <col min="3601" max="3601" width="3.5703125" style="563" customWidth="1"/>
    <col min="3602" max="3603" width="4.5703125" style="563" customWidth="1"/>
    <col min="3604" max="3604" width="4" style="563" customWidth="1"/>
    <col min="3605" max="3606" width="4.42578125" style="563" customWidth="1"/>
    <col min="3607" max="3607" width="3.5703125" style="563" customWidth="1"/>
    <col min="3608" max="3608" width="4.42578125" style="563" customWidth="1"/>
    <col min="3609" max="3609" width="5.5703125" style="563" customWidth="1"/>
    <col min="3610" max="3610" width="3.5703125" style="563" customWidth="1"/>
    <col min="3611" max="3611" width="4" style="563" customWidth="1"/>
    <col min="3612" max="3612" width="4.5703125" style="563" customWidth="1"/>
    <col min="3613" max="3615" width="4.42578125" style="563" customWidth="1"/>
    <col min="3616" max="3617" width="4.5703125" style="563" customWidth="1"/>
    <col min="3618" max="3618" width="4" style="563" customWidth="1"/>
    <col min="3619" max="3619" width="4.5703125" style="563" customWidth="1"/>
    <col min="3620" max="3620" width="6" style="563" customWidth="1"/>
    <col min="3621" max="3621" width="8.5703125" style="563" customWidth="1"/>
    <col min="3622" max="3841" width="11.42578125" style="563"/>
    <col min="3842" max="3842" width="6.42578125" style="563" customWidth="1"/>
    <col min="3843" max="3843" width="47.5703125" style="563" customWidth="1"/>
    <col min="3844" max="3845" width="5" style="563" customWidth="1"/>
    <col min="3846" max="3846" width="5.42578125" style="563" customWidth="1"/>
    <col min="3847" max="3847" width="4.5703125" style="563" customWidth="1"/>
    <col min="3848" max="3849" width="4.42578125" style="563" customWidth="1"/>
    <col min="3850" max="3850" width="3.5703125" style="563" customWidth="1"/>
    <col min="3851" max="3851" width="5" style="563" customWidth="1"/>
    <col min="3852" max="3852" width="4" style="563" customWidth="1"/>
    <col min="3853" max="3854" width="4.5703125" style="563" customWidth="1"/>
    <col min="3855" max="3855" width="4.42578125" style="563" customWidth="1"/>
    <col min="3856" max="3856" width="4" style="563" customWidth="1"/>
    <col min="3857" max="3857" width="3.5703125" style="563" customWidth="1"/>
    <col min="3858" max="3859" width="4.5703125" style="563" customWidth="1"/>
    <col min="3860" max="3860" width="4" style="563" customWidth="1"/>
    <col min="3861" max="3862" width="4.42578125" style="563" customWidth="1"/>
    <col min="3863" max="3863" width="3.5703125" style="563" customWidth="1"/>
    <col min="3864" max="3864" width="4.42578125" style="563" customWidth="1"/>
    <col min="3865" max="3865" width="5.5703125" style="563" customWidth="1"/>
    <col min="3866" max="3866" width="3.5703125" style="563" customWidth="1"/>
    <col min="3867" max="3867" width="4" style="563" customWidth="1"/>
    <col min="3868" max="3868" width="4.5703125" style="563" customWidth="1"/>
    <col min="3869" max="3871" width="4.42578125" style="563" customWidth="1"/>
    <col min="3872" max="3873" width="4.5703125" style="563" customWidth="1"/>
    <col min="3874" max="3874" width="4" style="563" customWidth="1"/>
    <col min="3875" max="3875" width="4.5703125" style="563" customWidth="1"/>
    <col min="3876" max="3876" width="6" style="563" customWidth="1"/>
    <col min="3877" max="3877" width="8.5703125" style="563" customWidth="1"/>
    <col min="3878" max="4097" width="11.42578125" style="563"/>
    <col min="4098" max="4098" width="6.42578125" style="563" customWidth="1"/>
    <col min="4099" max="4099" width="47.5703125" style="563" customWidth="1"/>
    <col min="4100" max="4101" width="5" style="563" customWidth="1"/>
    <col min="4102" max="4102" width="5.42578125" style="563" customWidth="1"/>
    <col min="4103" max="4103" width="4.5703125" style="563" customWidth="1"/>
    <col min="4104" max="4105" width="4.42578125" style="563" customWidth="1"/>
    <col min="4106" max="4106" width="3.5703125" style="563" customWidth="1"/>
    <col min="4107" max="4107" width="5" style="563" customWidth="1"/>
    <col min="4108" max="4108" width="4" style="563" customWidth="1"/>
    <col min="4109" max="4110" width="4.5703125" style="563" customWidth="1"/>
    <col min="4111" max="4111" width="4.42578125" style="563" customWidth="1"/>
    <col min="4112" max="4112" width="4" style="563" customWidth="1"/>
    <col min="4113" max="4113" width="3.5703125" style="563" customWidth="1"/>
    <col min="4114" max="4115" width="4.5703125" style="563" customWidth="1"/>
    <col min="4116" max="4116" width="4" style="563" customWidth="1"/>
    <col min="4117" max="4118" width="4.42578125" style="563" customWidth="1"/>
    <col min="4119" max="4119" width="3.5703125" style="563" customWidth="1"/>
    <col min="4120" max="4120" width="4.42578125" style="563" customWidth="1"/>
    <col min="4121" max="4121" width="5.5703125" style="563" customWidth="1"/>
    <col min="4122" max="4122" width="3.5703125" style="563" customWidth="1"/>
    <col min="4123" max="4123" width="4" style="563" customWidth="1"/>
    <col min="4124" max="4124" width="4.5703125" style="563" customWidth="1"/>
    <col min="4125" max="4127" width="4.42578125" style="563" customWidth="1"/>
    <col min="4128" max="4129" width="4.5703125" style="563" customWidth="1"/>
    <col min="4130" max="4130" width="4" style="563" customWidth="1"/>
    <col min="4131" max="4131" width="4.5703125" style="563" customWidth="1"/>
    <col min="4132" max="4132" width="6" style="563" customWidth="1"/>
    <col min="4133" max="4133" width="8.5703125" style="563" customWidth="1"/>
    <col min="4134" max="4353" width="11.42578125" style="563"/>
    <col min="4354" max="4354" width="6.42578125" style="563" customWidth="1"/>
    <col min="4355" max="4355" width="47.5703125" style="563" customWidth="1"/>
    <col min="4356" max="4357" width="5" style="563" customWidth="1"/>
    <col min="4358" max="4358" width="5.42578125" style="563" customWidth="1"/>
    <col min="4359" max="4359" width="4.5703125" style="563" customWidth="1"/>
    <col min="4360" max="4361" width="4.42578125" style="563" customWidth="1"/>
    <col min="4362" max="4362" width="3.5703125" style="563" customWidth="1"/>
    <col min="4363" max="4363" width="5" style="563" customWidth="1"/>
    <col min="4364" max="4364" width="4" style="563" customWidth="1"/>
    <col min="4365" max="4366" width="4.5703125" style="563" customWidth="1"/>
    <col min="4367" max="4367" width="4.42578125" style="563" customWidth="1"/>
    <col min="4368" max="4368" width="4" style="563" customWidth="1"/>
    <col min="4369" max="4369" width="3.5703125" style="563" customWidth="1"/>
    <col min="4370" max="4371" width="4.5703125" style="563" customWidth="1"/>
    <col min="4372" max="4372" width="4" style="563" customWidth="1"/>
    <col min="4373" max="4374" width="4.42578125" style="563" customWidth="1"/>
    <col min="4375" max="4375" width="3.5703125" style="563" customWidth="1"/>
    <col min="4376" max="4376" width="4.42578125" style="563" customWidth="1"/>
    <col min="4377" max="4377" width="5.5703125" style="563" customWidth="1"/>
    <col min="4378" max="4378" width="3.5703125" style="563" customWidth="1"/>
    <col min="4379" max="4379" width="4" style="563" customWidth="1"/>
    <col min="4380" max="4380" width="4.5703125" style="563" customWidth="1"/>
    <col min="4381" max="4383" width="4.42578125" style="563" customWidth="1"/>
    <col min="4384" max="4385" width="4.5703125" style="563" customWidth="1"/>
    <col min="4386" max="4386" width="4" style="563" customWidth="1"/>
    <col min="4387" max="4387" width="4.5703125" style="563" customWidth="1"/>
    <col min="4388" max="4388" width="6" style="563" customWidth="1"/>
    <col min="4389" max="4389" width="8.5703125" style="563" customWidth="1"/>
    <col min="4390" max="4609" width="11.42578125" style="563"/>
    <col min="4610" max="4610" width="6.42578125" style="563" customWidth="1"/>
    <col min="4611" max="4611" width="47.5703125" style="563" customWidth="1"/>
    <col min="4612" max="4613" width="5" style="563" customWidth="1"/>
    <col min="4614" max="4614" width="5.42578125" style="563" customWidth="1"/>
    <col min="4615" max="4615" width="4.5703125" style="563" customWidth="1"/>
    <col min="4616" max="4617" width="4.42578125" style="563" customWidth="1"/>
    <col min="4618" max="4618" width="3.5703125" style="563" customWidth="1"/>
    <col min="4619" max="4619" width="5" style="563" customWidth="1"/>
    <col min="4620" max="4620" width="4" style="563" customWidth="1"/>
    <col min="4621" max="4622" width="4.5703125" style="563" customWidth="1"/>
    <col min="4623" max="4623" width="4.42578125" style="563" customWidth="1"/>
    <col min="4624" max="4624" width="4" style="563" customWidth="1"/>
    <col min="4625" max="4625" width="3.5703125" style="563" customWidth="1"/>
    <col min="4626" max="4627" width="4.5703125" style="563" customWidth="1"/>
    <col min="4628" max="4628" width="4" style="563" customWidth="1"/>
    <col min="4629" max="4630" width="4.42578125" style="563" customWidth="1"/>
    <col min="4631" max="4631" width="3.5703125" style="563" customWidth="1"/>
    <col min="4632" max="4632" width="4.42578125" style="563" customWidth="1"/>
    <col min="4633" max="4633" width="5.5703125" style="563" customWidth="1"/>
    <col min="4634" max="4634" width="3.5703125" style="563" customWidth="1"/>
    <col min="4635" max="4635" width="4" style="563" customWidth="1"/>
    <col min="4636" max="4636" width="4.5703125" style="563" customWidth="1"/>
    <col min="4637" max="4639" width="4.42578125" style="563" customWidth="1"/>
    <col min="4640" max="4641" width="4.5703125" style="563" customWidth="1"/>
    <col min="4642" max="4642" width="4" style="563" customWidth="1"/>
    <col min="4643" max="4643" width="4.5703125" style="563" customWidth="1"/>
    <col min="4644" max="4644" width="6" style="563" customWidth="1"/>
    <col min="4645" max="4645" width="8.5703125" style="563" customWidth="1"/>
    <col min="4646" max="4865" width="11.42578125" style="563"/>
    <col min="4866" max="4866" width="6.42578125" style="563" customWidth="1"/>
    <col min="4867" max="4867" width="47.5703125" style="563" customWidth="1"/>
    <col min="4868" max="4869" width="5" style="563" customWidth="1"/>
    <col min="4870" max="4870" width="5.42578125" style="563" customWidth="1"/>
    <col min="4871" max="4871" width="4.5703125" style="563" customWidth="1"/>
    <col min="4872" max="4873" width="4.42578125" style="563" customWidth="1"/>
    <col min="4874" max="4874" width="3.5703125" style="563" customWidth="1"/>
    <col min="4875" max="4875" width="5" style="563" customWidth="1"/>
    <col min="4876" max="4876" width="4" style="563" customWidth="1"/>
    <col min="4877" max="4878" width="4.5703125" style="563" customWidth="1"/>
    <col min="4879" max="4879" width="4.42578125" style="563" customWidth="1"/>
    <col min="4880" max="4880" width="4" style="563" customWidth="1"/>
    <col min="4881" max="4881" width="3.5703125" style="563" customWidth="1"/>
    <col min="4882" max="4883" width="4.5703125" style="563" customWidth="1"/>
    <col min="4884" max="4884" width="4" style="563" customWidth="1"/>
    <col min="4885" max="4886" width="4.42578125" style="563" customWidth="1"/>
    <col min="4887" max="4887" width="3.5703125" style="563" customWidth="1"/>
    <col min="4888" max="4888" width="4.42578125" style="563" customWidth="1"/>
    <col min="4889" max="4889" width="5.5703125" style="563" customWidth="1"/>
    <col min="4890" max="4890" width="3.5703125" style="563" customWidth="1"/>
    <col min="4891" max="4891" width="4" style="563" customWidth="1"/>
    <col min="4892" max="4892" width="4.5703125" style="563" customWidth="1"/>
    <col min="4893" max="4895" width="4.42578125" style="563" customWidth="1"/>
    <col min="4896" max="4897" width="4.5703125" style="563" customWidth="1"/>
    <col min="4898" max="4898" width="4" style="563" customWidth="1"/>
    <col min="4899" max="4899" width="4.5703125" style="563" customWidth="1"/>
    <col min="4900" max="4900" width="6" style="563" customWidth="1"/>
    <col min="4901" max="4901" width="8.5703125" style="563" customWidth="1"/>
    <col min="4902" max="5121" width="11.42578125" style="563"/>
    <col min="5122" max="5122" width="6.42578125" style="563" customWidth="1"/>
    <col min="5123" max="5123" width="47.5703125" style="563" customWidth="1"/>
    <col min="5124" max="5125" width="5" style="563" customWidth="1"/>
    <col min="5126" max="5126" width="5.42578125" style="563" customWidth="1"/>
    <col min="5127" max="5127" width="4.5703125" style="563" customWidth="1"/>
    <col min="5128" max="5129" width="4.42578125" style="563" customWidth="1"/>
    <col min="5130" max="5130" width="3.5703125" style="563" customWidth="1"/>
    <col min="5131" max="5131" width="5" style="563" customWidth="1"/>
    <col min="5132" max="5132" width="4" style="563" customWidth="1"/>
    <col min="5133" max="5134" width="4.5703125" style="563" customWidth="1"/>
    <col min="5135" max="5135" width="4.42578125" style="563" customWidth="1"/>
    <col min="5136" max="5136" width="4" style="563" customWidth="1"/>
    <col min="5137" max="5137" width="3.5703125" style="563" customWidth="1"/>
    <col min="5138" max="5139" width="4.5703125" style="563" customWidth="1"/>
    <col min="5140" max="5140" width="4" style="563" customWidth="1"/>
    <col min="5141" max="5142" width="4.42578125" style="563" customWidth="1"/>
    <col min="5143" max="5143" width="3.5703125" style="563" customWidth="1"/>
    <col min="5144" max="5144" width="4.42578125" style="563" customWidth="1"/>
    <col min="5145" max="5145" width="5.5703125" style="563" customWidth="1"/>
    <col min="5146" max="5146" width="3.5703125" style="563" customWidth="1"/>
    <col min="5147" max="5147" width="4" style="563" customWidth="1"/>
    <col min="5148" max="5148" width="4.5703125" style="563" customWidth="1"/>
    <col min="5149" max="5151" width="4.42578125" style="563" customWidth="1"/>
    <col min="5152" max="5153" width="4.5703125" style="563" customWidth="1"/>
    <col min="5154" max="5154" width="4" style="563" customWidth="1"/>
    <col min="5155" max="5155" width="4.5703125" style="563" customWidth="1"/>
    <col min="5156" max="5156" width="6" style="563" customWidth="1"/>
    <col min="5157" max="5157" width="8.5703125" style="563" customWidth="1"/>
    <col min="5158" max="5377" width="11.42578125" style="563"/>
    <col min="5378" max="5378" width="6.42578125" style="563" customWidth="1"/>
    <col min="5379" max="5379" width="47.5703125" style="563" customWidth="1"/>
    <col min="5380" max="5381" width="5" style="563" customWidth="1"/>
    <col min="5382" max="5382" width="5.42578125" style="563" customWidth="1"/>
    <col min="5383" max="5383" width="4.5703125" style="563" customWidth="1"/>
    <col min="5384" max="5385" width="4.42578125" style="563" customWidth="1"/>
    <col min="5386" max="5386" width="3.5703125" style="563" customWidth="1"/>
    <col min="5387" max="5387" width="5" style="563" customWidth="1"/>
    <col min="5388" max="5388" width="4" style="563" customWidth="1"/>
    <col min="5389" max="5390" width="4.5703125" style="563" customWidth="1"/>
    <col min="5391" max="5391" width="4.42578125" style="563" customWidth="1"/>
    <col min="5392" max="5392" width="4" style="563" customWidth="1"/>
    <col min="5393" max="5393" width="3.5703125" style="563" customWidth="1"/>
    <col min="5394" max="5395" width="4.5703125" style="563" customWidth="1"/>
    <col min="5396" max="5396" width="4" style="563" customWidth="1"/>
    <col min="5397" max="5398" width="4.42578125" style="563" customWidth="1"/>
    <col min="5399" max="5399" width="3.5703125" style="563" customWidth="1"/>
    <col min="5400" max="5400" width="4.42578125" style="563" customWidth="1"/>
    <col min="5401" max="5401" width="5.5703125" style="563" customWidth="1"/>
    <col min="5402" max="5402" width="3.5703125" style="563" customWidth="1"/>
    <col min="5403" max="5403" width="4" style="563" customWidth="1"/>
    <col min="5404" max="5404" width="4.5703125" style="563" customWidth="1"/>
    <col min="5405" max="5407" width="4.42578125" style="563" customWidth="1"/>
    <col min="5408" max="5409" width="4.5703125" style="563" customWidth="1"/>
    <col min="5410" max="5410" width="4" style="563" customWidth="1"/>
    <col min="5411" max="5411" width="4.5703125" style="563" customWidth="1"/>
    <col min="5412" max="5412" width="6" style="563" customWidth="1"/>
    <col min="5413" max="5413" width="8.5703125" style="563" customWidth="1"/>
    <col min="5414" max="5633" width="11.42578125" style="563"/>
    <col min="5634" max="5634" width="6.42578125" style="563" customWidth="1"/>
    <col min="5635" max="5635" width="47.5703125" style="563" customWidth="1"/>
    <col min="5636" max="5637" width="5" style="563" customWidth="1"/>
    <col min="5638" max="5638" width="5.42578125" style="563" customWidth="1"/>
    <col min="5639" max="5639" width="4.5703125" style="563" customWidth="1"/>
    <col min="5640" max="5641" width="4.42578125" style="563" customWidth="1"/>
    <col min="5642" max="5642" width="3.5703125" style="563" customWidth="1"/>
    <col min="5643" max="5643" width="5" style="563" customWidth="1"/>
    <col min="5644" max="5644" width="4" style="563" customWidth="1"/>
    <col min="5645" max="5646" width="4.5703125" style="563" customWidth="1"/>
    <col min="5647" max="5647" width="4.42578125" style="563" customWidth="1"/>
    <col min="5648" max="5648" width="4" style="563" customWidth="1"/>
    <col min="5649" max="5649" width="3.5703125" style="563" customWidth="1"/>
    <col min="5650" max="5651" width="4.5703125" style="563" customWidth="1"/>
    <col min="5652" max="5652" width="4" style="563" customWidth="1"/>
    <col min="5653" max="5654" width="4.42578125" style="563" customWidth="1"/>
    <col min="5655" max="5655" width="3.5703125" style="563" customWidth="1"/>
    <col min="5656" max="5656" width="4.42578125" style="563" customWidth="1"/>
    <col min="5657" max="5657" width="5.5703125" style="563" customWidth="1"/>
    <col min="5658" max="5658" width="3.5703125" style="563" customWidth="1"/>
    <col min="5659" max="5659" width="4" style="563" customWidth="1"/>
    <col min="5660" max="5660" width="4.5703125" style="563" customWidth="1"/>
    <col min="5661" max="5663" width="4.42578125" style="563" customWidth="1"/>
    <col min="5664" max="5665" width="4.5703125" style="563" customWidth="1"/>
    <col min="5666" max="5666" width="4" style="563" customWidth="1"/>
    <col min="5667" max="5667" width="4.5703125" style="563" customWidth="1"/>
    <col min="5668" max="5668" width="6" style="563" customWidth="1"/>
    <col min="5669" max="5669" width="8.5703125" style="563" customWidth="1"/>
    <col min="5670" max="5889" width="11.42578125" style="563"/>
    <col min="5890" max="5890" width="6.42578125" style="563" customWidth="1"/>
    <col min="5891" max="5891" width="47.5703125" style="563" customWidth="1"/>
    <col min="5892" max="5893" width="5" style="563" customWidth="1"/>
    <col min="5894" max="5894" width="5.42578125" style="563" customWidth="1"/>
    <col min="5895" max="5895" width="4.5703125" style="563" customWidth="1"/>
    <col min="5896" max="5897" width="4.42578125" style="563" customWidth="1"/>
    <col min="5898" max="5898" width="3.5703125" style="563" customWidth="1"/>
    <col min="5899" max="5899" width="5" style="563" customWidth="1"/>
    <col min="5900" max="5900" width="4" style="563" customWidth="1"/>
    <col min="5901" max="5902" width="4.5703125" style="563" customWidth="1"/>
    <col min="5903" max="5903" width="4.42578125" style="563" customWidth="1"/>
    <col min="5904" max="5904" width="4" style="563" customWidth="1"/>
    <col min="5905" max="5905" width="3.5703125" style="563" customWidth="1"/>
    <col min="5906" max="5907" width="4.5703125" style="563" customWidth="1"/>
    <col min="5908" max="5908" width="4" style="563" customWidth="1"/>
    <col min="5909" max="5910" width="4.42578125" style="563" customWidth="1"/>
    <col min="5911" max="5911" width="3.5703125" style="563" customWidth="1"/>
    <col min="5912" max="5912" width="4.42578125" style="563" customWidth="1"/>
    <col min="5913" max="5913" width="5.5703125" style="563" customWidth="1"/>
    <col min="5914" max="5914" width="3.5703125" style="563" customWidth="1"/>
    <col min="5915" max="5915" width="4" style="563" customWidth="1"/>
    <col min="5916" max="5916" width="4.5703125" style="563" customWidth="1"/>
    <col min="5917" max="5919" width="4.42578125" style="563" customWidth="1"/>
    <col min="5920" max="5921" width="4.5703125" style="563" customWidth="1"/>
    <col min="5922" max="5922" width="4" style="563" customWidth="1"/>
    <col min="5923" max="5923" width="4.5703125" style="563" customWidth="1"/>
    <col min="5924" max="5924" width="6" style="563" customWidth="1"/>
    <col min="5925" max="5925" width="8.5703125" style="563" customWidth="1"/>
    <col min="5926" max="6145" width="11.42578125" style="563"/>
    <col min="6146" max="6146" width="6.42578125" style="563" customWidth="1"/>
    <col min="6147" max="6147" width="47.5703125" style="563" customWidth="1"/>
    <col min="6148" max="6149" width="5" style="563" customWidth="1"/>
    <col min="6150" max="6150" width="5.42578125" style="563" customWidth="1"/>
    <col min="6151" max="6151" width="4.5703125" style="563" customWidth="1"/>
    <col min="6152" max="6153" width="4.42578125" style="563" customWidth="1"/>
    <col min="6154" max="6154" width="3.5703125" style="563" customWidth="1"/>
    <col min="6155" max="6155" width="5" style="563" customWidth="1"/>
    <col min="6156" max="6156" width="4" style="563" customWidth="1"/>
    <col min="6157" max="6158" width="4.5703125" style="563" customWidth="1"/>
    <col min="6159" max="6159" width="4.42578125" style="563" customWidth="1"/>
    <col min="6160" max="6160" width="4" style="563" customWidth="1"/>
    <col min="6161" max="6161" width="3.5703125" style="563" customWidth="1"/>
    <col min="6162" max="6163" width="4.5703125" style="563" customWidth="1"/>
    <col min="6164" max="6164" width="4" style="563" customWidth="1"/>
    <col min="6165" max="6166" width="4.42578125" style="563" customWidth="1"/>
    <col min="6167" max="6167" width="3.5703125" style="563" customWidth="1"/>
    <col min="6168" max="6168" width="4.42578125" style="563" customWidth="1"/>
    <col min="6169" max="6169" width="5.5703125" style="563" customWidth="1"/>
    <col min="6170" max="6170" width="3.5703125" style="563" customWidth="1"/>
    <col min="6171" max="6171" width="4" style="563" customWidth="1"/>
    <col min="6172" max="6172" width="4.5703125" style="563" customWidth="1"/>
    <col min="6173" max="6175" width="4.42578125" style="563" customWidth="1"/>
    <col min="6176" max="6177" width="4.5703125" style="563" customWidth="1"/>
    <col min="6178" max="6178" width="4" style="563" customWidth="1"/>
    <col min="6179" max="6179" width="4.5703125" style="563" customWidth="1"/>
    <col min="6180" max="6180" width="6" style="563" customWidth="1"/>
    <col min="6181" max="6181" width="8.5703125" style="563" customWidth="1"/>
    <col min="6182" max="6401" width="11.42578125" style="563"/>
    <col min="6402" max="6402" width="6.42578125" style="563" customWidth="1"/>
    <col min="6403" max="6403" width="47.5703125" style="563" customWidth="1"/>
    <col min="6404" max="6405" width="5" style="563" customWidth="1"/>
    <col min="6406" max="6406" width="5.42578125" style="563" customWidth="1"/>
    <col min="6407" max="6407" width="4.5703125" style="563" customWidth="1"/>
    <col min="6408" max="6409" width="4.42578125" style="563" customWidth="1"/>
    <col min="6410" max="6410" width="3.5703125" style="563" customWidth="1"/>
    <col min="6411" max="6411" width="5" style="563" customWidth="1"/>
    <col min="6412" max="6412" width="4" style="563" customWidth="1"/>
    <col min="6413" max="6414" width="4.5703125" style="563" customWidth="1"/>
    <col min="6415" max="6415" width="4.42578125" style="563" customWidth="1"/>
    <col min="6416" max="6416" width="4" style="563" customWidth="1"/>
    <col min="6417" max="6417" width="3.5703125" style="563" customWidth="1"/>
    <col min="6418" max="6419" width="4.5703125" style="563" customWidth="1"/>
    <col min="6420" max="6420" width="4" style="563" customWidth="1"/>
    <col min="6421" max="6422" width="4.42578125" style="563" customWidth="1"/>
    <col min="6423" max="6423" width="3.5703125" style="563" customWidth="1"/>
    <col min="6424" max="6424" width="4.42578125" style="563" customWidth="1"/>
    <col min="6425" max="6425" width="5.5703125" style="563" customWidth="1"/>
    <col min="6426" max="6426" width="3.5703125" style="563" customWidth="1"/>
    <col min="6427" max="6427" width="4" style="563" customWidth="1"/>
    <col min="6428" max="6428" width="4.5703125" style="563" customWidth="1"/>
    <col min="6429" max="6431" width="4.42578125" style="563" customWidth="1"/>
    <col min="6432" max="6433" width="4.5703125" style="563" customWidth="1"/>
    <col min="6434" max="6434" width="4" style="563" customWidth="1"/>
    <col min="6435" max="6435" width="4.5703125" style="563" customWidth="1"/>
    <col min="6436" max="6436" width="6" style="563" customWidth="1"/>
    <col min="6437" max="6437" width="8.5703125" style="563" customWidth="1"/>
    <col min="6438" max="6657" width="11.42578125" style="563"/>
    <col min="6658" max="6658" width="6.42578125" style="563" customWidth="1"/>
    <col min="6659" max="6659" width="47.5703125" style="563" customWidth="1"/>
    <col min="6660" max="6661" width="5" style="563" customWidth="1"/>
    <col min="6662" max="6662" width="5.42578125" style="563" customWidth="1"/>
    <col min="6663" max="6663" width="4.5703125" style="563" customWidth="1"/>
    <col min="6664" max="6665" width="4.42578125" style="563" customWidth="1"/>
    <col min="6666" max="6666" width="3.5703125" style="563" customWidth="1"/>
    <col min="6667" max="6667" width="5" style="563" customWidth="1"/>
    <col min="6668" max="6668" width="4" style="563" customWidth="1"/>
    <col min="6669" max="6670" width="4.5703125" style="563" customWidth="1"/>
    <col min="6671" max="6671" width="4.42578125" style="563" customWidth="1"/>
    <col min="6672" max="6672" width="4" style="563" customWidth="1"/>
    <col min="6673" max="6673" width="3.5703125" style="563" customWidth="1"/>
    <col min="6674" max="6675" width="4.5703125" style="563" customWidth="1"/>
    <col min="6676" max="6676" width="4" style="563" customWidth="1"/>
    <col min="6677" max="6678" width="4.42578125" style="563" customWidth="1"/>
    <col min="6679" max="6679" width="3.5703125" style="563" customWidth="1"/>
    <col min="6680" max="6680" width="4.42578125" style="563" customWidth="1"/>
    <col min="6681" max="6681" width="5.5703125" style="563" customWidth="1"/>
    <col min="6682" max="6682" width="3.5703125" style="563" customWidth="1"/>
    <col min="6683" max="6683" width="4" style="563" customWidth="1"/>
    <col min="6684" max="6684" width="4.5703125" style="563" customWidth="1"/>
    <col min="6685" max="6687" width="4.42578125" style="563" customWidth="1"/>
    <col min="6688" max="6689" width="4.5703125" style="563" customWidth="1"/>
    <col min="6690" max="6690" width="4" style="563" customWidth="1"/>
    <col min="6691" max="6691" width="4.5703125" style="563" customWidth="1"/>
    <col min="6692" max="6692" width="6" style="563" customWidth="1"/>
    <col min="6693" max="6693" width="8.5703125" style="563" customWidth="1"/>
    <col min="6694" max="6913" width="11.42578125" style="563"/>
    <col min="6914" max="6914" width="6.42578125" style="563" customWidth="1"/>
    <col min="6915" max="6915" width="47.5703125" style="563" customWidth="1"/>
    <col min="6916" max="6917" width="5" style="563" customWidth="1"/>
    <col min="6918" max="6918" width="5.42578125" style="563" customWidth="1"/>
    <col min="6919" max="6919" width="4.5703125" style="563" customWidth="1"/>
    <col min="6920" max="6921" width="4.42578125" style="563" customWidth="1"/>
    <col min="6922" max="6922" width="3.5703125" style="563" customWidth="1"/>
    <col min="6923" max="6923" width="5" style="563" customWidth="1"/>
    <col min="6924" max="6924" width="4" style="563" customWidth="1"/>
    <col min="6925" max="6926" width="4.5703125" style="563" customWidth="1"/>
    <col min="6927" max="6927" width="4.42578125" style="563" customWidth="1"/>
    <col min="6928" max="6928" width="4" style="563" customWidth="1"/>
    <col min="6929" max="6929" width="3.5703125" style="563" customWidth="1"/>
    <col min="6930" max="6931" width="4.5703125" style="563" customWidth="1"/>
    <col min="6932" max="6932" width="4" style="563" customWidth="1"/>
    <col min="6933" max="6934" width="4.42578125" style="563" customWidth="1"/>
    <col min="6935" max="6935" width="3.5703125" style="563" customWidth="1"/>
    <col min="6936" max="6936" width="4.42578125" style="563" customWidth="1"/>
    <col min="6937" max="6937" width="5.5703125" style="563" customWidth="1"/>
    <col min="6938" max="6938" width="3.5703125" style="563" customWidth="1"/>
    <col min="6939" max="6939" width="4" style="563" customWidth="1"/>
    <col min="6940" max="6940" width="4.5703125" style="563" customWidth="1"/>
    <col min="6941" max="6943" width="4.42578125" style="563" customWidth="1"/>
    <col min="6944" max="6945" width="4.5703125" style="563" customWidth="1"/>
    <col min="6946" max="6946" width="4" style="563" customWidth="1"/>
    <col min="6947" max="6947" width="4.5703125" style="563" customWidth="1"/>
    <col min="6948" max="6948" width="6" style="563" customWidth="1"/>
    <col min="6949" max="6949" width="8.5703125" style="563" customWidth="1"/>
    <col min="6950" max="7169" width="11.42578125" style="563"/>
    <col min="7170" max="7170" width="6.42578125" style="563" customWidth="1"/>
    <col min="7171" max="7171" width="47.5703125" style="563" customWidth="1"/>
    <col min="7172" max="7173" width="5" style="563" customWidth="1"/>
    <col min="7174" max="7174" width="5.42578125" style="563" customWidth="1"/>
    <col min="7175" max="7175" width="4.5703125" style="563" customWidth="1"/>
    <col min="7176" max="7177" width="4.42578125" style="563" customWidth="1"/>
    <col min="7178" max="7178" width="3.5703125" style="563" customWidth="1"/>
    <col min="7179" max="7179" width="5" style="563" customWidth="1"/>
    <col min="7180" max="7180" width="4" style="563" customWidth="1"/>
    <col min="7181" max="7182" width="4.5703125" style="563" customWidth="1"/>
    <col min="7183" max="7183" width="4.42578125" style="563" customWidth="1"/>
    <col min="7184" max="7184" width="4" style="563" customWidth="1"/>
    <col min="7185" max="7185" width="3.5703125" style="563" customWidth="1"/>
    <col min="7186" max="7187" width="4.5703125" style="563" customWidth="1"/>
    <col min="7188" max="7188" width="4" style="563" customWidth="1"/>
    <col min="7189" max="7190" width="4.42578125" style="563" customWidth="1"/>
    <col min="7191" max="7191" width="3.5703125" style="563" customWidth="1"/>
    <col min="7192" max="7192" width="4.42578125" style="563" customWidth="1"/>
    <col min="7193" max="7193" width="5.5703125" style="563" customWidth="1"/>
    <col min="7194" max="7194" width="3.5703125" style="563" customWidth="1"/>
    <col min="7195" max="7195" width="4" style="563" customWidth="1"/>
    <col min="7196" max="7196" width="4.5703125" style="563" customWidth="1"/>
    <col min="7197" max="7199" width="4.42578125" style="563" customWidth="1"/>
    <col min="7200" max="7201" width="4.5703125" style="563" customWidth="1"/>
    <col min="7202" max="7202" width="4" style="563" customWidth="1"/>
    <col min="7203" max="7203" width="4.5703125" style="563" customWidth="1"/>
    <col min="7204" max="7204" width="6" style="563" customWidth="1"/>
    <col min="7205" max="7205" width="8.5703125" style="563" customWidth="1"/>
    <col min="7206" max="7425" width="11.42578125" style="563"/>
    <col min="7426" max="7426" width="6.42578125" style="563" customWidth="1"/>
    <col min="7427" max="7427" width="47.5703125" style="563" customWidth="1"/>
    <col min="7428" max="7429" width="5" style="563" customWidth="1"/>
    <col min="7430" max="7430" width="5.42578125" style="563" customWidth="1"/>
    <col min="7431" max="7431" width="4.5703125" style="563" customWidth="1"/>
    <col min="7432" max="7433" width="4.42578125" style="563" customWidth="1"/>
    <col min="7434" max="7434" width="3.5703125" style="563" customWidth="1"/>
    <col min="7435" max="7435" width="5" style="563" customWidth="1"/>
    <col min="7436" max="7436" width="4" style="563" customWidth="1"/>
    <col min="7437" max="7438" width="4.5703125" style="563" customWidth="1"/>
    <col min="7439" max="7439" width="4.42578125" style="563" customWidth="1"/>
    <col min="7440" max="7440" width="4" style="563" customWidth="1"/>
    <col min="7441" max="7441" width="3.5703125" style="563" customWidth="1"/>
    <col min="7442" max="7443" width="4.5703125" style="563" customWidth="1"/>
    <col min="7444" max="7444" width="4" style="563" customWidth="1"/>
    <col min="7445" max="7446" width="4.42578125" style="563" customWidth="1"/>
    <col min="7447" max="7447" width="3.5703125" style="563" customWidth="1"/>
    <col min="7448" max="7448" width="4.42578125" style="563" customWidth="1"/>
    <col min="7449" max="7449" width="5.5703125" style="563" customWidth="1"/>
    <col min="7450" max="7450" width="3.5703125" style="563" customWidth="1"/>
    <col min="7451" max="7451" width="4" style="563" customWidth="1"/>
    <col min="7452" max="7452" width="4.5703125" style="563" customWidth="1"/>
    <col min="7453" max="7455" width="4.42578125" style="563" customWidth="1"/>
    <col min="7456" max="7457" width="4.5703125" style="563" customWidth="1"/>
    <col min="7458" max="7458" width="4" style="563" customWidth="1"/>
    <col min="7459" max="7459" width="4.5703125" style="563" customWidth="1"/>
    <col min="7460" max="7460" width="6" style="563" customWidth="1"/>
    <col min="7461" max="7461" width="8.5703125" style="563" customWidth="1"/>
    <col min="7462" max="7681" width="11.42578125" style="563"/>
    <col min="7682" max="7682" width="6.42578125" style="563" customWidth="1"/>
    <col min="7683" max="7683" width="47.5703125" style="563" customWidth="1"/>
    <col min="7684" max="7685" width="5" style="563" customWidth="1"/>
    <col min="7686" max="7686" width="5.42578125" style="563" customWidth="1"/>
    <col min="7687" max="7687" width="4.5703125" style="563" customWidth="1"/>
    <col min="7688" max="7689" width="4.42578125" style="563" customWidth="1"/>
    <col min="7690" max="7690" width="3.5703125" style="563" customWidth="1"/>
    <col min="7691" max="7691" width="5" style="563" customWidth="1"/>
    <col min="7692" max="7692" width="4" style="563" customWidth="1"/>
    <col min="7693" max="7694" width="4.5703125" style="563" customWidth="1"/>
    <col min="7695" max="7695" width="4.42578125" style="563" customWidth="1"/>
    <col min="7696" max="7696" width="4" style="563" customWidth="1"/>
    <col min="7697" max="7697" width="3.5703125" style="563" customWidth="1"/>
    <col min="7698" max="7699" width="4.5703125" style="563" customWidth="1"/>
    <col min="7700" max="7700" width="4" style="563" customWidth="1"/>
    <col min="7701" max="7702" width="4.42578125" style="563" customWidth="1"/>
    <col min="7703" max="7703" width="3.5703125" style="563" customWidth="1"/>
    <col min="7704" max="7704" width="4.42578125" style="563" customWidth="1"/>
    <col min="7705" max="7705" width="5.5703125" style="563" customWidth="1"/>
    <col min="7706" max="7706" width="3.5703125" style="563" customWidth="1"/>
    <col min="7707" max="7707" width="4" style="563" customWidth="1"/>
    <col min="7708" max="7708" width="4.5703125" style="563" customWidth="1"/>
    <col min="7709" max="7711" width="4.42578125" style="563" customWidth="1"/>
    <col min="7712" max="7713" width="4.5703125" style="563" customWidth="1"/>
    <col min="7714" max="7714" width="4" style="563" customWidth="1"/>
    <col min="7715" max="7715" width="4.5703125" style="563" customWidth="1"/>
    <col min="7716" max="7716" width="6" style="563" customWidth="1"/>
    <col min="7717" max="7717" width="8.5703125" style="563" customWidth="1"/>
    <col min="7718" max="7937" width="11.42578125" style="563"/>
    <col min="7938" max="7938" width="6.42578125" style="563" customWidth="1"/>
    <col min="7939" max="7939" width="47.5703125" style="563" customWidth="1"/>
    <col min="7940" max="7941" width="5" style="563" customWidth="1"/>
    <col min="7942" max="7942" width="5.42578125" style="563" customWidth="1"/>
    <col min="7943" max="7943" width="4.5703125" style="563" customWidth="1"/>
    <col min="7944" max="7945" width="4.42578125" style="563" customWidth="1"/>
    <col min="7946" max="7946" width="3.5703125" style="563" customWidth="1"/>
    <col min="7947" max="7947" width="5" style="563" customWidth="1"/>
    <col min="7948" max="7948" width="4" style="563" customWidth="1"/>
    <col min="7949" max="7950" width="4.5703125" style="563" customWidth="1"/>
    <col min="7951" max="7951" width="4.42578125" style="563" customWidth="1"/>
    <col min="7952" max="7952" width="4" style="563" customWidth="1"/>
    <col min="7953" max="7953" width="3.5703125" style="563" customWidth="1"/>
    <col min="7954" max="7955" width="4.5703125" style="563" customWidth="1"/>
    <col min="7956" max="7956" width="4" style="563" customWidth="1"/>
    <col min="7957" max="7958" width="4.42578125" style="563" customWidth="1"/>
    <col min="7959" max="7959" width="3.5703125" style="563" customWidth="1"/>
    <col min="7960" max="7960" width="4.42578125" style="563" customWidth="1"/>
    <col min="7961" max="7961" width="5.5703125" style="563" customWidth="1"/>
    <col min="7962" max="7962" width="3.5703125" style="563" customWidth="1"/>
    <col min="7963" max="7963" width="4" style="563" customWidth="1"/>
    <col min="7964" max="7964" width="4.5703125" style="563" customWidth="1"/>
    <col min="7965" max="7967" width="4.42578125" style="563" customWidth="1"/>
    <col min="7968" max="7969" width="4.5703125" style="563" customWidth="1"/>
    <col min="7970" max="7970" width="4" style="563" customWidth="1"/>
    <col min="7971" max="7971" width="4.5703125" style="563" customWidth="1"/>
    <col min="7972" max="7972" width="6" style="563" customWidth="1"/>
    <col min="7973" max="7973" width="8.5703125" style="563" customWidth="1"/>
    <col min="7974" max="8193" width="11.42578125" style="563"/>
    <col min="8194" max="8194" width="6.42578125" style="563" customWidth="1"/>
    <col min="8195" max="8195" width="47.5703125" style="563" customWidth="1"/>
    <col min="8196" max="8197" width="5" style="563" customWidth="1"/>
    <col min="8198" max="8198" width="5.42578125" style="563" customWidth="1"/>
    <col min="8199" max="8199" width="4.5703125" style="563" customWidth="1"/>
    <col min="8200" max="8201" width="4.42578125" style="563" customWidth="1"/>
    <col min="8202" max="8202" width="3.5703125" style="563" customWidth="1"/>
    <col min="8203" max="8203" width="5" style="563" customWidth="1"/>
    <col min="8204" max="8204" width="4" style="563" customWidth="1"/>
    <col min="8205" max="8206" width="4.5703125" style="563" customWidth="1"/>
    <col min="8207" max="8207" width="4.42578125" style="563" customWidth="1"/>
    <col min="8208" max="8208" width="4" style="563" customWidth="1"/>
    <col min="8209" max="8209" width="3.5703125" style="563" customWidth="1"/>
    <col min="8210" max="8211" width="4.5703125" style="563" customWidth="1"/>
    <col min="8212" max="8212" width="4" style="563" customWidth="1"/>
    <col min="8213" max="8214" width="4.42578125" style="563" customWidth="1"/>
    <col min="8215" max="8215" width="3.5703125" style="563" customWidth="1"/>
    <col min="8216" max="8216" width="4.42578125" style="563" customWidth="1"/>
    <col min="8217" max="8217" width="5.5703125" style="563" customWidth="1"/>
    <col min="8218" max="8218" width="3.5703125" style="563" customWidth="1"/>
    <col min="8219" max="8219" width="4" style="563" customWidth="1"/>
    <col min="8220" max="8220" width="4.5703125" style="563" customWidth="1"/>
    <col min="8221" max="8223" width="4.42578125" style="563" customWidth="1"/>
    <col min="8224" max="8225" width="4.5703125" style="563" customWidth="1"/>
    <col min="8226" max="8226" width="4" style="563" customWidth="1"/>
    <col min="8227" max="8227" width="4.5703125" style="563" customWidth="1"/>
    <col min="8228" max="8228" width="6" style="563" customWidth="1"/>
    <col min="8229" max="8229" width="8.5703125" style="563" customWidth="1"/>
    <col min="8230" max="8449" width="11.42578125" style="563"/>
    <col min="8450" max="8450" width="6.42578125" style="563" customWidth="1"/>
    <col min="8451" max="8451" width="47.5703125" style="563" customWidth="1"/>
    <col min="8452" max="8453" width="5" style="563" customWidth="1"/>
    <col min="8454" max="8454" width="5.42578125" style="563" customWidth="1"/>
    <col min="8455" max="8455" width="4.5703125" style="563" customWidth="1"/>
    <col min="8456" max="8457" width="4.42578125" style="563" customWidth="1"/>
    <col min="8458" max="8458" width="3.5703125" style="563" customWidth="1"/>
    <col min="8459" max="8459" width="5" style="563" customWidth="1"/>
    <col min="8460" max="8460" width="4" style="563" customWidth="1"/>
    <col min="8461" max="8462" width="4.5703125" style="563" customWidth="1"/>
    <col min="8463" max="8463" width="4.42578125" style="563" customWidth="1"/>
    <col min="8464" max="8464" width="4" style="563" customWidth="1"/>
    <col min="8465" max="8465" width="3.5703125" style="563" customWidth="1"/>
    <col min="8466" max="8467" width="4.5703125" style="563" customWidth="1"/>
    <col min="8468" max="8468" width="4" style="563" customWidth="1"/>
    <col min="8469" max="8470" width="4.42578125" style="563" customWidth="1"/>
    <col min="8471" max="8471" width="3.5703125" style="563" customWidth="1"/>
    <col min="8472" max="8472" width="4.42578125" style="563" customWidth="1"/>
    <col min="8473" max="8473" width="5.5703125" style="563" customWidth="1"/>
    <col min="8474" max="8474" width="3.5703125" style="563" customWidth="1"/>
    <col min="8475" max="8475" width="4" style="563" customWidth="1"/>
    <col min="8476" max="8476" width="4.5703125" style="563" customWidth="1"/>
    <col min="8477" max="8479" width="4.42578125" style="563" customWidth="1"/>
    <col min="8480" max="8481" width="4.5703125" style="563" customWidth="1"/>
    <col min="8482" max="8482" width="4" style="563" customWidth="1"/>
    <col min="8483" max="8483" width="4.5703125" style="563" customWidth="1"/>
    <col min="8484" max="8484" width="6" style="563" customWidth="1"/>
    <col min="8485" max="8485" width="8.5703125" style="563" customWidth="1"/>
    <col min="8486" max="8705" width="11.42578125" style="563"/>
    <col min="8706" max="8706" width="6.42578125" style="563" customWidth="1"/>
    <col min="8707" max="8707" width="47.5703125" style="563" customWidth="1"/>
    <col min="8708" max="8709" width="5" style="563" customWidth="1"/>
    <col min="8710" max="8710" width="5.42578125" style="563" customWidth="1"/>
    <col min="8711" max="8711" width="4.5703125" style="563" customWidth="1"/>
    <col min="8712" max="8713" width="4.42578125" style="563" customWidth="1"/>
    <col min="8714" max="8714" width="3.5703125" style="563" customWidth="1"/>
    <col min="8715" max="8715" width="5" style="563" customWidth="1"/>
    <col min="8716" max="8716" width="4" style="563" customWidth="1"/>
    <col min="8717" max="8718" width="4.5703125" style="563" customWidth="1"/>
    <col min="8719" max="8719" width="4.42578125" style="563" customWidth="1"/>
    <col min="8720" max="8720" width="4" style="563" customWidth="1"/>
    <col min="8721" max="8721" width="3.5703125" style="563" customWidth="1"/>
    <col min="8722" max="8723" width="4.5703125" style="563" customWidth="1"/>
    <col min="8724" max="8724" width="4" style="563" customWidth="1"/>
    <col min="8725" max="8726" width="4.42578125" style="563" customWidth="1"/>
    <col min="8727" max="8727" width="3.5703125" style="563" customWidth="1"/>
    <col min="8728" max="8728" width="4.42578125" style="563" customWidth="1"/>
    <col min="8729" max="8729" width="5.5703125" style="563" customWidth="1"/>
    <col min="8730" max="8730" width="3.5703125" style="563" customWidth="1"/>
    <col min="8731" max="8731" width="4" style="563" customWidth="1"/>
    <col min="8732" max="8732" width="4.5703125" style="563" customWidth="1"/>
    <col min="8733" max="8735" width="4.42578125" style="563" customWidth="1"/>
    <col min="8736" max="8737" width="4.5703125" style="563" customWidth="1"/>
    <col min="8738" max="8738" width="4" style="563" customWidth="1"/>
    <col min="8739" max="8739" width="4.5703125" style="563" customWidth="1"/>
    <col min="8740" max="8740" width="6" style="563" customWidth="1"/>
    <col min="8741" max="8741" width="8.5703125" style="563" customWidth="1"/>
    <col min="8742" max="8961" width="11.42578125" style="563"/>
    <col min="8962" max="8962" width="6.42578125" style="563" customWidth="1"/>
    <col min="8963" max="8963" width="47.5703125" style="563" customWidth="1"/>
    <col min="8964" max="8965" width="5" style="563" customWidth="1"/>
    <col min="8966" max="8966" width="5.42578125" style="563" customWidth="1"/>
    <col min="8967" max="8967" width="4.5703125" style="563" customWidth="1"/>
    <col min="8968" max="8969" width="4.42578125" style="563" customWidth="1"/>
    <col min="8970" max="8970" width="3.5703125" style="563" customWidth="1"/>
    <col min="8971" max="8971" width="5" style="563" customWidth="1"/>
    <col min="8972" max="8972" width="4" style="563" customWidth="1"/>
    <col min="8973" max="8974" width="4.5703125" style="563" customWidth="1"/>
    <col min="8975" max="8975" width="4.42578125" style="563" customWidth="1"/>
    <col min="8976" max="8976" width="4" style="563" customWidth="1"/>
    <col min="8977" max="8977" width="3.5703125" style="563" customWidth="1"/>
    <col min="8978" max="8979" width="4.5703125" style="563" customWidth="1"/>
    <col min="8980" max="8980" width="4" style="563" customWidth="1"/>
    <col min="8981" max="8982" width="4.42578125" style="563" customWidth="1"/>
    <col min="8983" max="8983" width="3.5703125" style="563" customWidth="1"/>
    <col min="8984" max="8984" width="4.42578125" style="563" customWidth="1"/>
    <col min="8985" max="8985" width="5.5703125" style="563" customWidth="1"/>
    <col min="8986" max="8986" width="3.5703125" style="563" customWidth="1"/>
    <col min="8987" max="8987" width="4" style="563" customWidth="1"/>
    <col min="8988" max="8988" width="4.5703125" style="563" customWidth="1"/>
    <col min="8989" max="8991" width="4.42578125" style="563" customWidth="1"/>
    <col min="8992" max="8993" width="4.5703125" style="563" customWidth="1"/>
    <col min="8994" max="8994" width="4" style="563" customWidth="1"/>
    <col min="8995" max="8995" width="4.5703125" style="563" customWidth="1"/>
    <col min="8996" max="8996" width="6" style="563" customWidth="1"/>
    <col min="8997" max="8997" width="8.5703125" style="563" customWidth="1"/>
    <col min="8998" max="9217" width="11.42578125" style="563"/>
    <col min="9218" max="9218" width="6.42578125" style="563" customWidth="1"/>
    <col min="9219" max="9219" width="47.5703125" style="563" customWidth="1"/>
    <col min="9220" max="9221" width="5" style="563" customWidth="1"/>
    <col min="9222" max="9222" width="5.42578125" style="563" customWidth="1"/>
    <col min="9223" max="9223" width="4.5703125" style="563" customWidth="1"/>
    <col min="9224" max="9225" width="4.42578125" style="563" customWidth="1"/>
    <col min="9226" max="9226" width="3.5703125" style="563" customWidth="1"/>
    <col min="9227" max="9227" width="5" style="563" customWidth="1"/>
    <col min="9228" max="9228" width="4" style="563" customWidth="1"/>
    <col min="9229" max="9230" width="4.5703125" style="563" customWidth="1"/>
    <col min="9231" max="9231" width="4.42578125" style="563" customWidth="1"/>
    <col min="9232" max="9232" width="4" style="563" customWidth="1"/>
    <col min="9233" max="9233" width="3.5703125" style="563" customWidth="1"/>
    <col min="9234" max="9235" width="4.5703125" style="563" customWidth="1"/>
    <col min="9236" max="9236" width="4" style="563" customWidth="1"/>
    <col min="9237" max="9238" width="4.42578125" style="563" customWidth="1"/>
    <col min="9239" max="9239" width="3.5703125" style="563" customWidth="1"/>
    <col min="9240" max="9240" width="4.42578125" style="563" customWidth="1"/>
    <col min="9241" max="9241" width="5.5703125" style="563" customWidth="1"/>
    <col min="9242" max="9242" width="3.5703125" style="563" customWidth="1"/>
    <col min="9243" max="9243" width="4" style="563" customWidth="1"/>
    <col min="9244" max="9244" width="4.5703125" style="563" customWidth="1"/>
    <col min="9245" max="9247" width="4.42578125" style="563" customWidth="1"/>
    <col min="9248" max="9249" width="4.5703125" style="563" customWidth="1"/>
    <col min="9250" max="9250" width="4" style="563" customWidth="1"/>
    <col min="9251" max="9251" width="4.5703125" style="563" customWidth="1"/>
    <col min="9252" max="9252" width="6" style="563" customWidth="1"/>
    <col min="9253" max="9253" width="8.5703125" style="563" customWidth="1"/>
    <col min="9254" max="9473" width="11.42578125" style="563"/>
    <col min="9474" max="9474" width="6.42578125" style="563" customWidth="1"/>
    <col min="9475" max="9475" width="47.5703125" style="563" customWidth="1"/>
    <col min="9476" max="9477" width="5" style="563" customWidth="1"/>
    <col min="9478" max="9478" width="5.42578125" style="563" customWidth="1"/>
    <col min="9479" max="9479" width="4.5703125" style="563" customWidth="1"/>
    <col min="9480" max="9481" width="4.42578125" style="563" customWidth="1"/>
    <col min="9482" max="9482" width="3.5703125" style="563" customWidth="1"/>
    <col min="9483" max="9483" width="5" style="563" customWidth="1"/>
    <col min="9484" max="9484" width="4" style="563" customWidth="1"/>
    <col min="9485" max="9486" width="4.5703125" style="563" customWidth="1"/>
    <col min="9487" max="9487" width="4.42578125" style="563" customWidth="1"/>
    <col min="9488" max="9488" width="4" style="563" customWidth="1"/>
    <col min="9489" max="9489" width="3.5703125" style="563" customWidth="1"/>
    <col min="9490" max="9491" width="4.5703125" style="563" customWidth="1"/>
    <col min="9492" max="9492" width="4" style="563" customWidth="1"/>
    <col min="9493" max="9494" width="4.42578125" style="563" customWidth="1"/>
    <col min="9495" max="9495" width="3.5703125" style="563" customWidth="1"/>
    <col min="9496" max="9496" width="4.42578125" style="563" customWidth="1"/>
    <col min="9497" max="9497" width="5.5703125" style="563" customWidth="1"/>
    <col min="9498" max="9498" width="3.5703125" style="563" customWidth="1"/>
    <col min="9499" max="9499" width="4" style="563" customWidth="1"/>
    <col min="9500" max="9500" width="4.5703125" style="563" customWidth="1"/>
    <col min="9501" max="9503" width="4.42578125" style="563" customWidth="1"/>
    <col min="9504" max="9505" width="4.5703125" style="563" customWidth="1"/>
    <col min="9506" max="9506" width="4" style="563" customWidth="1"/>
    <col min="9507" max="9507" width="4.5703125" style="563" customWidth="1"/>
    <col min="9508" max="9508" width="6" style="563" customWidth="1"/>
    <col min="9509" max="9509" width="8.5703125" style="563" customWidth="1"/>
    <col min="9510" max="9729" width="11.42578125" style="563"/>
    <col min="9730" max="9730" width="6.42578125" style="563" customWidth="1"/>
    <col min="9731" max="9731" width="47.5703125" style="563" customWidth="1"/>
    <col min="9732" max="9733" width="5" style="563" customWidth="1"/>
    <col min="9734" max="9734" width="5.42578125" style="563" customWidth="1"/>
    <col min="9735" max="9735" width="4.5703125" style="563" customWidth="1"/>
    <col min="9736" max="9737" width="4.42578125" style="563" customWidth="1"/>
    <col min="9738" max="9738" width="3.5703125" style="563" customWidth="1"/>
    <col min="9739" max="9739" width="5" style="563" customWidth="1"/>
    <col min="9740" max="9740" width="4" style="563" customWidth="1"/>
    <col min="9741" max="9742" width="4.5703125" style="563" customWidth="1"/>
    <col min="9743" max="9743" width="4.42578125" style="563" customWidth="1"/>
    <col min="9744" max="9744" width="4" style="563" customWidth="1"/>
    <col min="9745" max="9745" width="3.5703125" style="563" customWidth="1"/>
    <col min="9746" max="9747" width="4.5703125" style="563" customWidth="1"/>
    <col min="9748" max="9748" width="4" style="563" customWidth="1"/>
    <col min="9749" max="9750" width="4.42578125" style="563" customWidth="1"/>
    <col min="9751" max="9751" width="3.5703125" style="563" customWidth="1"/>
    <col min="9752" max="9752" width="4.42578125" style="563" customWidth="1"/>
    <col min="9753" max="9753" width="5.5703125" style="563" customWidth="1"/>
    <col min="9754" max="9754" width="3.5703125" style="563" customWidth="1"/>
    <col min="9755" max="9755" width="4" style="563" customWidth="1"/>
    <col min="9756" max="9756" width="4.5703125" style="563" customWidth="1"/>
    <col min="9757" max="9759" width="4.42578125" style="563" customWidth="1"/>
    <col min="9760" max="9761" width="4.5703125" style="563" customWidth="1"/>
    <col min="9762" max="9762" width="4" style="563" customWidth="1"/>
    <col min="9763" max="9763" width="4.5703125" style="563" customWidth="1"/>
    <col min="9764" max="9764" width="6" style="563" customWidth="1"/>
    <col min="9765" max="9765" width="8.5703125" style="563" customWidth="1"/>
    <col min="9766" max="9985" width="11.42578125" style="563"/>
    <col min="9986" max="9986" width="6.42578125" style="563" customWidth="1"/>
    <col min="9987" max="9987" width="47.5703125" style="563" customWidth="1"/>
    <col min="9988" max="9989" width="5" style="563" customWidth="1"/>
    <col min="9990" max="9990" width="5.42578125" style="563" customWidth="1"/>
    <col min="9991" max="9991" width="4.5703125" style="563" customWidth="1"/>
    <col min="9992" max="9993" width="4.42578125" style="563" customWidth="1"/>
    <col min="9994" max="9994" width="3.5703125" style="563" customWidth="1"/>
    <col min="9995" max="9995" width="5" style="563" customWidth="1"/>
    <col min="9996" max="9996" width="4" style="563" customWidth="1"/>
    <col min="9997" max="9998" width="4.5703125" style="563" customWidth="1"/>
    <col min="9999" max="9999" width="4.42578125" style="563" customWidth="1"/>
    <col min="10000" max="10000" width="4" style="563" customWidth="1"/>
    <col min="10001" max="10001" width="3.5703125" style="563" customWidth="1"/>
    <col min="10002" max="10003" width="4.5703125" style="563" customWidth="1"/>
    <col min="10004" max="10004" width="4" style="563" customWidth="1"/>
    <col min="10005" max="10006" width="4.42578125" style="563" customWidth="1"/>
    <col min="10007" max="10007" width="3.5703125" style="563" customWidth="1"/>
    <col min="10008" max="10008" width="4.42578125" style="563" customWidth="1"/>
    <col min="10009" max="10009" width="5.5703125" style="563" customWidth="1"/>
    <col min="10010" max="10010" width="3.5703125" style="563" customWidth="1"/>
    <col min="10011" max="10011" width="4" style="563" customWidth="1"/>
    <col min="10012" max="10012" width="4.5703125" style="563" customWidth="1"/>
    <col min="10013" max="10015" width="4.42578125" style="563" customWidth="1"/>
    <col min="10016" max="10017" width="4.5703125" style="563" customWidth="1"/>
    <col min="10018" max="10018" width="4" style="563" customWidth="1"/>
    <col min="10019" max="10019" width="4.5703125" style="563" customWidth="1"/>
    <col min="10020" max="10020" width="6" style="563" customWidth="1"/>
    <col min="10021" max="10021" width="8.5703125" style="563" customWidth="1"/>
    <col min="10022" max="10241" width="11.42578125" style="563"/>
    <col min="10242" max="10242" width="6.42578125" style="563" customWidth="1"/>
    <col min="10243" max="10243" width="47.5703125" style="563" customWidth="1"/>
    <col min="10244" max="10245" width="5" style="563" customWidth="1"/>
    <col min="10246" max="10246" width="5.42578125" style="563" customWidth="1"/>
    <col min="10247" max="10247" width="4.5703125" style="563" customWidth="1"/>
    <col min="10248" max="10249" width="4.42578125" style="563" customWidth="1"/>
    <col min="10250" max="10250" width="3.5703125" style="563" customWidth="1"/>
    <col min="10251" max="10251" width="5" style="563" customWidth="1"/>
    <col min="10252" max="10252" width="4" style="563" customWidth="1"/>
    <col min="10253" max="10254" width="4.5703125" style="563" customWidth="1"/>
    <col min="10255" max="10255" width="4.42578125" style="563" customWidth="1"/>
    <col min="10256" max="10256" width="4" style="563" customWidth="1"/>
    <col min="10257" max="10257" width="3.5703125" style="563" customWidth="1"/>
    <col min="10258" max="10259" width="4.5703125" style="563" customWidth="1"/>
    <col min="10260" max="10260" width="4" style="563" customWidth="1"/>
    <col min="10261" max="10262" width="4.42578125" style="563" customWidth="1"/>
    <col min="10263" max="10263" width="3.5703125" style="563" customWidth="1"/>
    <col min="10264" max="10264" width="4.42578125" style="563" customWidth="1"/>
    <col min="10265" max="10265" width="5.5703125" style="563" customWidth="1"/>
    <col min="10266" max="10266" width="3.5703125" style="563" customWidth="1"/>
    <col min="10267" max="10267" width="4" style="563" customWidth="1"/>
    <col min="10268" max="10268" width="4.5703125" style="563" customWidth="1"/>
    <col min="10269" max="10271" width="4.42578125" style="563" customWidth="1"/>
    <col min="10272" max="10273" width="4.5703125" style="563" customWidth="1"/>
    <col min="10274" max="10274" width="4" style="563" customWidth="1"/>
    <col min="10275" max="10275" width="4.5703125" style="563" customWidth="1"/>
    <col min="10276" max="10276" width="6" style="563" customWidth="1"/>
    <col min="10277" max="10277" width="8.5703125" style="563" customWidth="1"/>
    <col min="10278" max="10497" width="11.42578125" style="563"/>
    <col min="10498" max="10498" width="6.42578125" style="563" customWidth="1"/>
    <col min="10499" max="10499" width="47.5703125" style="563" customWidth="1"/>
    <col min="10500" max="10501" width="5" style="563" customWidth="1"/>
    <col min="10502" max="10502" width="5.42578125" style="563" customWidth="1"/>
    <col min="10503" max="10503" width="4.5703125" style="563" customWidth="1"/>
    <col min="10504" max="10505" width="4.42578125" style="563" customWidth="1"/>
    <col min="10506" max="10506" width="3.5703125" style="563" customWidth="1"/>
    <col min="10507" max="10507" width="5" style="563" customWidth="1"/>
    <col min="10508" max="10508" width="4" style="563" customWidth="1"/>
    <col min="10509" max="10510" width="4.5703125" style="563" customWidth="1"/>
    <col min="10511" max="10511" width="4.42578125" style="563" customWidth="1"/>
    <col min="10512" max="10512" width="4" style="563" customWidth="1"/>
    <col min="10513" max="10513" width="3.5703125" style="563" customWidth="1"/>
    <col min="10514" max="10515" width="4.5703125" style="563" customWidth="1"/>
    <col min="10516" max="10516" width="4" style="563" customWidth="1"/>
    <col min="10517" max="10518" width="4.42578125" style="563" customWidth="1"/>
    <col min="10519" max="10519" width="3.5703125" style="563" customWidth="1"/>
    <col min="10520" max="10520" width="4.42578125" style="563" customWidth="1"/>
    <col min="10521" max="10521" width="5.5703125" style="563" customWidth="1"/>
    <col min="10522" max="10522" width="3.5703125" style="563" customWidth="1"/>
    <col min="10523" max="10523" width="4" style="563" customWidth="1"/>
    <col min="10524" max="10524" width="4.5703125" style="563" customWidth="1"/>
    <col min="10525" max="10527" width="4.42578125" style="563" customWidth="1"/>
    <col min="10528" max="10529" width="4.5703125" style="563" customWidth="1"/>
    <col min="10530" max="10530" width="4" style="563" customWidth="1"/>
    <col min="10531" max="10531" width="4.5703125" style="563" customWidth="1"/>
    <col min="10532" max="10532" width="6" style="563" customWidth="1"/>
    <col min="10533" max="10533" width="8.5703125" style="563" customWidth="1"/>
    <col min="10534" max="10753" width="11.42578125" style="563"/>
    <col min="10754" max="10754" width="6.42578125" style="563" customWidth="1"/>
    <col min="10755" max="10755" width="47.5703125" style="563" customWidth="1"/>
    <col min="10756" max="10757" width="5" style="563" customWidth="1"/>
    <col min="10758" max="10758" width="5.42578125" style="563" customWidth="1"/>
    <col min="10759" max="10759" width="4.5703125" style="563" customWidth="1"/>
    <col min="10760" max="10761" width="4.42578125" style="563" customWidth="1"/>
    <col min="10762" max="10762" width="3.5703125" style="563" customWidth="1"/>
    <col min="10763" max="10763" width="5" style="563" customWidth="1"/>
    <col min="10764" max="10764" width="4" style="563" customWidth="1"/>
    <col min="10765" max="10766" width="4.5703125" style="563" customWidth="1"/>
    <col min="10767" max="10767" width="4.42578125" style="563" customWidth="1"/>
    <col min="10768" max="10768" width="4" style="563" customWidth="1"/>
    <col min="10769" max="10769" width="3.5703125" style="563" customWidth="1"/>
    <col min="10770" max="10771" width="4.5703125" style="563" customWidth="1"/>
    <col min="10772" max="10772" width="4" style="563" customWidth="1"/>
    <col min="10773" max="10774" width="4.42578125" style="563" customWidth="1"/>
    <col min="10775" max="10775" width="3.5703125" style="563" customWidth="1"/>
    <col min="10776" max="10776" width="4.42578125" style="563" customWidth="1"/>
    <col min="10777" max="10777" width="5.5703125" style="563" customWidth="1"/>
    <col min="10778" max="10778" width="3.5703125" style="563" customWidth="1"/>
    <col min="10779" max="10779" width="4" style="563" customWidth="1"/>
    <col min="10780" max="10780" width="4.5703125" style="563" customWidth="1"/>
    <col min="10781" max="10783" width="4.42578125" style="563" customWidth="1"/>
    <col min="10784" max="10785" width="4.5703125" style="563" customWidth="1"/>
    <col min="10786" max="10786" width="4" style="563" customWidth="1"/>
    <col min="10787" max="10787" width="4.5703125" style="563" customWidth="1"/>
    <col min="10788" max="10788" width="6" style="563" customWidth="1"/>
    <col min="10789" max="10789" width="8.5703125" style="563" customWidth="1"/>
    <col min="10790" max="11009" width="11.42578125" style="563"/>
    <col min="11010" max="11010" width="6.42578125" style="563" customWidth="1"/>
    <col min="11011" max="11011" width="47.5703125" style="563" customWidth="1"/>
    <col min="11012" max="11013" width="5" style="563" customWidth="1"/>
    <col min="11014" max="11014" width="5.42578125" style="563" customWidth="1"/>
    <col min="11015" max="11015" width="4.5703125" style="563" customWidth="1"/>
    <col min="11016" max="11017" width="4.42578125" style="563" customWidth="1"/>
    <col min="11018" max="11018" width="3.5703125" style="563" customWidth="1"/>
    <col min="11019" max="11019" width="5" style="563" customWidth="1"/>
    <col min="11020" max="11020" width="4" style="563" customWidth="1"/>
    <col min="11021" max="11022" width="4.5703125" style="563" customWidth="1"/>
    <col min="11023" max="11023" width="4.42578125" style="563" customWidth="1"/>
    <col min="11024" max="11024" width="4" style="563" customWidth="1"/>
    <col min="11025" max="11025" width="3.5703125" style="563" customWidth="1"/>
    <col min="11026" max="11027" width="4.5703125" style="563" customWidth="1"/>
    <col min="11028" max="11028" width="4" style="563" customWidth="1"/>
    <col min="11029" max="11030" width="4.42578125" style="563" customWidth="1"/>
    <col min="11031" max="11031" width="3.5703125" style="563" customWidth="1"/>
    <col min="11032" max="11032" width="4.42578125" style="563" customWidth="1"/>
    <col min="11033" max="11033" width="5.5703125" style="563" customWidth="1"/>
    <col min="11034" max="11034" width="3.5703125" style="563" customWidth="1"/>
    <col min="11035" max="11035" width="4" style="563" customWidth="1"/>
    <col min="11036" max="11036" width="4.5703125" style="563" customWidth="1"/>
    <col min="11037" max="11039" width="4.42578125" style="563" customWidth="1"/>
    <col min="11040" max="11041" width="4.5703125" style="563" customWidth="1"/>
    <col min="11042" max="11042" width="4" style="563" customWidth="1"/>
    <col min="11043" max="11043" width="4.5703125" style="563" customWidth="1"/>
    <col min="11044" max="11044" width="6" style="563" customWidth="1"/>
    <col min="11045" max="11045" width="8.5703125" style="563" customWidth="1"/>
    <col min="11046" max="11265" width="11.42578125" style="563"/>
    <col min="11266" max="11266" width="6.42578125" style="563" customWidth="1"/>
    <col min="11267" max="11267" width="47.5703125" style="563" customWidth="1"/>
    <col min="11268" max="11269" width="5" style="563" customWidth="1"/>
    <col min="11270" max="11270" width="5.42578125" style="563" customWidth="1"/>
    <col min="11271" max="11271" width="4.5703125" style="563" customWidth="1"/>
    <col min="11272" max="11273" width="4.42578125" style="563" customWidth="1"/>
    <col min="11274" max="11274" width="3.5703125" style="563" customWidth="1"/>
    <col min="11275" max="11275" width="5" style="563" customWidth="1"/>
    <col min="11276" max="11276" width="4" style="563" customWidth="1"/>
    <col min="11277" max="11278" width="4.5703125" style="563" customWidth="1"/>
    <col min="11279" max="11279" width="4.42578125" style="563" customWidth="1"/>
    <col min="11280" max="11280" width="4" style="563" customWidth="1"/>
    <col min="11281" max="11281" width="3.5703125" style="563" customWidth="1"/>
    <col min="11282" max="11283" width="4.5703125" style="563" customWidth="1"/>
    <col min="11284" max="11284" width="4" style="563" customWidth="1"/>
    <col min="11285" max="11286" width="4.42578125" style="563" customWidth="1"/>
    <col min="11287" max="11287" width="3.5703125" style="563" customWidth="1"/>
    <col min="11288" max="11288" width="4.42578125" style="563" customWidth="1"/>
    <col min="11289" max="11289" width="5.5703125" style="563" customWidth="1"/>
    <col min="11290" max="11290" width="3.5703125" style="563" customWidth="1"/>
    <col min="11291" max="11291" width="4" style="563" customWidth="1"/>
    <col min="11292" max="11292" width="4.5703125" style="563" customWidth="1"/>
    <col min="11293" max="11295" width="4.42578125" style="563" customWidth="1"/>
    <col min="11296" max="11297" width="4.5703125" style="563" customWidth="1"/>
    <col min="11298" max="11298" width="4" style="563" customWidth="1"/>
    <col min="11299" max="11299" width="4.5703125" style="563" customWidth="1"/>
    <col min="11300" max="11300" width="6" style="563" customWidth="1"/>
    <col min="11301" max="11301" width="8.5703125" style="563" customWidth="1"/>
    <col min="11302" max="11521" width="11.42578125" style="563"/>
    <col min="11522" max="11522" width="6.42578125" style="563" customWidth="1"/>
    <col min="11523" max="11523" width="47.5703125" style="563" customWidth="1"/>
    <col min="11524" max="11525" width="5" style="563" customWidth="1"/>
    <col min="11526" max="11526" width="5.42578125" style="563" customWidth="1"/>
    <col min="11527" max="11527" width="4.5703125" style="563" customWidth="1"/>
    <col min="11528" max="11529" width="4.42578125" style="563" customWidth="1"/>
    <col min="11530" max="11530" width="3.5703125" style="563" customWidth="1"/>
    <col min="11531" max="11531" width="5" style="563" customWidth="1"/>
    <col min="11532" max="11532" width="4" style="563" customWidth="1"/>
    <col min="11533" max="11534" width="4.5703125" style="563" customWidth="1"/>
    <col min="11535" max="11535" width="4.42578125" style="563" customWidth="1"/>
    <col min="11536" max="11536" width="4" style="563" customWidth="1"/>
    <col min="11537" max="11537" width="3.5703125" style="563" customWidth="1"/>
    <col min="11538" max="11539" width="4.5703125" style="563" customWidth="1"/>
    <col min="11540" max="11540" width="4" style="563" customWidth="1"/>
    <col min="11541" max="11542" width="4.42578125" style="563" customWidth="1"/>
    <col min="11543" max="11543" width="3.5703125" style="563" customWidth="1"/>
    <col min="11544" max="11544" width="4.42578125" style="563" customWidth="1"/>
    <col min="11545" max="11545" width="5.5703125" style="563" customWidth="1"/>
    <col min="11546" max="11546" width="3.5703125" style="563" customWidth="1"/>
    <col min="11547" max="11547" width="4" style="563" customWidth="1"/>
    <col min="11548" max="11548" width="4.5703125" style="563" customWidth="1"/>
    <col min="11549" max="11551" width="4.42578125" style="563" customWidth="1"/>
    <col min="11552" max="11553" width="4.5703125" style="563" customWidth="1"/>
    <col min="11554" max="11554" width="4" style="563" customWidth="1"/>
    <col min="11555" max="11555" width="4.5703125" style="563" customWidth="1"/>
    <col min="11556" max="11556" width="6" style="563" customWidth="1"/>
    <col min="11557" max="11557" width="8.5703125" style="563" customWidth="1"/>
    <col min="11558" max="11777" width="11.42578125" style="563"/>
    <col min="11778" max="11778" width="6.42578125" style="563" customWidth="1"/>
    <col min="11779" max="11779" width="47.5703125" style="563" customWidth="1"/>
    <col min="11780" max="11781" width="5" style="563" customWidth="1"/>
    <col min="11782" max="11782" width="5.42578125" style="563" customWidth="1"/>
    <col min="11783" max="11783" width="4.5703125" style="563" customWidth="1"/>
    <col min="11784" max="11785" width="4.42578125" style="563" customWidth="1"/>
    <col min="11786" max="11786" width="3.5703125" style="563" customWidth="1"/>
    <col min="11787" max="11787" width="5" style="563" customWidth="1"/>
    <col min="11788" max="11788" width="4" style="563" customWidth="1"/>
    <col min="11789" max="11790" width="4.5703125" style="563" customWidth="1"/>
    <col min="11791" max="11791" width="4.42578125" style="563" customWidth="1"/>
    <col min="11792" max="11792" width="4" style="563" customWidth="1"/>
    <col min="11793" max="11793" width="3.5703125" style="563" customWidth="1"/>
    <col min="11794" max="11795" width="4.5703125" style="563" customWidth="1"/>
    <col min="11796" max="11796" width="4" style="563" customWidth="1"/>
    <col min="11797" max="11798" width="4.42578125" style="563" customWidth="1"/>
    <col min="11799" max="11799" width="3.5703125" style="563" customWidth="1"/>
    <col min="11800" max="11800" width="4.42578125" style="563" customWidth="1"/>
    <col min="11801" max="11801" width="5.5703125" style="563" customWidth="1"/>
    <col min="11802" max="11802" width="3.5703125" style="563" customWidth="1"/>
    <col min="11803" max="11803" width="4" style="563" customWidth="1"/>
    <col min="11804" max="11804" width="4.5703125" style="563" customWidth="1"/>
    <col min="11805" max="11807" width="4.42578125" style="563" customWidth="1"/>
    <col min="11808" max="11809" width="4.5703125" style="563" customWidth="1"/>
    <col min="11810" max="11810" width="4" style="563" customWidth="1"/>
    <col min="11811" max="11811" width="4.5703125" style="563" customWidth="1"/>
    <col min="11812" max="11812" width="6" style="563" customWidth="1"/>
    <col min="11813" max="11813" width="8.5703125" style="563" customWidth="1"/>
    <col min="11814" max="12033" width="11.42578125" style="563"/>
    <col min="12034" max="12034" width="6.42578125" style="563" customWidth="1"/>
    <col min="12035" max="12035" width="47.5703125" style="563" customWidth="1"/>
    <col min="12036" max="12037" width="5" style="563" customWidth="1"/>
    <col min="12038" max="12038" width="5.42578125" style="563" customWidth="1"/>
    <col min="12039" max="12039" width="4.5703125" style="563" customWidth="1"/>
    <col min="12040" max="12041" width="4.42578125" style="563" customWidth="1"/>
    <col min="12042" max="12042" width="3.5703125" style="563" customWidth="1"/>
    <col min="12043" max="12043" width="5" style="563" customWidth="1"/>
    <col min="12044" max="12044" width="4" style="563" customWidth="1"/>
    <col min="12045" max="12046" width="4.5703125" style="563" customWidth="1"/>
    <col min="12047" max="12047" width="4.42578125" style="563" customWidth="1"/>
    <col min="12048" max="12048" width="4" style="563" customWidth="1"/>
    <col min="12049" max="12049" width="3.5703125" style="563" customWidth="1"/>
    <col min="12050" max="12051" width="4.5703125" style="563" customWidth="1"/>
    <col min="12052" max="12052" width="4" style="563" customWidth="1"/>
    <col min="12053" max="12054" width="4.42578125" style="563" customWidth="1"/>
    <col min="12055" max="12055" width="3.5703125" style="563" customWidth="1"/>
    <col min="12056" max="12056" width="4.42578125" style="563" customWidth="1"/>
    <col min="12057" max="12057" width="5.5703125" style="563" customWidth="1"/>
    <col min="12058" max="12058" width="3.5703125" style="563" customWidth="1"/>
    <col min="12059" max="12059" width="4" style="563" customWidth="1"/>
    <col min="12060" max="12060" width="4.5703125" style="563" customWidth="1"/>
    <col min="12061" max="12063" width="4.42578125" style="563" customWidth="1"/>
    <col min="12064" max="12065" width="4.5703125" style="563" customWidth="1"/>
    <col min="12066" max="12066" width="4" style="563" customWidth="1"/>
    <col min="12067" max="12067" width="4.5703125" style="563" customWidth="1"/>
    <col min="12068" max="12068" width="6" style="563" customWidth="1"/>
    <col min="12069" max="12069" width="8.5703125" style="563" customWidth="1"/>
    <col min="12070" max="12289" width="11.42578125" style="563"/>
    <col min="12290" max="12290" width="6.42578125" style="563" customWidth="1"/>
    <col min="12291" max="12291" width="47.5703125" style="563" customWidth="1"/>
    <col min="12292" max="12293" width="5" style="563" customWidth="1"/>
    <col min="12294" max="12294" width="5.42578125" style="563" customWidth="1"/>
    <col min="12295" max="12295" width="4.5703125" style="563" customWidth="1"/>
    <col min="12296" max="12297" width="4.42578125" style="563" customWidth="1"/>
    <col min="12298" max="12298" width="3.5703125" style="563" customWidth="1"/>
    <col min="12299" max="12299" width="5" style="563" customWidth="1"/>
    <col min="12300" max="12300" width="4" style="563" customWidth="1"/>
    <col min="12301" max="12302" width="4.5703125" style="563" customWidth="1"/>
    <col min="12303" max="12303" width="4.42578125" style="563" customWidth="1"/>
    <col min="12304" max="12304" width="4" style="563" customWidth="1"/>
    <col min="12305" max="12305" width="3.5703125" style="563" customWidth="1"/>
    <col min="12306" max="12307" width="4.5703125" style="563" customWidth="1"/>
    <col min="12308" max="12308" width="4" style="563" customWidth="1"/>
    <col min="12309" max="12310" width="4.42578125" style="563" customWidth="1"/>
    <col min="12311" max="12311" width="3.5703125" style="563" customWidth="1"/>
    <col min="12312" max="12312" width="4.42578125" style="563" customWidth="1"/>
    <col min="12313" max="12313" width="5.5703125" style="563" customWidth="1"/>
    <col min="12314" max="12314" width="3.5703125" style="563" customWidth="1"/>
    <col min="12315" max="12315" width="4" style="563" customWidth="1"/>
    <col min="12316" max="12316" width="4.5703125" style="563" customWidth="1"/>
    <col min="12317" max="12319" width="4.42578125" style="563" customWidth="1"/>
    <col min="12320" max="12321" width="4.5703125" style="563" customWidth="1"/>
    <col min="12322" max="12322" width="4" style="563" customWidth="1"/>
    <col min="12323" max="12323" width="4.5703125" style="563" customWidth="1"/>
    <col min="12324" max="12324" width="6" style="563" customWidth="1"/>
    <col min="12325" max="12325" width="8.5703125" style="563" customWidth="1"/>
    <col min="12326" max="12545" width="11.42578125" style="563"/>
    <col min="12546" max="12546" width="6.42578125" style="563" customWidth="1"/>
    <col min="12547" max="12547" width="47.5703125" style="563" customWidth="1"/>
    <col min="12548" max="12549" width="5" style="563" customWidth="1"/>
    <col min="12550" max="12550" width="5.42578125" style="563" customWidth="1"/>
    <col min="12551" max="12551" width="4.5703125" style="563" customWidth="1"/>
    <col min="12552" max="12553" width="4.42578125" style="563" customWidth="1"/>
    <col min="12554" max="12554" width="3.5703125" style="563" customWidth="1"/>
    <col min="12555" max="12555" width="5" style="563" customWidth="1"/>
    <col min="12556" max="12556" width="4" style="563" customWidth="1"/>
    <col min="12557" max="12558" width="4.5703125" style="563" customWidth="1"/>
    <col min="12559" max="12559" width="4.42578125" style="563" customWidth="1"/>
    <col min="12560" max="12560" width="4" style="563" customWidth="1"/>
    <col min="12561" max="12561" width="3.5703125" style="563" customWidth="1"/>
    <col min="12562" max="12563" width="4.5703125" style="563" customWidth="1"/>
    <col min="12564" max="12564" width="4" style="563" customWidth="1"/>
    <col min="12565" max="12566" width="4.42578125" style="563" customWidth="1"/>
    <col min="12567" max="12567" width="3.5703125" style="563" customWidth="1"/>
    <col min="12568" max="12568" width="4.42578125" style="563" customWidth="1"/>
    <col min="12569" max="12569" width="5.5703125" style="563" customWidth="1"/>
    <col min="12570" max="12570" width="3.5703125" style="563" customWidth="1"/>
    <col min="12571" max="12571" width="4" style="563" customWidth="1"/>
    <col min="12572" max="12572" width="4.5703125" style="563" customWidth="1"/>
    <col min="12573" max="12575" width="4.42578125" style="563" customWidth="1"/>
    <col min="12576" max="12577" width="4.5703125" style="563" customWidth="1"/>
    <col min="12578" max="12578" width="4" style="563" customWidth="1"/>
    <col min="12579" max="12579" width="4.5703125" style="563" customWidth="1"/>
    <col min="12580" max="12580" width="6" style="563" customWidth="1"/>
    <col min="12581" max="12581" width="8.5703125" style="563" customWidth="1"/>
    <col min="12582" max="12801" width="11.42578125" style="563"/>
    <col min="12802" max="12802" width="6.42578125" style="563" customWidth="1"/>
    <col min="12803" max="12803" width="47.5703125" style="563" customWidth="1"/>
    <col min="12804" max="12805" width="5" style="563" customWidth="1"/>
    <col min="12806" max="12806" width="5.42578125" style="563" customWidth="1"/>
    <col min="12807" max="12807" width="4.5703125" style="563" customWidth="1"/>
    <col min="12808" max="12809" width="4.42578125" style="563" customWidth="1"/>
    <col min="12810" max="12810" width="3.5703125" style="563" customWidth="1"/>
    <col min="12811" max="12811" width="5" style="563" customWidth="1"/>
    <col min="12812" max="12812" width="4" style="563" customWidth="1"/>
    <col min="12813" max="12814" width="4.5703125" style="563" customWidth="1"/>
    <col min="12815" max="12815" width="4.42578125" style="563" customWidth="1"/>
    <col min="12816" max="12816" width="4" style="563" customWidth="1"/>
    <col min="12817" max="12817" width="3.5703125" style="563" customWidth="1"/>
    <col min="12818" max="12819" width="4.5703125" style="563" customWidth="1"/>
    <col min="12820" max="12820" width="4" style="563" customWidth="1"/>
    <col min="12821" max="12822" width="4.42578125" style="563" customWidth="1"/>
    <col min="12823" max="12823" width="3.5703125" style="563" customWidth="1"/>
    <col min="12824" max="12824" width="4.42578125" style="563" customWidth="1"/>
    <col min="12825" max="12825" width="5.5703125" style="563" customWidth="1"/>
    <col min="12826" max="12826" width="3.5703125" style="563" customWidth="1"/>
    <col min="12827" max="12827" width="4" style="563" customWidth="1"/>
    <col min="12828" max="12828" width="4.5703125" style="563" customWidth="1"/>
    <col min="12829" max="12831" width="4.42578125" style="563" customWidth="1"/>
    <col min="12832" max="12833" width="4.5703125" style="563" customWidth="1"/>
    <col min="12834" max="12834" width="4" style="563" customWidth="1"/>
    <col min="12835" max="12835" width="4.5703125" style="563" customWidth="1"/>
    <col min="12836" max="12836" width="6" style="563" customWidth="1"/>
    <col min="12837" max="12837" width="8.5703125" style="563" customWidth="1"/>
    <col min="12838" max="13057" width="11.42578125" style="563"/>
    <col min="13058" max="13058" width="6.42578125" style="563" customWidth="1"/>
    <col min="13059" max="13059" width="47.5703125" style="563" customWidth="1"/>
    <col min="13060" max="13061" width="5" style="563" customWidth="1"/>
    <col min="13062" max="13062" width="5.42578125" style="563" customWidth="1"/>
    <col min="13063" max="13063" width="4.5703125" style="563" customWidth="1"/>
    <col min="13064" max="13065" width="4.42578125" style="563" customWidth="1"/>
    <col min="13066" max="13066" width="3.5703125" style="563" customWidth="1"/>
    <col min="13067" max="13067" width="5" style="563" customWidth="1"/>
    <col min="13068" max="13068" width="4" style="563" customWidth="1"/>
    <col min="13069" max="13070" width="4.5703125" style="563" customWidth="1"/>
    <col min="13071" max="13071" width="4.42578125" style="563" customWidth="1"/>
    <col min="13072" max="13072" width="4" style="563" customWidth="1"/>
    <col min="13073" max="13073" width="3.5703125" style="563" customWidth="1"/>
    <col min="13074" max="13075" width="4.5703125" style="563" customWidth="1"/>
    <col min="13076" max="13076" width="4" style="563" customWidth="1"/>
    <col min="13077" max="13078" width="4.42578125" style="563" customWidth="1"/>
    <col min="13079" max="13079" width="3.5703125" style="563" customWidth="1"/>
    <col min="13080" max="13080" width="4.42578125" style="563" customWidth="1"/>
    <col min="13081" max="13081" width="5.5703125" style="563" customWidth="1"/>
    <col min="13082" max="13082" width="3.5703125" style="563" customWidth="1"/>
    <col min="13083" max="13083" width="4" style="563" customWidth="1"/>
    <col min="13084" max="13084" width="4.5703125" style="563" customWidth="1"/>
    <col min="13085" max="13087" width="4.42578125" style="563" customWidth="1"/>
    <col min="13088" max="13089" width="4.5703125" style="563" customWidth="1"/>
    <col min="13090" max="13090" width="4" style="563" customWidth="1"/>
    <col min="13091" max="13091" width="4.5703125" style="563" customWidth="1"/>
    <col min="13092" max="13092" width="6" style="563" customWidth="1"/>
    <col min="13093" max="13093" width="8.5703125" style="563" customWidth="1"/>
    <col min="13094" max="13313" width="11.42578125" style="563"/>
    <col min="13314" max="13314" width="6.42578125" style="563" customWidth="1"/>
    <col min="13315" max="13315" width="47.5703125" style="563" customWidth="1"/>
    <col min="13316" max="13317" width="5" style="563" customWidth="1"/>
    <col min="13318" max="13318" width="5.42578125" style="563" customWidth="1"/>
    <col min="13319" max="13319" width="4.5703125" style="563" customWidth="1"/>
    <col min="13320" max="13321" width="4.42578125" style="563" customWidth="1"/>
    <col min="13322" max="13322" width="3.5703125" style="563" customWidth="1"/>
    <col min="13323" max="13323" width="5" style="563" customWidth="1"/>
    <col min="13324" max="13324" width="4" style="563" customWidth="1"/>
    <col min="13325" max="13326" width="4.5703125" style="563" customWidth="1"/>
    <col min="13327" max="13327" width="4.42578125" style="563" customWidth="1"/>
    <col min="13328" max="13328" width="4" style="563" customWidth="1"/>
    <col min="13329" max="13329" width="3.5703125" style="563" customWidth="1"/>
    <col min="13330" max="13331" width="4.5703125" style="563" customWidth="1"/>
    <col min="13332" max="13332" width="4" style="563" customWidth="1"/>
    <col min="13333" max="13334" width="4.42578125" style="563" customWidth="1"/>
    <col min="13335" max="13335" width="3.5703125" style="563" customWidth="1"/>
    <col min="13336" max="13336" width="4.42578125" style="563" customWidth="1"/>
    <col min="13337" max="13337" width="5.5703125" style="563" customWidth="1"/>
    <col min="13338" max="13338" width="3.5703125" style="563" customWidth="1"/>
    <col min="13339" max="13339" width="4" style="563" customWidth="1"/>
    <col min="13340" max="13340" width="4.5703125" style="563" customWidth="1"/>
    <col min="13341" max="13343" width="4.42578125" style="563" customWidth="1"/>
    <col min="13344" max="13345" width="4.5703125" style="563" customWidth="1"/>
    <col min="13346" max="13346" width="4" style="563" customWidth="1"/>
    <col min="13347" max="13347" width="4.5703125" style="563" customWidth="1"/>
    <col min="13348" max="13348" width="6" style="563" customWidth="1"/>
    <col min="13349" max="13349" width="8.5703125" style="563" customWidth="1"/>
    <col min="13350" max="13569" width="11.42578125" style="563"/>
    <col min="13570" max="13570" width="6.42578125" style="563" customWidth="1"/>
    <col min="13571" max="13571" width="47.5703125" style="563" customWidth="1"/>
    <col min="13572" max="13573" width="5" style="563" customWidth="1"/>
    <col min="13574" max="13574" width="5.42578125" style="563" customWidth="1"/>
    <col min="13575" max="13575" width="4.5703125" style="563" customWidth="1"/>
    <col min="13576" max="13577" width="4.42578125" style="563" customWidth="1"/>
    <col min="13578" max="13578" width="3.5703125" style="563" customWidth="1"/>
    <col min="13579" max="13579" width="5" style="563" customWidth="1"/>
    <col min="13580" max="13580" width="4" style="563" customWidth="1"/>
    <col min="13581" max="13582" width="4.5703125" style="563" customWidth="1"/>
    <col min="13583" max="13583" width="4.42578125" style="563" customWidth="1"/>
    <col min="13584" max="13584" width="4" style="563" customWidth="1"/>
    <col min="13585" max="13585" width="3.5703125" style="563" customWidth="1"/>
    <col min="13586" max="13587" width="4.5703125" style="563" customWidth="1"/>
    <col min="13588" max="13588" width="4" style="563" customWidth="1"/>
    <col min="13589" max="13590" width="4.42578125" style="563" customWidth="1"/>
    <col min="13591" max="13591" width="3.5703125" style="563" customWidth="1"/>
    <col min="13592" max="13592" width="4.42578125" style="563" customWidth="1"/>
    <col min="13593" max="13593" width="5.5703125" style="563" customWidth="1"/>
    <col min="13594" max="13594" width="3.5703125" style="563" customWidth="1"/>
    <col min="13595" max="13595" width="4" style="563" customWidth="1"/>
    <col min="13596" max="13596" width="4.5703125" style="563" customWidth="1"/>
    <col min="13597" max="13599" width="4.42578125" style="563" customWidth="1"/>
    <col min="13600" max="13601" width="4.5703125" style="563" customWidth="1"/>
    <col min="13602" max="13602" width="4" style="563" customWidth="1"/>
    <col min="13603" max="13603" width="4.5703125" style="563" customWidth="1"/>
    <col min="13604" max="13604" width="6" style="563" customWidth="1"/>
    <col min="13605" max="13605" width="8.5703125" style="563" customWidth="1"/>
    <col min="13606" max="13825" width="11.42578125" style="563"/>
    <col min="13826" max="13826" width="6.42578125" style="563" customWidth="1"/>
    <col min="13827" max="13827" width="47.5703125" style="563" customWidth="1"/>
    <col min="13828" max="13829" width="5" style="563" customWidth="1"/>
    <col min="13830" max="13830" width="5.42578125" style="563" customWidth="1"/>
    <col min="13831" max="13831" width="4.5703125" style="563" customWidth="1"/>
    <col min="13832" max="13833" width="4.42578125" style="563" customWidth="1"/>
    <col min="13834" max="13834" width="3.5703125" style="563" customWidth="1"/>
    <col min="13835" max="13835" width="5" style="563" customWidth="1"/>
    <col min="13836" max="13836" width="4" style="563" customWidth="1"/>
    <col min="13837" max="13838" width="4.5703125" style="563" customWidth="1"/>
    <col min="13839" max="13839" width="4.42578125" style="563" customWidth="1"/>
    <col min="13840" max="13840" width="4" style="563" customWidth="1"/>
    <col min="13841" max="13841" width="3.5703125" style="563" customWidth="1"/>
    <col min="13842" max="13843" width="4.5703125" style="563" customWidth="1"/>
    <col min="13844" max="13844" width="4" style="563" customWidth="1"/>
    <col min="13845" max="13846" width="4.42578125" style="563" customWidth="1"/>
    <col min="13847" max="13847" width="3.5703125" style="563" customWidth="1"/>
    <col min="13848" max="13848" width="4.42578125" style="563" customWidth="1"/>
    <col min="13849" max="13849" width="5.5703125" style="563" customWidth="1"/>
    <col min="13850" max="13850" width="3.5703125" style="563" customWidth="1"/>
    <col min="13851" max="13851" width="4" style="563" customWidth="1"/>
    <col min="13852" max="13852" width="4.5703125" style="563" customWidth="1"/>
    <col min="13853" max="13855" width="4.42578125" style="563" customWidth="1"/>
    <col min="13856" max="13857" width="4.5703125" style="563" customWidth="1"/>
    <col min="13858" max="13858" width="4" style="563" customWidth="1"/>
    <col min="13859" max="13859" width="4.5703125" style="563" customWidth="1"/>
    <col min="13860" max="13860" width="6" style="563" customWidth="1"/>
    <col min="13861" max="13861" width="8.5703125" style="563" customWidth="1"/>
    <col min="13862" max="14081" width="11.42578125" style="563"/>
    <col min="14082" max="14082" width="6.42578125" style="563" customWidth="1"/>
    <col min="14083" max="14083" width="47.5703125" style="563" customWidth="1"/>
    <col min="14084" max="14085" width="5" style="563" customWidth="1"/>
    <col min="14086" max="14086" width="5.42578125" style="563" customWidth="1"/>
    <col min="14087" max="14087" width="4.5703125" style="563" customWidth="1"/>
    <col min="14088" max="14089" width="4.42578125" style="563" customWidth="1"/>
    <col min="14090" max="14090" width="3.5703125" style="563" customWidth="1"/>
    <col min="14091" max="14091" width="5" style="563" customWidth="1"/>
    <col min="14092" max="14092" width="4" style="563" customWidth="1"/>
    <col min="14093" max="14094" width="4.5703125" style="563" customWidth="1"/>
    <col min="14095" max="14095" width="4.42578125" style="563" customWidth="1"/>
    <col min="14096" max="14096" width="4" style="563" customWidth="1"/>
    <col min="14097" max="14097" width="3.5703125" style="563" customWidth="1"/>
    <col min="14098" max="14099" width="4.5703125" style="563" customWidth="1"/>
    <col min="14100" max="14100" width="4" style="563" customWidth="1"/>
    <col min="14101" max="14102" width="4.42578125" style="563" customWidth="1"/>
    <col min="14103" max="14103" width="3.5703125" style="563" customWidth="1"/>
    <col min="14104" max="14104" width="4.42578125" style="563" customWidth="1"/>
    <col min="14105" max="14105" width="5.5703125" style="563" customWidth="1"/>
    <col min="14106" max="14106" width="3.5703125" style="563" customWidth="1"/>
    <col min="14107" max="14107" width="4" style="563" customWidth="1"/>
    <col min="14108" max="14108" width="4.5703125" style="563" customWidth="1"/>
    <col min="14109" max="14111" width="4.42578125" style="563" customWidth="1"/>
    <col min="14112" max="14113" width="4.5703125" style="563" customWidth="1"/>
    <col min="14114" max="14114" width="4" style="563" customWidth="1"/>
    <col min="14115" max="14115" width="4.5703125" style="563" customWidth="1"/>
    <col min="14116" max="14116" width="6" style="563" customWidth="1"/>
    <col min="14117" max="14117" width="8.5703125" style="563" customWidth="1"/>
    <col min="14118" max="14337" width="11.42578125" style="563"/>
    <col min="14338" max="14338" width="6.42578125" style="563" customWidth="1"/>
    <col min="14339" max="14339" width="47.5703125" style="563" customWidth="1"/>
    <col min="14340" max="14341" width="5" style="563" customWidth="1"/>
    <col min="14342" max="14342" width="5.42578125" style="563" customWidth="1"/>
    <col min="14343" max="14343" width="4.5703125" style="563" customWidth="1"/>
    <col min="14344" max="14345" width="4.42578125" style="563" customWidth="1"/>
    <col min="14346" max="14346" width="3.5703125" style="563" customWidth="1"/>
    <col min="14347" max="14347" width="5" style="563" customWidth="1"/>
    <col min="14348" max="14348" width="4" style="563" customWidth="1"/>
    <col min="14349" max="14350" width="4.5703125" style="563" customWidth="1"/>
    <col min="14351" max="14351" width="4.42578125" style="563" customWidth="1"/>
    <col min="14352" max="14352" width="4" style="563" customWidth="1"/>
    <col min="14353" max="14353" width="3.5703125" style="563" customWidth="1"/>
    <col min="14354" max="14355" width="4.5703125" style="563" customWidth="1"/>
    <col min="14356" max="14356" width="4" style="563" customWidth="1"/>
    <col min="14357" max="14358" width="4.42578125" style="563" customWidth="1"/>
    <col min="14359" max="14359" width="3.5703125" style="563" customWidth="1"/>
    <col min="14360" max="14360" width="4.42578125" style="563" customWidth="1"/>
    <col min="14361" max="14361" width="5.5703125" style="563" customWidth="1"/>
    <col min="14362" max="14362" width="3.5703125" style="563" customWidth="1"/>
    <col min="14363" max="14363" width="4" style="563" customWidth="1"/>
    <col min="14364" max="14364" width="4.5703125" style="563" customWidth="1"/>
    <col min="14365" max="14367" width="4.42578125" style="563" customWidth="1"/>
    <col min="14368" max="14369" width="4.5703125" style="563" customWidth="1"/>
    <col min="14370" max="14370" width="4" style="563" customWidth="1"/>
    <col min="14371" max="14371" width="4.5703125" style="563" customWidth="1"/>
    <col min="14372" max="14372" width="6" style="563" customWidth="1"/>
    <col min="14373" max="14373" width="8.5703125" style="563" customWidth="1"/>
    <col min="14374" max="14593" width="11.42578125" style="563"/>
    <col min="14594" max="14594" width="6.42578125" style="563" customWidth="1"/>
    <col min="14595" max="14595" width="47.5703125" style="563" customWidth="1"/>
    <col min="14596" max="14597" width="5" style="563" customWidth="1"/>
    <col min="14598" max="14598" width="5.42578125" style="563" customWidth="1"/>
    <col min="14599" max="14599" width="4.5703125" style="563" customWidth="1"/>
    <col min="14600" max="14601" width="4.42578125" style="563" customWidth="1"/>
    <col min="14602" max="14602" width="3.5703125" style="563" customWidth="1"/>
    <col min="14603" max="14603" width="5" style="563" customWidth="1"/>
    <col min="14604" max="14604" width="4" style="563" customWidth="1"/>
    <col min="14605" max="14606" width="4.5703125" style="563" customWidth="1"/>
    <col min="14607" max="14607" width="4.42578125" style="563" customWidth="1"/>
    <col min="14608" max="14608" width="4" style="563" customWidth="1"/>
    <col min="14609" max="14609" width="3.5703125" style="563" customWidth="1"/>
    <col min="14610" max="14611" width="4.5703125" style="563" customWidth="1"/>
    <col min="14612" max="14612" width="4" style="563" customWidth="1"/>
    <col min="14613" max="14614" width="4.42578125" style="563" customWidth="1"/>
    <col min="14615" max="14615" width="3.5703125" style="563" customWidth="1"/>
    <col min="14616" max="14616" width="4.42578125" style="563" customWidth="1"/>
    <col min="14617" max="14617" width="5.5703125" style="563" customWidth="1"/>
    <col min="14618" max="14618" width="3.5703125" style="563" customWidth="1"/>
    <col min="14619" max="14619" width="4" style="563" customWidth="1"/>
    <col min="14620" max="14620" width="4.5703125" style="563" customWidth="1"/>
    <col min="14621" max="14623" width="4.42578125" style="563" customWidth="1"/>
    <col min="14624" max="14625" width="4.5703125" style="563" customWidth="1"/>
    <col min="14626" max="14626" width="4" style="563" customWidth="1"/>
    <col min="14627" max="14627" width="4.5703125" style="563" customWidth="1"/>
    <col min="14628" max="14628" width="6" style="563" customWidth="1"/>
    <col min="14629" max="14629" width="8.5703125" style="563" customWidth="1"/>
    <col min="14630" max="14849" width="11.42578125" style="563"/>
    <col min="14850" max="14850" width="6.42578125" style="563" customWidth="1"/>
    <col min="14851" max="14851" width="47.5703125" style="563" customWidth="1"/>
    <col min="14852" max="14853" width="5" style="563" customWidth="1"/>
    <col min="14854" max="14854" width="5.42578125" style="563" customWidth="1"/>
    <col min="14855" max="14855" width="4.5703125" style="563" customWidth="1"/>
    <col min="14856" max="14857" width="4.42578125" style="563" customWidth="1"/>
    <col min="14858" max="14858" width="3.5703125" style="563" customWidth="1"/>
    <col min="14859" max="14859" width="5" style="563" customWidth="1"/>
    <col min="14860" max="14860" width="4" style="563" customWidth="1"/>
    <col min="14861" max="14862" width="4.5703125" style="563" customWidth="1"/>
    <col min="14863" max="14863" width="4.42578125" style="563" customWidth="1"/>
    <col min="14864" max="14864" width="4" style="563" customWidth="1"/>
    <col min="14865" max="14865" width="3.5703125" style="563" customWidth="1"/>
    <col min="14866" max="14867" width="4.5703125" style="563" customWidth="1"/>
    <col min="14868" max="14868" width="4" style="563" customWidth="1"/>
    <col min="14869" max="14870" width="4.42578125" style="563" customWidth="1"/>
    <col min="14871" max="14871" width="3.5703125" style="563" customWidth="1"/>
    <col min="14872" max="14872" width="4.42578125" style="563" customWidth="1"/>
    <col min="14873" max="14873" width="5.5703125" style="563" customWidth="1"/>
    <col min="14874" max="14874" width="3.5703125" style="563" customWidth="1"/>
    <col min="14875" max="14875" width="4" style="563" customWidth="1"/>
    <col min="14876" max="14876" width="4.5703125" style="563" customWidth="1"/>
    <col min="14877" max="14879" width="4.42578125" style="563" customWidth="1"/>
    <col min="14880" max="14881" width="4.5703125" style="563" customWidth="1"/>
    <col min="14882" max="14882" width="4" style="563" customWidth="1"/>
    <col min="14883" max="14883" width="4.5703125" style="563" customWidth="1"/>
    <col min="14884" max="14884" width="6" style="563" customWidth="1"/>
    <col min="14885" max="14885" width="8.5703125" style="563" customWidth="1"/>
    <col min="14886" max="15105" width="11.42578125" style="563"/>
    <col min="15106" max="15106" width="6.42578125" style="563" customWidth="1"/>
    <col min="15107" max="15107" width="47.5703125" style="563" customWidth="1"/>
    <col min="15108" max="15109" width="5" style="563" customWidth="1"/>
    <col min="15110" max="15110" width="5.42578125" style="563" customWidth="1"/>
    <col min="15111" max="15111" width="4.5703125" style="563" customWidth="1"/>
    <col min="15112" max="15113" width="4.42578125" style="563" customWidth="1"/>
    <col min="15114" max="15114" width="3.5703125" style="563" customWidth="1"/>
    <col min="15115" max="15115" width="5" style="563" customWidth="1"/>
    <col min="15116" max="15116" width="4" style="563" customWidth="1"/>
    <col min="15117" max="15118" width="4.5703125" style="563" customWidth="1"/>
    <col min="15119" max="15119" width="4.42578125" style="563" customWidth="1"/>
    <col min="15120" max="15120" width="4" style="563" customWidth="1"/>
    <col min="15121" max="15121" width="3.5703125" style="563" customWidth="1"/>
    <col min="15122" max="15123" width="4.5703125" style="563" customWidth="1"/>
    <col min="15124" max="15124" width="4" style="563" customWidth="1"/>
    <col min="15125" max="15126" width="4.42578125" style="563" customWidth="1"/>
    <col min="15127" max="15127" width="3.5703125" style="563" customWidth="1"/>
    <col min="15128" max="15128" width="4.42578125" style="563" customWidth="1"/>
    <col min="15129" max="15129" width="5.5703125" style="563" customWidth="1"/>
    <col min="15130" max="15130" width="3.5703125" style="563" customWidth="1"/>
    <col min="15131" max="15131" width="4" style="563" customWidth="1"/>
    <col min="15132" max="15132" width="4.5703125" style="563" customWidth="1"/>
    <col min="15133" max="15135" width="4.42578125" style="563" customWidth="1"/>
    <col min="15136" max="15137" width="4.5703125" style="563" customWidth="1"/>
    <col min="15138" max="15138" width="4" style="563" customWidth="1"/>
    <col min="15139" max="15139" width="4.5703125" style="563" customWidth="1"/>
    <col min="15140" max="15140" width="6" style="563" customWidth="1"/>
    <col min="15141" max="15141" width="8.5703125" style="563" customWidth="1"/>
    <col min="15142" max="15361" width="11.42578125" style="563"/>
    <col min="15362" max="15362" width="6.42578125" style="563" customWidth="1"/>
    <col min="15363" max="15363" width="47.5703125" style="563" customWidth="1"/>
    <col min="15364" max="15365" width="5" style="563" customWidth="1"/>
    <col min="15366" max="15366" width="5.42578125" style="563" customWidth="1"/>
    <col min="15367" max="15367" width="4.5703125" style="563" customWidth="1"/>
    <col min="15368" max="15369" width="4.42578125" style="563" customWidth="1"/>
    <col min="15370" max="15370" width="3.5703125" style="563" customWidth="1"/>
    <col min="15371" max="15371" width="5" style="563" customWidth="1"/>
    <col min="15372" max="15372" width="4" style="563" customWidth="1"/>
    <col min="15373" max="15374" width="4.5703125" style="563" customWidth="1"/>
    <col min="15375" max="15375" width="4.42578125" style="563" customWidth="1"/>
    <col min="15376" max="15376" width="4" style="563" customWidth="1"/>
    <col min="15377" max="15377" width="3.5703125" style="563" customWidth="1"/>
    <col min="15378" max="15379" width="4.5703125" style="563" customWidth="1"/>
    <col min="15380" max="15380" width="4" style="563" customWidth="1"/>
    <col min="15381" max="15382" width="4.42578125" style="563" customWidth="1"/>
    <col min="15383" max="15383" width="3.5703125" style="563" customWidth="1"/>
    <col min="15384" max="15384" width="4.42578125" style="563" customWidth="1"/>
    <col min="15385" max="15385" width="5.5703125" style="563" customWidth="1"/>
    <col min="15386" max="15386" width="3.5703125" style="563" customWidth="1"/>
    <col min="15387" max="15387" width="4" style="563" customWidth="1"/>
    <col min="15388" max="15388" width="4.5703125" style="563" customWidth="1"/>
    <col min="15389" max="15391" width="4.42578125" style="563" customWidth="1"/>
    <col min="15392" max="15393" width="4.5703125" style="563" customWidth="1"/>
    <col min="15394" max="15394" width="4" style="563" customWidth="1"/>
    <col min="15395" max="15395" width="4.5703125" style="563" customWidth="1"/>
    <col min="15396" max="15396" width="6" style="563" customWidth="1"/>
    <col min="15397" max="15397" width="8.5703125" style="563" customWidth="1"/>
    <col min="15398" max="15617" width="11.42578125" style="563"/>
    <col min="15618" max="15618" width="6.42578125" style="563" customWidth="1"/>
    <col min="15619" max="15619" width="47.5703125" style="563" customWidth="1"/>
    <col min="15620" max="15621" width="5" style="563" customWidth="1"/>
    <col min="15622" max="15622" width="5.42578125" style="563" customWidth="1"/>
    <col min="15623" max="15623" width="4.5703125" style="563" customWidth="1"/>
    <col min="15624" max="15625" width="4.42578125" style="563" customWidth="1"/>
    <col min="15626" max="15626" width="3.5703125" style="563" customWidth="1"/>
    <col min="15627" max="15627" width="5" style="563" customWidth="1"/>
    <col min="15628" max="15628" width="4" style="563" customWidth="1"/>
    <col min="15629" max="15630" width="4.5703125" style="563" customWidth="1"/>
    <col min="15631" max="15631" width="4.42578125" style="563" customWidth="1"/>
    <col min="15632" max="15632" width="4" style="563" customWidth="1"/>
    <col min="15633" max="15633" width="3.5703125" style="563" customWidth="1"/>
    <col min="15634" max="15635" width="4.5703125" style="563" customWidth="1"/>
    <col min="15636" max="15636" width="4" style="563" customWidth="1"/>
    <col min="15637" max="15638" width="4.42578125" style="563" customWidth="1"/>
    <col min="15639" max="15639" width="3.5703125" style="563" customWidth="1"/>
    <col min="15640" max="15640" width="4.42578125" style="563" customWidth="1"/>
    <col min="15641" max="15641" width="5.5703125" style="563" customWidth="1"/>
    <col min="15642" max="15642" width="3.5703125" style="563" customWidth="1"/>
    <col min="15643" max="15643" width="4" style="563" customWidth="1"/>
    <col min="15644" max="15644" width="4.5703125" style="563" customWidth="1"/>
    <col min="15645" max="15647" width="4.42578125" style="563" customWidth="1"/>
    <col min="15648" max="15649" width="4.5703125" style="563" customWidth="1"/>
    <col min="15650" max="15650" width="4" style="563" customWidth="1"/>
    <col min="15651" max="15651" width="4.5703125" style="563" customWidth="1"/>
    <col min="15652" max="15652" width="6" style="563" customWidth="1"/>
    <col min="15653" max="15653" width="8.5703125" style="563" customWidth="1"/>
    <col min="15654" max="15873" width="11.42578125" style="563"/>
    <col min="15874" max="15874" width="6.42578125" style="563" customWidth="1"/>
    <col min="15875" max="15875" width="47.5703125" style="563" customWidth="1"/>
    <col min="15876" max="15877" width="5" style="563" customWidth="1"/>
    <col min="15878" max="15878" width="5.42578125" style="563" customWidth="1"/>
    <col min="15879" max="15879" width="4.5703125" style="563" customWidth="1"/>
    <col min="15880" max="15881" width="4.42578125" style="563" customWidth="1"/>
    <col min="15882" max="15882" width="3.5703125" style="563" customWidth="1"/>
    <col min="15883" max="15883" width="5" style="563" customWidth="1"/>
    <col min="15884" max="15884" width="4" style="563" customWidth="1"/>
    <col min="15885" max="15886" width="4.5703125" style="563" customWidth="1"/>
    <col min="15887" max="15887" width="4.42578125" style="563" customWidth="1"/>
    <col min="15888" max="15888" width="4" style="563" customWidth="1"/>
    <col min="15889" max="15889" width="3.5703125" style="563" customWidth="1"/>
    <col min="15890" max="15891" width="4.5703125" style="563" customWidth="1"/>
    <col min="15892" max="15892" width="4" style="563" customWidth="1"/>
    <col min="15893" max="15894" width="4.42578125" style="563" customWidth="1"/>
    <col min="15895" max="15895" width="3.5703125" style="563" customWidth="1"/>
    <col min="15896" max="15896" width="4.42578125" style="563" customWidth="1"/>
    <col min="15897" max="15897" width="5.5703125" style="563" customWidth="1"/>
    <col min="15898" max="15898" width="3.5703125" style="563" customWidth="1"/>
    <col min="15899" max="15899" width="4" style="563" customWidth="1"/>
    <col min="15900" max="15900" width="4.5703125" style="563" customWidth="1"/>
    <col min="15901" max="15903" width="4.42578125" style="563" customWidth="1"/>
    <col min="15904" max="15905" width="4.5703125" style="563" customWidth="1"/>
    <col min="15906" max="15906" width="4" style="563" customWidth="1"/>
    <col min="15907" max="15907" width="4.5703125" style="563" customWidth="1"/>
    <col min="15908" max="15908" width="6" style="563" customWidth="1"/>
    <col min="15909" max="15909" width="8.5703125" style="563" customWidth="1"/>
    <col min="15910" max="16129" width="11.42578125" style="563"/>
    <col min="16130" max="16130" width="6.42578125" style="563" customWidth="1"/>
    <col min="16131" max="16131" width="47.5703125" style="563" customWidth="1"/>
    <col min="16132" max="16133" width="5" style="563" customWidth="1"/>
    <col min="16134" max="16134" width="5.42578125" style="563" customWidth="1"/>
    <col min="16135" max="16135" width="4.5703125" style="563" customWidth="1"/>
    <col min="16136" max="16137" width="4.42578125" style="563" customWidth="1"/>
    <col min="16138" max="16138" width="3.5703125" style="563" customWidth="1"/>
    <col min="16139" max="16139" width="5" style="563" customWidth="1"/>
    <col min="16140" max="16140" width="4" style="563" customWidth="1"/>
    <col min="16141" max="16142" width="4.5703125" style="563" customWidth="1"/>
    <col min="16143" max="16143" width="4.42578125" style="563" customWidth="1"/>
    <col min="16144" max="16144" width="4" style="563" customWidth="1"/>
    <col min="16145" max="16145" width="3.5703125" style="563" customWidth="1"/>
    <col min="16146" max="16147" width="4.5703125" style="563" customWidth="1"/>
    <col min="16148" max="16148" width="4" style="563" customWidth="1"/>
    <col min="16149" max="16150" width="4.42578125" style="563" customWidth="1"/>
    <col min="16151" max="16151" width="3.5703125" style="563" customWidth="1"/>
    <col min="16152" max="16152" width="4.42578125" style="563" customWidth="1"/>
    <col min="16153" max="16153" width="5.5703125" style="563" customWidth="1"/>
    <col min="16154" max="16154" width="3.5703125" style="563" customWidth="1"/>
    <col min="16155" max="16155" width="4" style="563" customWidth="1"/>
    <col min="16156" max="16156" width="4.5703125" style="563" customWidth="1"/>
    <col min="16157" max="16159" width="4.42578125" style="563" customWidth="1"/>
    <col min="16160" max="16161" width="4.5703125" style="563" customWidth="1"/>
    <col min="16162" max="16162" width="4" style="563" customWidth="1"/>
    <col min="16163" max="16163" width="4.5703125" style="563" customWidth="1"/>
    <col min="16164" max="16164" width="6" style="563" customWidth="1"/>
    <col min="16165" max="16165" width="8.5703125" style="563" customWidth="1"/>
    <col min="16166" max="16384" width="11.42578125" style="563"/>
  </cols>
  <sheetData>
    <row r="1" spans="1:40">
      <c r="A1" s="2571" t="s">
        <v>283</v>
      </c>
      <c r="B1" s="2571"/>
      <c r="C1" s="2571"/>
      <c r="D1" s="2571"/>
      <c r="E1" s="2571"/>
      <c r="F1" s="2571"/>
      <c r="G1" s="2571"/>
      <c r="H1" s="2571"/>
      <c r="I1" s="2571"/>
      <c r="J1" s="2571"/>
      <c r="K1" s="2571"/>
      <c r="R1" s="563"/>
      <c r="Y1" s="563"/>
      <c r="AD1" s="563"/>
      <c r="AF1" s="563"/>
      <c r="AG1" s="563"/>
    </row>
    <row r="2" spans="1:40">
      <c r="A2" s="2572" t="s">
        <v>1801</v>
      </c>
      <c r="B2" s="2572"/>
      <c r="C2" s="2572"/>
      <c r="D2" s="2572"/>
      <c r="E2" s="2572"/>
      <c r="F2" s="2572"/>
      <c r="G2" s="2572"/>
      <c r="H2" s="2572"/>
      <c r="I2" s="2572"/>
      <c r="J2" s="2572"/>
      <c r="K2" s="2572"/>
      <c r="R2" s="563"/>
      <c r="Y2" s="563"/>
      <c r="AD2" s="563"/>
      <c r="AF2" s="563"/>
      <c r="AG2" s="563"/>
    </row>
    <row r="3" spans="1:40">
      <c r="A3" s="621"/>
      <c r="D3" s="563"/>
      <c r="K3" s="563"/>
      <c r="R3" s="563"/>
      <c r="Y3" s="563"/>
      <c r="AD3" s="563"/>
      <c r="AF3" s="563"/>
      <c r="AG3" s="563"/>
    </row>
    <row r="4" spans="1:40">
      <c r="A4" s="623"/>
      <c r="B4" s="2573" t="s">
        <v>1799</v>
      </c>
      <c r="C4" s="2573"/>
      <c r="D4" s="2573"/>
      <c r="E4" s="2573"/>
      <c r="F4" s="2573"/>
      <c r="G4" s="2573"/>
      <c r="H4" s="2573"/>
      <c r="I4" s="2573"/>
      <c r="J4" s="2573"/>
      <c r="K4" s="2573"/>
      <c r="R4" s="563"/>
      <c r="Y4" s="563"/>
      <c r="AD4" s="563"/>
      <c r="AF4" s="563"/>
      <c r="AG4" s="563"/>
    </row>
    <row r="5" spans="1:40" ht="12.75" customHeight="1">
      <c r="A5" s="623"/>
      <c r="B5" s="2574" t="e">
        <f>#REF!</f>
        <v>#REF!</v>
      </c>
      <c r="C5" s="2575"/>
      <c r="D5" s="2575"/>
      <c r="E5" s="2575"/>
      <c r="F5" s="2575"/>
      <c r="G5" s="2575"/>
      <c r="H5" s="2575"/>
      <c r="I5" s="2575"/>
      <c r="J5" s="2575"/>
      <c r="K5" s="2575"/>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2180</v>
      </c>
      <c r="E8" s="1166" t="s">
        <v>2158</v>
      </c>
      <c r="F8" s="1166" t="s">
        <v>2159</v>
      </c>
      <c r="G8" s="1166" t="s">
        <v>2160</v>
      </c>
      <c r="H8" s="1166" t="s">
        <v>2154</v>
      </c>
      <c r="I8" s="1166" t="s">
        <v>2155</v>
      </c>
      <c r="J8" s="1166" t="s">
        <v>2156</v>
      </c>
      <c r="K8" s="1166" t="s">
        <v>2157</v>
      </c>
      <c r="L8" s="1166" t="s">
        <v>2158</v>
      </c>
      <c r="M8" s="1166" t="s">
        <v>2159</v>
      </c>
      <c r="N8" s="1166" t="s">
        <v>2160</v>
      </c>
      <c r="O8" s="1158" t="s">
        <v>2154</v>
      </c>
      <c r="P8" s="1166" t="s">
        <v>2155</v>
      </c>
      <c r="Q8" s="1166" t="s">
        <v>2156</v>
      </c>
      <c r="R8" s="1166" t="s">
        <v>2157</v>
      </c>
      <c r="S8" s="1166" t="s">
        <v>2158</v>
      </c>
      <c r="T8" s="1166" t="s">
        <v>2159</v>
      </c>
      <c r="U8" s="1166" t="s">
        <v>2160</v>
      </c>
      <c r="V8" s="1166" t="s">
        <v>2154</v>
      </c>
      <c r="W8" s="1166" t="s">
        <v>2155</v>
      </c>
      <c r="X8" s="1166" t="s">
        <v>2156</v>
      </c>
      <c r="Y8" s="1166" t="s">
        <v>2157</v>
      </c>
      <c r="Z8" s="1166" t="s">
        <v>2158</v>
      </c>
      <c r="AA8" s="1166" t="s">
        <v>2159</v>
      </c>
      <c r="AB8" s="1166" t="s">
        <v>2160</v>
      </c>
      <c r="AC8" s="1166" t="s">
        <v>2154</v>
      </c>
      <c r="AD8" s="1166" t="s">
        <v>2155</v>
      </c>
      <c r="AE8" s="1166" t="s">
        <v>2156</v>
      </c>
      <c r="AF8" s="1166" t="s">
        <v>2157</v>
      </c>
      <c r="AG8" s="1166" t="s">
        <v>2158</v>
      </c>
      <c r="AH8" s="971" t="s">
        <v>2159</v>
      </c>
      <c r="AI8" s="971"/>
      <c r="AJ8" s="602"/>
    </row>
    <row r="9" spans="1:40" ht="13.5" thickBot="1">
      <c r="A9" s="2576" t="s">
        <v>285</v>
      </c>
      <c r="B9" s="2576"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358</v>
      </c>
      <c r="AJ9" s="1127"/>
      <c r="AK9" s="756" t="s">
        <v>26</v>
      </c>
      <c r="AL9" s="755" t="s">
        <v>1821</v>
      </c>
      <c r="AM9" s="755" t="s">
        <v>1820</v>
      </c>
      <c r="AN9" s="572" t="s">
        <v>25</v>
      </c>
    </row>
    <row r="10" spans="1:40" ht="13.5" thickBot="1">
      <c r="A10" s="2577"/>
      <c r="B10" s="2577"/>
      <c r="C10" s="993" t="s">
        <v>73</v>
      </c>
      <c r="D10" s="1066" t="s">
        <v>304</v>
      </c>
      <c r="E10" s="574" t="s">
        <v>304</v>
      </c>
      <c r="F10" s="574" t="s">
        <v>304</v>
      </c>
      <c r="G10" s="574" t="s">
        <v>304</v>
      </c>
      <c r="H10" s="574" t="s">
        <v>304</v>
      </c>
      <c r="I10" s="574" t="s">
        <v>304</v>
      </c>
      <c r="J10" s="574" t="s">
        <v>304</v>
      </c>
      <c r="K10" s="574" t="s">
        <v>304</v>
      </c>
      <c r="L10" s="574" t="s">
        <v>304</v>
      </c>
      <c r="M10" s="574" t="s">
        <v>304</v>
      </c>
      <c r="N10" s="574" t="s">
        <v>304</v>
      </c>
      <c r="O10" s="831" t="s">
        <v>304</v>
      </c>
      <c r="P10" s="574" t="s">
        <v>304</v>
      </c>
      <c r="Q10" s="574" t="s">
        <v>304</v>
      </c>
      <c r="R10" s="574" t="s">
        <v>304</v>
      </c>
      <c r="S10" s="574" t="s">
        <v>304</v>
      </c>
      <c r="T10" s="574" t="s">
        <v>304</v>
      </c>
      <c r="U10" s="574" t="s">
        <v>304</v>
      </c>
      <c r="V10" s="574" t="s">
        <v>304</v>
      </c>
      <c r="W10" s="574" t="s">
        <v>304</v>
      </c>
      <c r="X10" s="574" t="s">
        <v>304</v>
      </c>
      <c r="Y10" s="574" t="s">
        <v>304</v>
      </c>
      <c r="Z10" s="574" t="s">
        <v>304</v>
      </c>
      <c r="AA10" s="574" t="s">
        <v>304</v>
      </c>
      <c r="AB10" s="574" t="s">
        <v>304</v>
      </c>
      <c r="AC10" s="574" t="s">
        <v>304</v>
      </c>
      <c r="AD10" s="574" t="s">
        <v>304</v>
      </c>
      <c r="AE10" s="574" t="s">
        <v>304</v>
      </c>
      <c r="AF10" s="574" t="s">
        <v>304</v>
      </c>
      <c r="AG10" s="1066" t="s">
        <v>304</v>
      </c>
      <c r="AH10" s="574" t="s">
        <v>304</v>
      </c>
      <c r="AI10" s="576" t="s">
        <v>287</v>
      </c>
      <c r="AJ10" s="1128"/>
      <c r="AK10" s="752" t="s">
        <v>287</v>
      </c>
      <c r="AL10" s="755"/>
      <c r="AM10" s="755"/>
      <c r="AN10" s="572"/>
    </row>
    <row r="11" spans="1:40" s="585" customFormat="1">
      <c r="A11" s="612" t="s">
        <v>33</v>
      </c>
      <c r="B11" s="612" t="s">
        <v>1131</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1132</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538</v>
      </c>
      <c r="B13" s="610" t="s">
        <v>1918</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1454</v>
      </c>
      <c r="AN13" s="753">
        <f t="shared" ref="AN13:AN26" si="3">AM13-AL13</f>
        <v>0.75</v>
      </c>
    </row>
    <row r="14" spans="1:40" s="566" customFormat="1">
      <c r="A14" s="498" t="s">
        <v>550</v>
      </c>
      <c r="B14" s="614" t="s">
        <v>1146</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555</v>
      </c>
      <c r="B15" s="616" t="s">
        <v>1151</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1454</v>
      </c>
      <c r="AN15" s="753">
        <f t="shared" si="3"/>
        <v>0.75</v>
      </c>
    </row>
    <row r="16" spans="1:40" s="585" customFormat="1" ht="13.5" thickBot="1">
      <c r="A16" s="610" t="s">
        <v>556</v>
      </c>
      <c r="B16" s="616" t="s">
        <v>1152</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1454</v>
      </c>
      <c r="AN16" s="753">
        <f t="shared" si="3"/>
        <v>0.75</v>
      </c>
    </row>
    <row r="17" spans="1:40" s="939" customFormat="1">
      <c r="A17" s="612" t="s">
        <v>42</v>
      </c>
      <c r="B17" s="612" t="s">
        <v>1153</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1154</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560</v>
      </c>
      <c r="B20" s="610" t="s">
        <v>1158</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1462</v>
      </c>
      <c r="AN20" s="753">
        <f t="shared" si="3"/>
        <v>0</v>
      </c>
    </row>
    <row r="21" spans="1:40" s="566" customFormat="1" ht="11.25" customHeight="1">
      <c r="A21" s="613" t="s">
        <v>563</v>
      </c>
      <c r="B21" s="613" t="s">
        <v>1161</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567</v>
      </c>
      <c r="B22" s="610" t="s">
        <v>1165</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1467</v>
      </c>
      <c r="AN22" s="753">
        <f t="shared" si="3"/>
        <v>0.47</v>
      </c>
    </row>
    <row r="23" spans="1:40" s="566" customFormat="1">
      <c r="A23" s="610" t="s">
        <v>568</v>
      </c>
      <c r="B23" s="610" t="s">
        <v>1166</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1468</v>
      </c>
      <c r="AN23" s="753">
        <f t="shared" si="3"/>
        <v>4.32</v>
      </c>
    </row>
    <row r="24" spans="1:40" s="566" customFormat="1">
      <c r="A24" s="610" t="s">
        <v>569</v>
      </c>
      <c r="B24" s="610" t="s">
        <v>1167</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1462</v>
      </c>
      <c r="AN24" s="753">
        <f t="shared" si="3"/>
        <v>0</v>
      </c>
    </row>
    <row r="25" spans="1:40" s="566" customFormat="1">
      <c r="A25" s="613" t="s">
        <v>570</v>
      </c>
      <c r="B25" s="613" t="s">
        <v>1168</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595</v>
      </c>
      <c r="B26" s="610" t="s">
        <v>1193</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596</v>
      </c>
      <c r="B27" s="610" t="s">
        <v>1194</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1487</v>
      </c>
      <c r="AN27" s="753">
        <f t="shared" ref="AN27:AN40" si="6">AM27-AL27</f>
        <v>0.18999999999999995</v>
      </c>
    </row>
    <row r="28" spans="1:40" s="566" customFormat="1">
      <c r="A28" s="610" t="s">
        <v>597</v>
      </c>
      <c r="B28" s="610" t="s">
        <v>1195</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1488</v>
      </c>
      <c r="AN28" s="753">
        <f t="shared" si="6"/>
        <v>0</v>
      </c>
    </row>
    <row r="29" spans="1:40" s="566" customFormat="1">
      <c r="A29" s="613" t="s">
        <v>601</v>
      </c>
      <c r="B29" s="613" t="s">
        <v>1199</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603</v>
      </c>
      <c r="B30" s="610" t="s">
        <v>225</v>
      </c>
      <c r="C30" s="1082" t="s">
        <v>1449</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1492</v>
      </c>
      <c r="AN30" s="753">
        <f t="shared" si="6"/>
        <v>10</v>
      </c>
    </row>
    <row r="31" spans="1:40" s="824" customFormat="1">
      <c r="A31" s="498" t="s">
        <v>44</v>
      </c>
      <c r="B31" s="614" t="s">
        <v>1201</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606</v>
      </c>
      <c r="B33" s="610" t="s">
        <v>1157</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1495</v>
      </c>
      <c r="AN33" s="753">
        <f t="shared" si="6"/>
        <v>26.880000000000003</v>
      </c>
    </row>
    <row r="34" spans="1:40" s="566" customFormat="1">
      <c r="A34" s="610" t="s">
        <v>607</v>
      </c>
      <c r="B34" s="610" t="s">
        <v>1158</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1496</v>
      </c>
      <c r="AN34" s="753">
        <f t="shared" si="6"/>
        <v>51.19</v>
      </c>
    </row>
    <row r="35" spans="1:40" s="566" customFormat="1">
      <c r="A35" s="613" t="s">
        <v>55</v>
      </c>
      <c r="B35" s="613" t="s">
        <v>1161</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611</v>
      </c>
      <c r="B36" s="610" t="s">
        <v>1203</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1499</v>
      </c>
      <c r="AN36" s="753">
        <f t="shared" si="6"/>
        <v>12.459999999999999</v>
      </c>
    </row>
    <row r="37" spans="1:40" s="566" customFormat="1">
      <c r="A37" s="610" t="s">
        <v>612</v>
      </c>
      <c r="B37" s="610" t="s">
        <v>1204</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1500</v>
      </c>
      <c r="AN37" s="753">
        <f t="shared" si="6"/>
        <v>2.48</v>
      </c>
    </row>
    <row r="38" spans="1:40" s="566" customFormat="1">
      <c r="A38" s="610" t="s">
        <v>613</v>
      </c>
      <c r="B38" s="610" t="s">
        <v>1166</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1501</v>
      </c>
      <c r="AN38" s="753">
        <f t="shared" si="6"/>
        <v>95.259999999999991</v>
      </c>
    </row>
    <row r="39" spans="1:40" s="566" customFormat="1">
      <c r="A39" s="610" t="s">
        <v>614</v>
      </c>
      <c r="B39" s="610" t="s">
        <v>1167</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1496</v>
      </c>
      <c r="AN39" s="753">
        <f t="shared" si="6"/>
        <v>0</v>
      </c>
    </row>
    <row r="40" spans="1:40" s="824" customFormat="1">
      <c r="A40" s="498" t="s">
        <v>52</v>
      </c>
      <c r="B40" s="614" t="s">
        <v>1208</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1161</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659</v>
      </c>
      <c r="B42" s="610" t="s">
        <v>1167</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1527</v>
      </c>
      <c r="AN42" s="753">
        <f t="shared" si="9"/>
        <v>0</v>
      </c>
    </row>
    <row r="43" spans="1:40" s="566" customFormat="1">
      <c r="A43" s="498" t="s">
        <v>515</v>
      </c>
      <c r="B43" s="614" t="s">
        <v>1209</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738</v>
      </c>
      <c r="B44" s="613" t="s">
        <v>1199</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740</v>
      </c>
      <c r="B45" s="610" t="s">
        <v>225</v>
      </c>
      <c r="C45" s="1083" t="s">
        <v>1449</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1492</v>
      </c>
      <c r="AN45" s="753">
        <f t="shared" si="12"/>
        <v>10</v>
      </c>
    </row>
    <row r="46" spans="1:40" s="824" customFormat="1">
      <c r="A46" s="498" t="s">
        <v>741</v>
      </c>
      <c r="B46" s="614" t="s">
        <v>1210</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742</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743</v>
      </c>
      <c r="B48" s="610" t="s">
        <v>1211</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1582</v>
      </c>
      <c r="AN48" s="753">
        <f t="shared" si="12"/>
        <v>378.38</v>
      </c>
    </row>
    <row r="49" spans="1:40" s="566" customFormat="1">
      <c r="A49" s="613" t="s">
        <v>745</v>
      </c>
      <c r="B49" s="613" t="s">
        <v>1161</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746</v>
      </c>
      <c r="B50" s="610" t="s">
        <v>1203</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1584</v>
      </c>
      <c r="AN50" s="753">
        <f t="shared" si="12"/>
        <v>6.64</v>
      </c>
    </row>
    <row r="51" spans="1:40" s="566" customFormat="1">
      <c r="A51" s="613" t="s">
        <v>747</v>
      </c>
      <c r="B51" s="613" t="s">
        <v>1168</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748</v>
      </c>
      <c r="B52" s="610" t="s">
        <v>1176</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749</v>
      </c>
      <c r="B53" s="610" t="s">
        <v>1207</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1585</v>
      </c>
      <c r="AN53" s="753">
        <f t="shared" si="12"/>
        <v>4.3</v>
      </c>
    </row>
    <row r="54" spans="1:40" s="566" customFormat="1">
      <c r="A54" s="610" t="s">
        <v>750</v>
      </c>
      <c r="B54" s="610" t="s">
        <v>1178</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1586</v>
      </c>
      <c r="AN54" s="753">
        <f t="shared" si="12"/>
        <v>63.949999999999996</v>
      </c>
    </row>
    <row r="55" spans="1:40" s="566" customFormat="1">
      <c r="A55" s="610" t="s">
        <v>752</v>
      </c>
      <c r="B55" s="610" t="s">
        <v>1184</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753</v>
      </c>
      <c r="B56" s="610" t="s">
        <v>1185</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1588</v>
      </c>
      <c r="AN56" s="753">
        <f t="shared" si="12"/>
        <v>3.3600000000000003</v>
      </c>
    </row>
    <row r="57" spans="1:40" s="566" customFormat="1">
      <c r="A57" s="610" t="s">
        <v>754</v>
      </c>
      <c r="B57" s="610" t="s">
        <v>1186</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1589</v>
      </c>
      <c r="AN57" s="753">
        <f t="shared" si="12"/>
        <v>41.66</v>
      </c>
    </row>
    <row r="58" spans="1:40" s="566" customFormat="1">
      <c r="A58" s="610" t="s">
        <v>755</v>
      </c>
      <c r="B58" s="610" t="s">
        <v>1187</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1590</v>
      </c>
      <c r="AN58" s="753">
        <f t="shared" si="12"/>
        <v>319.14999999999998</v>
      </c>
    </row>
    <row r="59" spans="1:40" s="566" customFormat="1">
      <c r="A59" s="610" t="s">
        <v>756</v>
      </c>
      <c r="B59" s="610" t="s">
        <v>1212</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757</v>
      </c>
      <c r="B60" s="610" t="s">
        <v>1204</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1591</v>
      </c>
      <c r="AN60" s="753">
        <f t="shared" si="12"/>
        <v>2.8400000000000003</v>
      </c>
    </row>
    <row r="61" spans="1:40" s="566" customFormat="1">
      <c r="A61" s="610" t="s">
        <v>758</v>
      </c>
      <c r="B61" s="610" t="s">
        <v>1213</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1592</v>
      </c>
      <c r="AN61" s="753">
        <f t="shared" si="12"/>
        <v>28.5</v>
      </c>
    </row>
    <row r="62" spans="1:40" s="566" customFormat="1">
      <c r="A62" s="610" t="s">
        <v>759</v>
      </c>
      <c r="B62" s="610" t="s">
        <v>1214</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1593</v>
      </c>
      <c r="AN62" s="753">
        <f t="shared" si="12"/>
        <v>370.01</v>
      </c>
    </row>
    <row r="63" spans="1:40" s="566" customFormat="1">
      <c r="A63" s="613" t="s">
        <v>760</v>
      </c>
      <c r="B63" s="613" t="s">
        <v>1199</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761</v>
      </c>
      <c r="B64" s="610" t="s">
        <v>1215</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1594</v>
      </c>
      <c r="AN64" s="753">
        <f t="shared" si="12"/>
        <v>20</v>
      </c>
    </row>
    <row r="65" spans="1:40" s="824" customFormat="1">
      <c r="A65" s="498" t="s">
        <v>762</v>
      </c>
      <c r="B65" s="614" t="s">
        <v>1216</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763</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764</v>
      </c>
      <c r="B67" s="610" t="s">
        <v>1211</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1595</v>
      </c>
      <c r="AN67" s="753">
        <f t="shared" si="12"/>
        <v>336.15999999999997</v>
      </c>
    </row>
    <row r="68" spans="1:40" s="566" customFormat="1">
      <c r="A68" s="613" t="s">
        <v>766</v>
      </c>
      <c r="B68" s="613" t="s">
        <v>1217</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767</v>
      </c>
      <c r="B69" s="610" t="s">
        <v>1218</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1597</v>
      </c>
      <c r="AN69" s="753">
        <f t="shared" si="12"/>
        <v>175.64999999999998</v>
      </c>
    </row>
    <row r="70" spans="1:40" s="566" customFormat="1">
      <c r="A70" s="610" t="s">
        <v>768</v>
      </c>
      <c r="B70" s="610" t="s">
        <v>1219</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1598</v>
      </c>
      <c r="AN70" s="753">
        <f t="shared" si="12"/>
        <v>460.47</v>
      </c>
    </row>
    <row r="71" spans="1:40" s="566" customFormat="1">
      <c r="A71" s="610" t="s">
        <v>769</v>
      </c>
      <c r="B71" s="610" t="s">
        <v>1220</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1599</v>
      </c>
      <c r="AN71" s="753">
        <f t="shared" si="12"/>
        <v>13325.84</v>
      </c>
    </row>
    <row r="72" spans="1:40" s="566" customFormat="1">
      <c r="A72" s="613" t="s">
        <v>770</v>
      </c>
      <c r="B72" s="613" t="s">
        <v>1199</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771</v>
      </c>
      <c r="B73" s="610" t="s">
        <v>1221</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1600</v>
      </c>
      <c r="AN73" s="753">
        <f t="shared" si="12"/>
        <v>17</v>
      </c>
    </row>
    <row r="74" spans="1:40" s="566" customFormat="1">
      <c r="A74" s="610" t="s">
        <v>772</v>
      </c>
      <c r="B74" s="610" t="s">
        <v>225</v>
      </c>
      <c r="C74" s="1083" t="s">
        <v>1449</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1601</v>
      </c>
      <c r="AN74" s="753">
        <f t="shared" si="12"/>
        <v>15</v>
      </c>
    </row>
    <row r="75" spans="1:40" s="566" customFormat="1">
      <c r="A75" s="498" t="s">
        <v>780</v>
      </c>
      <c r="B75" s="614" t="s">
        <v>1224</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781</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5" thickBot="1">
      <c r="A77" s="610" t="s">
        <v>783</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1607</v>
      </c>
      <c r="AN77" s="753">
        <f t="shared" si="15"/>
        <v>0</v>
      </c>
    </row>
    <row r="78" spans="1:40" s="939" customFormat="1">
      <c r="A78" s="612" t="s">
        <v>45</v>
      </c>
      <c r="B78" s="612" t="s">
        <v>1233</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1234</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1238</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803</v>
      </c>
      <c r="B81" s="610" t="s">
        <v>1240</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1621</v>
      </c>
      <c r="AN81" s="753">
        <f t="shared" si="15"/>
        <v>0</v>
      </c>
    </row>
    <row r="82" spans="1:40" s="566" customFormat="1">
      <c r="A82" s="610" t="s">
        <v>806</v>
      </c>
      <c r="B82" s="610" t="s">
        <v>1243</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1624</v>
      </c>
      <c r="AN82" s="753">
        <f t="shared" si="15"/>
        <v>30.300000000000004</v>
      </c>
    </row>
    <row r="83" spans="1:40" s="566" customFormat="1">
      <c r="A83" s="613" t="s">
        <v>277</v>
      </c>
      <c r="B83" s="613" t="s">
        <v>1248</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810</v>
      </c>
      <c r="B84" s="610" t="s">
        <v>1249</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1628</v>
      </c>
      <c r="AN84" s="753">
        <f t="shared" si="15"/>
        <v>0</v>
      </c>
    </row>
    <row r="85" spans="1:40" s="566" customFormat="1">
      <c r="A85" s="498" t="s">
        <v>474</v>
      </c>
      <c r="B85" s="614" t="s">
        <v>1283</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475</v>
      </c>
      <c r="B86" s="613" t="s">
        <v>1235</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842</v>
      </c>
      <c r="B87" s="610" t="s">
        <v>1237</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1646</v>
      </c>
      <c r="AN87" s="753">
        <f t="shared" si="18"/>
        <v>2</v>
      </c>
    </row>
    <row r="88" spans="1:40" s="566" customFormat="1">
      <c r="A88" s="613" t="s">
        <v>476</v>
      </c>
      <c r="B88" s="613" t="s">
        <v>1238</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843</v>
      </c>
      <c r="B89" s="610" t="s">
        <v>1239</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1647</v>
      </c>
      <c r="AN89" s="753">
        <f t="shared" si="18"/>
        <v>78.27</v>
      </c>
    </row>
    <row r="90" spans="1:40" s="566" customFormat="1">
      <c r="A90" s="610" t="s">
        <v>844</v>
      </c>
      <c r="B90" s="610" t="s">
        <v>1240</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1648</v>
      </c>
      <c r="AN90" s="753">
        <f t="shared" si="18"/>
        <v>0</v>
      </c>
    </row>
    <row r="91" spans="1:40" s="566" customFormat="1">
      <c r="A91" s="610" t="s">
        <v>845</v>
      </c>
      <c r="B91" s="610" t="s">
        <v>1241</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1649</v>
      </c>
      <c r="AN91" s="753">
        <f t="shared" si="18"/>
        <v>27.91</v>
      </c>
    </row>
    <row r="92" spans="1:40" s="566" customFormat="1">
      <c r="A92" s="610" t="s">
        <v>846</v>
      </c>
      <c r="B92" s="610" t="s">
        <v>1242</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1650</v>
      </c>
      <c r="AN92" s="753">
        <f t="shared" si="18"/>
        <v>25.78</v>
      </c>
    </row>
    <row r="93" spans="1:40" s="566" customFormat="1">
      <c r="A93" s="610" t="s">
        <v>847</v>
      </c>
      <c r="B93" s="610" t="s">
        <v>1243</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1651</v>
      </c>
      <c r="AN93" s="753">
        <f t="shared" si="18"/>
        <v>31.219999999999992</v>
      </c>
    </row>
    <row r="94" spans="1:40" s="566" customFormat="1">
      <c r="A94" s="610" t="s">
        <v>849</v>
      </c>
      <c r="B94" s="610" t="s">
        <v>1245</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1653</v>
      </c>
      <c r="AN94" s="753">
        <f t="shared" si="18"/>
        <v>227.32000000000002</v>
      </c>
    </row>
    <row r="95" spans="1:40" s="566" customFormat="1">
      <c r="A95" s="613" t="s">
        <v>478</v>
      </c>
      <c r="B95" s="613" t="s">
        <v>1248</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851</v>
      </c>
      <c r="B96" s="610" t="s">
        <v>1249</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1655</v>
      </c>
      <c r="AN96" s="753">
        <f t="shared" si="18"/>
        <v>0</v>
      </c>
    </row>
    <row r="97" spans="1:40" s="566" customFormat="1">
      <c r="A97" s="498" t="s">
        <v>483</v>
      </c>
      <c r="B97" s="614" t="s">
        <v>1154</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484</v>
      </c>
      <c r="B98" s="613" t="s">
        <v>1235</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887</v>
      </c>
      <c r="B99" s="610" t="s">
        <v>1237</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1677</v>
      </c>
      <c r="AN99" s="753">
        <f t="shared" ref="AN99:AN122" si="21">AM99-AL99</f>
        <v>0</v>
      </c>
    </row>
    <row r="100" spans="1:40" s="566" customFormat="1">
      <c r="A100" s="613" t="s">
        <v>485</v>
      </c>
      <c r="B100" s="613" t="s">
        <v>1238</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888</v>
      </c>
      <c r="B101" s="610" t="s">
        <v>1239</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1678</v>
      </c>
      <c r="AN101" s="753">
        <f t="shared" si="21"/>
        <v>0</v>
      </c>
    </row>
    <row r="102" spans="1:40" s="566" customFormat="1">
      <c r="A102" s="610" t="s">
        <v>889</v>
      </c>
      <c r="B102" s="610" t="s">
        <v>1240</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1676</v>
      </c>
      <c r="AN102" s="753">
        <f t="shared" si="21"/>
        <v>28.68</v>
      </c>
    </row>
    <row r="103" spans="1:40" s="566" customFormat="1">
      <c r="A103" s="610" t="s">
        <v>890</v>
      </c>
      <c r="B103" s="610" t="s">
        <v>1241</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1679</v>
      </c>
      <c r="AN103" s="753">
        <f t="shared" si="21"/>
        <v>11.489999999999998</v>
      </c>
    </row>
    <row r="104" spans="1:40" s="566" customFormat="1">
      <c r="A104" s="610" t="s">
        <v>891</v>
      </c>
      <c r="B104" s="610" t="s">
        <v>1242</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1680</v>
      </c>
      <c r="AN104" s="753">
        <f t="shared" si="21"/>
        <v>20.25</v>
      </c>
    </row>
    <row r="105" spans="1:40" s="566" customFormat="1">
      <c r="A105" s="610" t="s">
        <v>893</v>
      </c>
      <c r="B105" s="610" t="s">
        <v>1244</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1682</v>
      </c>
      <c r="AN105" s="753">
        <f t="shared" si="21"/>
        <v>38.380000000000003</v>
      </c>
    </row>
    <row r="106" spans="1:40" s="566" customFormat="1">
      <c r="A106" s="610" t="s">
        <v>894</v>
      </c>
      <c r="B106" s="610" t="s">
        <v>1245</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1683</v>
      </c>
      <c r="AN106" s="753">
        <f t="shared" si="21"/>
        <v>96.279999999999987</v>
      </c>
    </row>
    <row r="107" spans="1:40" s="566" customFormat="1">
      <c r="A107" s="613" t="s">
        <v>486</v>
      </c>
      <c r="B107" s="613" t="s">
        <v>1246</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895</v>
      </c>
      <c r="B108" s="610" t="s">
        <v>1247</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1684</v>
      </c>
      <c r="AN108" s="753">
        <f t="shared" si="21"/>
        <v>28.080000000000002</v>
      </c>
    </row>
    <row r="109" spans="1:40" s="566" customFormat="1">
      <c r="A109" s="613" t="s">
        <v>896</v>
      </c>
      <c r="B109" s="613" t="s">
        <v>1248</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897</v>
      </c>
      <c r="B110" s="610" t="s">
        <v>1249</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1685</v>
      </c>
      <c r="AN110" s="753">
        <f t="shared" si="21"/>
        <v>0</v>
      </c>
    </row>
    <row r="111" spans="1:40" s="566" customFormat="1">
      <c r="A111" s="498" t="s">
        <v>517</v>
      </c>
      <c r="B111" s="614" t="s">
        <v>1296</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518</v>
      </c>
      <c r="B112" s="613" t="s">
        <v>1235</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519</v>
      </c>
      <c r="B113" s="610" t="s">
        <v>1236</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1702</v>
      </c>
      <c r="AN113" s="753">
        <f t="shared" si="21"/>
        <v>54.839999999999996</v>
      </c>
    </row>
    <row r="114" spans="1:40" s="566" customFormat="1">
      <c r="A114" s="610" t="s">
        <v>520</v>
      </c>
      <c r="B114" s="610" t="s">
        <v>1237</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1703</v>
      </c>
      <c r="AN114" s="753">
        <f t="shared" si="21"/>
        <v>0.66000000000000014</v>
      </c>
    </row>
    <row r="115" spans="1:40" s="566" customFormat="1">
      <c r="A115" s="613" t="s">
        <v>521</v>
      </c>
      <c r="B115" s="613" t="s">
        <v>1238</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522</v>
      </c>
      <c r="B116" s="610" t="s">
        <v>1239</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1704</v>
      </c>
      <c r="AN116" s="753">
        <f t="shared" si="21"/>
        <v>8.1500000000000057</v>
      </c>
    </row>
    <row r="117" spans="1:40" s="566" customFormat="1">
      <c r="A117" s="610" t="s">
        <v>935</v>
      </c>
      <c r="B117" s="610" t="s">
        <v>1241</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1706</v>
      </c>
      <c r="AN117" s="753">
        <f t="shared" si="21"/>
        <v>8.48</v>
      </c>
    </row>
    <row r="118" spans="1:40" s="566" customFormat="1">
      <c r="A118" s="610" t="s">
        <v>936</v>
      </c>
      <c r="B118" s="610" t="s">
        <v>1242</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1707</v>
      </c>
      <c r="AN118" s="753">
        <f t="shared" si="21"/>
        <v>15.629999999999999</v>
      </c>
    </row>
    <row r="119" spans="1:40" s="566" customFormat="1">
      <c r="A119" s="610" t="s">
        <v>938</v>
      </c>
      <c r="B119" s="610" t="s">
        <v>1244</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1709</v>
      </c>
      <c r="AN119" s="753">
        <f t="shared" si="21"/>
        <v>11.459999999999997</v>
      </c>
    </row>
    <row r="120" spans="1:40" s="566" customFormat="1">
      <c r="A120" s="610" t="s">
        <v>939</v>
      </c>
      <c r="B120" s="610" t="s">
        <v>1245</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1710</v>
      </c>
      <c r="AN120" s="753">
        <f t="shared" si="21"/>
        <v>123.28</v>
      </c>
    </row>
    <row r="121" spans="1:40" s="566" customFormat="1">
      <c r="A121" s="613" t="s">
        <v>523</v>
      </c>
      <c r="B121" s="613" t="s">
        <v>1246</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524</v>
      </c>
      <c r="B122" s="610" t="s">
        <v>1247</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1711</v>
      </c>
      <c r="AN122" s="753">
        <f t="shared" si="21"/>
        <v>7.8300000000000018</v>
      </c>
    </row>
    <row r="123" spans="1:40" s="824" customFormat="1">
      <c r="A123" s="498" t="s">
        <v>525</v>
      </c>
      <c r="B123" s="614" t="s">
        <v>1297</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526</v>
      </c>
      <c r="B124" s="613" t="s">
        <v>1235</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527</v>
      </c>
      <c r="B125" s="610" t="s">
        <v>1298</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1727</v>
      </c>
      <c r="AN125" s="753">
        <f t="shared" si="24"/>
        <v>197.22</v>
      </c>
    </row>
    <row r="126" spans="1:40" s="566" customFormat="1">
      <c r="A126" s="613" t="s">
        <v>976</v>
      </c>
      <c r="B126" s="613" t="s">
        <v>1238</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977</v>
      </c>
      <c r="B127" s="610" t="s">
        <v>1299</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1728</v>
      </c>
      <c r="AN127" s="753">
        <f t="shared" si="24"/>
        <v>117.85</v>
      </c>
    </row>
    <row r="128" spans="1:40" s="566" customFormat="1" ht="13.5" thickBot="1">
      <c r="A128" s="610" t="s">
        <v>978</v>
      </c>
      <c r="B128" s="610" t="s">
        <v>1300</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1729</v>
      </c>
      <c r="AN128" s="753">
        <f t="shared" si="24"/>
        <v>28.25</v>
      </c>
    </row>
    <row r="129" spans="1:40" s="939" customFormat="1">
      <c r="A129" s="612" t="s">
        <v>487</v>
      </c>
      <c r="B129" s="612" t="s">
        <v>1326</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492</v>
      </c>
      <c r="B130" s="614" t="s">
        <v>1339</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1030</v>
      </c>
      <c r="B131" s="613" t="s">
        <v>1349</v>
      </c>
      <c r="C131" s="1083" t="s">
        <v>1450</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1616</v>
      </c>
      <c r="AN131" s="753">
        <f t="shared" si="27"/>
        <v>0</v>
      </c>
    </row>
    <row r="132" spans="1:40" s="566" customFormat="1">
      <c r="A132" s="498" t="s">
        <v>496</v>
      </c>
      <c r="B132" s="614" t="s">
        <v>1350</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497</v>
      </c>
      <c r="B133" s="613" t="s">
        <v>1351</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1745</v>
      </c>
      <c r="AN133" s="753">
        <f t="shared" si="27"/>
        <v>8.0399999999999991</v>
      </c>
    </row>
    <row r="134" spans="1:40" s="566" customFormat="1">
      <c r="A134" s="613" t="s">
        <v>498</v>
      </c>
      <c r="B134" s="613" t="s">
        <v>1352</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1745</v>
      </c>
      <c r="AN134" s="753">
        <f t="shared" si="27"/>
        <v>8.0399999999999991</v>
      </c>
    </row>
    <row r="135" spans="1:40" s="566" customFormat="1">
      <c r="A135" s="498" t="s">
        <v>1038</v>
      </c>
      <c r="B135" s="614" t="s">
        <v>1369</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1041</v>
      </c>
      <c r="B136" s="613" t="s">
        <v>1372</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1753</v>
      </c>
      <c r="AN136" s="753">
        <f t="shared" si="27"/>
        <v>30.660000000000004</v>
      </c>
    </row>
    <row r="137" spans="1:40" s="566" customFormat="1">
      <c r="A137" s="613" t="s">
        <v>1042</v>
      </c>
      <c r="B137" s="613" t="s">
        <v>1373</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1754</v>
      </c>
      <c r="AN137" s="753">
        <f t="shared" si="27"/>
        <v>0.94000000000000006</v>
      </c>
    </row>
    <row r="138" spans="1:40" s="566" customFormat="1" ht="13.5" thickBot="1">
      <c r="A138" s="613" t="s">
        <v>1043</v>
      </c>
      <c r="B138" s="613" t="s">
        <v>1374</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1755</v>
      </c>
      <c r="AN138" s="753">
        <f t="shared" ref="AN138" si="30">AM138-AL138</f>
        <v>96.580000000000013</v>
      </c>
    </row>
    <row r="139" spans="1:40" ht="13.5"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1800</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1922</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2.75"/>
  <sheetData>
    <row r="21" spans="6:7">
      <c r="F21" s="982" t="s">
        <v>2082</v>
      </c>
      <c r="G21" s="846" t="s">
        <v>1996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2578125" defaultRowHeight="12.75"/>
  <cols>
    <col min="1" max="1" width="12.42578125" style="624" customWidth="1"/>
    <col min="2" max="2" width="99.42578125" style="622" customWidth="1"/>
    <col min="3" max="3" width="5" style="565" customWidth="1"/>
    <col min="4" max="4" width="7" style="563" customWidth="1"/>
    <col min="5" max="5" width="9.425781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703125" style="564" customWidth="1"/>
    <col min="24" max="24" width="9.425781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571" t="s">
        <v>283</v>
      </c>
      <c r="B1" s="2571"/>
      <c r="C1" s="2571"/>
      <c r="D1" s="2571"/>
      <c r="E1" s="2571"/>
      <c r="F1" s="2571"/>
      <c r="G1" s="2571"/>
      <c r="H1" s="2571"/>
      <c r="I1" s="2571"/>
      <c r="J1" s="2571"/>
      <c r="K1" s="2571"/>
    </row>
    <row r="2" spans="1:39">
      <c r="A2" s="2572" t="s">
        <v>1801</v>
      </c>
      <c r="B2" s="2572"/>
      <c r="C2" s="2572"/>
      <c r="D2" s="2572"/>
      <c r="E2" s="2572"/>
      <c r="F2" s="2572"/>
      <c r="G2" s="2572"/>
      <c r="H2" s="2572"/>
      <c r="I2" s="2572"/>
      <c r="J2" s="2572"/>
      <c r="K2" s="2572"/>
    </row>
    <row r="3" spans="1:39">
      <c r="A3" s="621"/>
    </row>
    <row r="4" spans="1:39">
      <c r="A4" s="623"/>
      <c r="B4" s="2573" t="s">
        <v>1799</v>
      </c>
      <c r="C4" s="2573"/>
      <c r="D4" s="2573"/>
      <c r="E4" s="2573"/>
      <c r="F4" s="2573"/>
      <c r="G4" s="2573"/>
      <c r="H4" s="2573"/>
      <c r="I4" s="2573"/>
      <c r="J4" s="2573"/>
      <c r="K4" s="2573"/>
    </row>
    <row r="5" spans="1:39" ht="12.75" customHeight="1">
      <c r="A5" s="623"/>
      <c r="B5" s="2574" t="e">
        <f>#REF!</f>
        <v>#REF!</v>
      </c>
      <c r="C5" s="2575"/>
      <c r="D5" s="2575"/>
      <c r="E5" s="2575"/>
      <c r="F5" s="2575"/>
      <c r="G5" s="2575"/>
      <c r="H5" s="2575"/>
      <c r="I5" s="2575"/>
      <c r="J5" s="2575"/>
      <c r="K5" s="2575"/>
    </row>
    <row r="6" spans="1:39" ht="13.5" customHeight="1">
      <c r="B6" s="625"/>
      <c r="C6" s="567"/>
    </row>
    <row r="7" spans="1:39" ht="13.5" customHeight="1">
      <c r="B7" s="625"/>
      <c r="C7" s="567"/>
    </row>
    <row r="8" spans="1:39" ht="13.5" customHeight="1" thickBot="1">
      <c r="B8" s="625"/>
      <c r="C8" s="567"/>
      <c r="D8" s="3166"/>
      <c r="E8" s="3166"/>
      <c r="F8" s="3166"/>
      <c r="G8" s="3166"/>
      <c r="H8" s="3166"/>
      <c r="I8" s="3166"/>
      <c r="J8" s="3166"/>
      <c r="K8" s="3166"/>
      <c r="L8" s="3166"/>
      <c r="M8" s="3166"/>
      <c r="N8" s="3166"/>
      <c r="O8" s="3166"/>
      <c r="P8" s="3166"/>
      <c r="Q8" s="3166"/>
      <c r="R8" s="3166"/>
      <c r="S8" s="3166"/>
      <c r="T8" s="3166"/>
      <c r="U8" s="3166"/>
      <c r="V8" s="3166"/>
      <c r="W8" s="3166"/>
      <c r="X8" s="3166"/>
      <c r="Y8" s="3166"/>
      <c r="Z8" s="3166"/>
      <c r="AA8" s="3166"/>
      <c r="AB8" s="3166"/>
      <c r="AC8" s="3166"/>
      <c r="AD8" s="3166"/>
      <c r="AE8" s="3166"/>
      <c r="AF8" s="3166"/>
      <c r="AG8" s="3166"/>
      <c r="AH8" s="3166"/>
      <c r="AI8" s="3166"/>
    </row>
    <row r="9" spans="1:39" ht="13.5" thickBot="1">
      <c r="A9" s="2576" t="s">
        <v>285</v>
      </c>
      <c r="B9" s="2576"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358</v>
      </c>
      <c r="AJ9" s="756" t="s">
        <v>26</v>
      </c>
      <c r="AK9" s="755" t="s">
        <v>1821</v>
      </c>
      <c r="AL9" s="755" t="s">
        <v>1820</v>
      </c>
      <c r="AM9" s="572" t="s">
        <v>25</v>
      </c>
    </row>
    <row r="10" spans="1:39" ht="13.5" thickBot="1">
      <c r="A10" s="2577"/>
      <c r="B10" s="2577"/>
      <c r="C10" s="573" t="s">
        <v>286</v>
      </c>
      <c r="D10" s="574" t="s">
        <v>304</v>
      </c>
      <c r="E10" s="574" t="s">
        <v>304</v>
      </c>
      <c r="F10" s="574" t="s">
        <v>304</v>
      </c>
      <c r="G10" s="831" t="s">
        <v>304</v>
      </c>
      <c r="H10" s="574" t="s">
        <v>304</v>
      </c>
      <c r="I10" s="574" t="s">
        <v>304</v>
      </c>
      <c r="J10" s="574" t="s">
        <v>304</v>
      </c>
      <c r="K10" s="574" t="s">
        <v>304</v>
      </c>
      <c r="L10" s="574" t="s">
        <v>304</v>
      </c>
      <c r="M10" s="574" t="s">
        <v>304</v>
      </c>
      <c r="N10" s="831" t="s">
        <v>304</v>
      </c>
      <c r="O10" s="574" t="s">
        <v>304</v>
      </c>
      <c r="P10" s="574" t="s">
        <v>304</v>
      </c>
      <c r="Q10" s="574" t="s">
        <v>304</v>
      </c>
      <c r="R10" s="574" t="s">
        <v>304</v>
      </c>
      <c r="S10" s="574" t="s">
        <v>304</v>
      </c>
      <c r="T10" s="574" t="s">
        <v>304</v>
      </c>
      <c r="U10" s="831" t="s">
        <v>304</v>
      </c>
      <c r="V10" s="574" t="s">
        <v>304</v>
      </c>
      <c r="W10" s="574" t="s">
        <v>304</v>
      </c>
      <c r="X10" s="574" t="s">
        <v>304</v>
      </c>
      <c r="Y10" s="574" t="s">
        <v>304</v>
      </c>
      <c r="Z10" s="574" t="s">
        <v>304</v>
      </c>
      <c r="AA10" s="574" t="s">
        <v>304</v>
      </c>
      <c r="AB10" s="831" t="s">
        <v>304</v>
      </c>
      <c r="AC10" s="574" t="s">
        <v>304</v>
      </c>
      <c r="AD10" s="574" t="s">
        <v>304</v>
      </c>
      <c r="AE10" s="574" t="s">
        <v>304</v>
      </c>
      <c r="AF10" s="858" t="s">
        <v>304</v>
      </c>
      <c r="AG10" s="574" t="s">
        <v>304</v>
      </c>
      <c r="AH10" s="574" t="s">
        <v>304</v>
      </c>
      <c r="AI10" s="576" t="s">
        <v>287</v>
      </c>
      <c r="AJ10" s="752" t="s">
        <v>287</v>
      </c>
      <c r="AK10" s="755"/>
      <c r="AL10" s="755"/>
      <c r="AM10" s="572"/>
    </row>
    <row r="11" spans="1:39" s="585" customFormat="1">
      <c r="A11" s="809" t="s">
        <v>33</v>
      </c>
      <c r="B11" s="810" t="s">
        <v>1131</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1132</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c r="A13" s="814" t="s">
        <v>536</v>
      </c>
      <c r="B13" s="815" t="s">
        <v>1133</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1454</v>
      </c>
      <c r="AM13" s="753">
        <f>AL13-AK13</f>
        <v>0.30000000000000004</v>
      </c>
    </row>
    <row r="14" spans="1:39" s="566" customFormat="1">
      <c r="A14" s="811" t="s">
        <v>544</v>
      </c>
      <c r="B14" s="813" t="s">
        <v>1141</v>
      </c>
      <c r="C14" s="591"/>
      <c r="D14" s="586"/>
      <c r="E14" s="587"/>
      <c r="F14" s="587"/>
      <c r="G14" s="820"/>
      <c r="H14" s="587"/>
      <c r="I14" s="588"/>
      <c r="J14" s="588"/>
      <c r="K14" s="588"/>
      <c r="L14" s="581"/>
      <c r="M14" s="581"/>
      <c r="N14" s="851"/>
      <c r="O14" s="581"/>
      <c r="P14" s="581" t="s">
        <v>1948</v>
      </c>
      <c r="Q14" s="581" t="s">
        <v>1948</v>
      </c>
      <c r="R14" s="581" t="s">
        <v>1948</v>
      </c>
      <c r="S14" s="581"/>
      <c r="T14" s="581"/>
      <c r="U14" s="851"/>
      <c r="V14" s="851" t="s">
        <v>1948</v>
      </c>
      <c r="W14" s="851" t="s">
        <v>1948</v>
      </c>
      <c r="X14" s="851" t="s">
        <v>1948</v>
      </c>
      <c r="Y14" s="851"/>
      <c r="Z14" s="851" t="s">
        <v>1948</v>
      </c>
      <c r="AA14" s="851" t="s">
        <v>1948</v>
      </c>
      <c r="AB14" s="851"/>
      <c r="AC14" s="851" t="s">
        <v>1948</v>
      </c>
      <c r="AD14" s="581"/>
      <c r="AE14" s="851" t="s">
        <v>1948</v>
      </c>
      <c r="AF14" s="859"/>
      <c r="AG14" s="581"/>
      <c r="AH14" s="581"/>
      <c r="AI14" s="748">
        <f t="shared" si="1"/>
        <v>0</v>
      </c>
      <c r="AJ14" s="588">
        <v>0</v>
      </c>
      <c r="AK14" s="587">
        <f t="shared" ref="AK14:AK23" si="2">AI14+AJ14</f>
        <v>0</v>
      </c>
      <c r="AL14" s="756"/>
      <c r="AM14" s="753">
        <f t="shared" ref="AM14:AM23" si="3">AL14-AK14</f>
        <v>0</v>
      </c>
    </row>
    <row r="15" spans="1:39" s="585" customFormat="1">
      <c r="A15" s="814" t="s">
        <v>545</v>
      </c>
      <c r="B15" s="743" t="s">
        <v>1142</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1454</v>
      </c>
      <c r="AM15" s="753">
        <f t="shared" si="3"/>
        <v>0.88</v>
      </c>
    </row>
    <row r="16" spans="1:39" s="566" customFormat="1">
      <c r="A16" s="814" t="s">
        <v>546</v>
      </c>
      <c r="B16" s="743" t="s">
        <v>1143</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1454</v>
      </c>
      <c r="AM16" s="753">
        <f t="shared" si="3"/>
        <v>0.9</v>
      </c>
    </row>
    <row r="17" spans="1:39" s="566" customFormat="1">
      <c r="A17" s="811" t="s">
        <v>547</v>
      </c>
      <c r="B17" s="813" t="s">
        <v>1144</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c r="A18" s="814" t="s">
        <v>549</v>
      </c>
      <c r="B18" s="743" t="s">
        <v>1945</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1455</v>
      </c>
      <c r="AM18" s="753">
        <f>AL18-AK18</f>
        <v>349.78</v>
      </c>
    </row>
    <row r="19" spans="1:39" s="566" customFormat="1">
      <c r="A19" s="811" t="s">
        <v>550</v>
      </c>
      <c r="B19" s="813" t="s">
        <v>1146</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c r="A20" s="814" t="s">
        <v>552</v>
      </c>
      <c r="B20" s="743" t="s">
        <v>1148</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1458</v>
      </c>
      <c r="AM20" s="753">
        <f t="shared" si="3"/>
        <v>15</v>
      </c>
    </row>
    <row r="21" spans="1:39" s="566" customFormat="1">
      <c r="A21" s="814" t="s">
        <v>553</v>
      </c>
      <c r="B21" s="743" t="s">
        <v>1149</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1454</v>
      </c>
      <c r="AM21" s="753">
        <f t="shared" si="3"/>
        <v>0.5</v>
      </c>
    </row>
    <row r="22" spans="1:39" s="824" customFormat="1">
      <c r="A22" s="814" t="s">
        <v>554</v>
      </c>
      <c r="B22" s="743" t="s">
        <v>1150</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1454</v>
      </c>
      <c r="AM22" s="823">
        <f t="shared" si="3"/>
        <v>0.5</v>
      </c>
    </row>
    <row r="23" spans="1:39" s="566" customFormat="1">
      <c r="A23" s="811" t="s">
        <v>42</v>
      </c>
      <c r="B23" s="813" t="s">
        <v>1153</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c r="A24" s="811" t="s">
        <v>44</v>
      </c>
      <c r="B24" s="812" t="s">
        <v>1201</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c r="A25" s="610" t="s">
        <v>55</v>
      </c>
      <c r="B25" s="812" t="s">
        <v>1161</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c r="A26" s="814" t="s">
        <v>610</v>
      </c>
      <c r="B26" s="785" t="s">
        <v>1202</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1498</v>
      </c>
      <c r="AM26" s="753">
        <f t="shared" si="6"/>
        <v>0</v>
      </c>
    </row>
    <row r="27" spans="1:39" s="566" customFormat="1">
      <c r="A27" s="814" t="s">
        <v>612</v>
      </c>
      <c r="B27" s="785" t="s">
        <v>1204</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1500</v>
      </c>
      <c r="AM27" s="753">
        <f t="shared" si="6"/>
        <v>2.68</v>
      </c>
    </row>
    <row r="28" spans="1:39" s="566" customFormat="1">
      <c r="A28" s="811" t="s">
        <v>615</v>
      </c>
      <c r="B28" s="812" t="s">
        <v>1168</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c r="A29" s="811" t="s">
        <v>616</v>
      </c>
      <c r="B29" s="812" t="s">
        <v>1169</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c r="A30" s="814" t="s">
        <v>617</v>
      </c>
      <c r="B30" s="785" t="s">
        <v>1205</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1502</v>
      </c>
      <c r="AM30" s="753">
        <f t="shared" si="6"/>
        <v>0</v>
      </c>
    </row>
    <row r="31" spans="1:39" s="566" customFormat="1">
      <c r="A31" s="814" t="s">
        <v>618</v>
      </c>
      <c r="B31" s="785" t="s">
        <v>1171</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1503</v>
      </c>
      <c r="AM31" s="753">
        <f t="shared" si="6"/>
        <v>0</v>
      </c>
    </row>
    <row r="32" spans="1:39" s="566" customFormat="1">
      <c r="A32" s="811" t="s">
        <v>619</v>
      </c>
      <c r="B32" s="812" t="s">
        <v>1172</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c r="A33" s="814" t="s">
        <v>622</v>
      </c>
      <c r="B33" s="785" t="s">
        <v>1175</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1506</v>
      </c>
      <c r="AM33" s="753">
        <f t="shared" si="6"/>
        <v>0</v>
      </c>
    </row>
    <row r="34" spans="1:39" s="566" customFormat="1">
      <c r="A34" s="811" t="s">
        <v>623</v>
      </c>
      <c r="B34" s="812" t="s">
        <v>1176</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c r="A35" s="814" t="s">
        <v>626</v>
      </c>
      <c r="B35" s="785" t="s">
        <v>1179</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1509</v>
      </c>
      <c r="AM35" s="753">
        <f t="shared" si="6"/>
        <v>0</v>
      </c>
    </row>
    <row r="36" spans="1:39" s="566" customFormat="1">
      <c r="A36" s="811" t="s">
        <v>52</v>
      </c>
      <c r="B36" s="812" t="s">
        <v>1208</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c r="A37" s="811" t="s">
        <v>57</v>
      </c>
      <c r="B37" s="812" t="s">
        <v>1161</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655</v>
      </c>
      <c r="B38" s="785" t="s">
        <v>1202</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1529</v>
      </c>
      <c r="AM38" s="753">
        <f t="shared" si="6"/>
        <v>0</v>
      </c>
    </row>
    <row r="39" spans="1:39" s="566" customFormat="1">
      <c r="A39" s="817" t="s">
        <v>660</v>
      </c>
      <c r="B39" s="818" t="s">
        <v>1168</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c r="A40" s="817" t="s">
        <v>661</v>
      </c>
      <c r="B40" s="818" t="s">
        <v>1169</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c r="A41" s="816" t="s">
        <v>662</v>
      </c>
      <c r="B41" s="786" t="s">
        <v>1205</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1533</v>
      </c>
      <c r="AM41" s="753">
        <f t="shared" si="9"/>
        <v>0</v>
      </c>
    </row>
    <row r="42" spans="1:39" s="566" customFormat="1">
      <c r="A42" s="816" t="s">
        <v>663</v>
      </c>
      <c r="B42" s="786" t="s">
        <v>1171</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1534</v>
      </c>
      <c r="AM42" s="753">
        <f t="shared" si="9"/>
        <v>0</v>
      </c>
    </row>
    <row r="43" spans="1:39" s="566" customFormat="1">
      <c r="A43" s="817" t="s">
        <v>664</v>
      </c>
      <c r="B43" s="818" t="s">
        <v>1172</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c r="A44" s="816" t="s">
        <v>667</v>
      </c>
      <c r="B44" s="786" t="s">
        <v>1175</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1537</v>
      </c>
      <c r="AM44" s="753">
        <f t="shared" si="9"/>
        <v>0</v>
      </c>
    </row>
    <row r="45" spans="1:39" s="566" customFormat="1">
      <c r="A45" s="817" t="s">
        <v>668</v>
      </c>
      <c r="B45" s="818" t="s">
        <v>1176</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c r="A46" s="816" t="s">
        <v>671</v>
      </c>
      <c r="B46" s="786" t="s">
        <v>1179</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1540</v>
      </c>
      <c r="AM46" s="753">
        <f t="shared" si="9"/>
        <v>0</v>
      </c>
    </row>
    <row r="47" spans="1:39" s="566" customFormat="1" hidden="1">
      <c r="A47" s="626" t="s">
        <v>672</v>
      </c>
      <c r="B47" s="627" t="s">
        <v>1180</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idden="1">
      <c r="A48" s="626" t="s">
        <v>673</v>
      </c>
      <c r="B48" s="627" t="s">
        <v>1181</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1541</v>
      </c>
      <c r="AM48" s="753">
        <f t="shared" si="9"/>
        <v>3.44</v>
      </c>
    </row>
    <row r="49" spans="1:39" s="566" customFormat="1" hidden="1">
      <c r="A49" s="626" t="s">
        <v>674</v>
      </c>
      <c r="B49" s="627" t="s">
        <v>1182</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1542</v>
      </c>
      <c r="AM49" s="753">
        <f t="shared" si="9"/>
        <v>21.46</v>
      </c>
    </row>
    <row r="50" spans="1:39" s="566" customFormat="1" hidden="1">
      <c r="A50" s="626" t="s">
        <v>675</v>
      </c>
      <c r="B50" s="627" t="s">
        <v>1183</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1543</v>
      </c>
      <c r="AM50" s="753">
        <f t="shared" si="9"/>
        <v>302.89999999999998</v>
      </c>
    </row>
    <row r="51" spans="1:39" s="566" customFormat="1" hidden="1">
      <c r="A51" s="626" t="s">
        <v>676</v>
      </c>
      <c r="B51" s="627" t="s">
        <v>1184</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idden="1">
      <c r="A52" s="626" t="s">
        <v>677</v>
      </c>
      <c r="B52" s="627" t="s">
        <v>1185</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1544</v>
      </c>
      <c r="AM52" s="753">
        <f t="shared" si="9"/>
        <v>11.56</v>
      </c>
    </row>
    <row r="53" spans="1:39" s="566" customFormat="1" hidden="1">
      <c r="A53" s="626" t="s">
        <v>678</v>
      </c>
      <c r="B53" s="627" t="s">
        <v>1186</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1545</v>
      </c>
      <c r="AM53" s="753">
        <f t="shared" si="9"/>
        <v>101.84</v>
      </c>
    </row>
    <row r="54" spans="1:39" s="566" customFormat="1" hidden="1">
      <c r="A54" s="626" t="s">
        <v>679</v>
      </c>
      <c r="B54" s="627" t="s">
        <v>1187</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1546</v>
      </c>
      <c r="AM54" s="753">
        <f t="shared" si="9"/>
        <v>1333.5</v>
      </c>
    </row>
    <row r="55" spans="1:39" s="566" customFormat="1" hidden="1">
      <c r="A55" s="626" t="s">
        <v>680</v>
      </c>
      <c r="B55" s="627" t="s">
        <v>1188</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idden="1">
      <c r="A56" s="626" t="s">
        <v>681</v>
      </c>
      <c r="B56" s="627" t="s">
        <v>1189</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1547</v>
      </c>
      <c r="AM56" s="753">
        <f t="shared" si="9"/>
        <v>13.47</v>
      </c>
    </row>
    <row r="57" spans="1:39" s="566" customFormat="1" hidden="1">
      <c r="A57" s="626" t="s">
        <v>682</v>
      </c>
      <c r="B57" s="627" t="s">
        <v>1190</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1548</v>
      </c>
      <c r="AM57" s="753">
        <f t="shared" si="9"/>
        <v>153.93</v>
      </c>
    </row>
    <row r="58" spans="1:39" s="566" customFormat="1" hidden="1">
      <c r="A58" s="626" t="s">
        <v>683</v>
      </c>
      <c r="B58" s="627" t="s">
        <v>1191</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1549</v>
      </c>
      <c r="AM58" s="753">
        <f t="shared" si="9"/>
        <v>1781.46</v>
      </c>
    </row>
    <row r="59" spans="1:39" s="566" customFormat="1" hidden="1">
      <c r="A59" s="626" t="s">
        <v>684</v>
      </c>
      <c r="B59" s="627" t="s">
        <v>1192</v>
      </c>
      <c r="C59" s="634" t="s">
        <v>1449</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1550</v>
      </c>
      <c r="AM59" s="753">
        <f t="shared" si="9"/>
        <v>1146.1400000000001</v>
      </c>
    </row>
    <row r="60" spans="1:39" s="566" customFormat="1" hidden="1">
      <c r="A60" s="626" t="s">
        <v>685</v>
      </c>
      <c r="B60" s="627" t="s">
        <v>1193</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idden="1">
      <c r="A61" s="626" t="s">
        <v>686</v>
      </c>
      <c r="B61" s="627" t="s">
        <v>1194</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1551</v>
      </c>
      <c r="AM61" s="753">
        <f t="shared" si="9"/>
        <v>2.57</v>
      </c>
    </row>
    <row r="62" spans="1:39" s="566" customFormat="1" hidden="1">
      <c r="A62" s="626" t="s">
        <v>687</v>
      </c>
      <c r="B62" s="627" t="s">
        <v>1195</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1493</v>
      </c>
      <c r="AM62" s="753">
        <f t="shared" si="9"/>
        <v>34.270000000000003</v>
      </c>
    </row>
    <row r="63" spans="1:39" s="566" customFormat="1" hidden="1">
      <c r="A63" s="626" t="s">
        <v>688</v>
      </c>
      <c r="B63" s="627" t="s">
        <v>1196</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1552</v>
      </c>
      <c r="AM63" s="753">
        <f t="shared" si="9"/>
        <v>178.66</v>
      </c>
    </row>
    <row r="64" spans="1:39" s="566" customFormat="1" hidden="1">
      <c r="A64" s="626" t="s">
        <v>689</v>
      </c>
      <c r="B64" s="627" t="s">
        <v>1197</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idden="1">
      <c r="A65" s="626" t="s">
        <v>690</v>
      </c>
      <c r="B65" s="627" t="s">
        <v>1198</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1553</v>
      </c>
      <c r="AM65" s="753">
        <f t="shared" si="9"/>
        <v>377.52</v>
      </c>
    </row>
    <row r="66" spans="1:39" s="566" customFormat="1" hidden="1">
      <c r="A66" s="626" t="s">
        <v>691</v>
      </c>
      <c r="B66" s="627" t="s">
        <v>1199</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idden="1">
      <c r="A67" s="626" t="s">
        <v>692</v>
      </c>
      <c r="B67" s="627" t="s">
        <v>1200</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1554</v>
      </c>
      <c r="AM67" s="753">
        <f t="shared" si="9"/>
        <v>75.400000000000006</v>
      </c>
    </row>
    <row r="68" spans="1:39" s="566" customFormat="1" hidden="1">
      <c r="A68" s="626" t="s">
        <v>693</v>
      </c>
      <c r="B68" s="627" t="s">
        <v>225</v>
      </c>
      <c r="C68" s="634" t="s">
        <v>1449</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1492</v>
      </c>
      <c r="AM68" s="753">
        <f t="shared" si="9"/>
        <v>15</v>
      </c>
    </row>
    <row r="69" spans="1:39" s="566" customFormat="1" hidden="1">
      <c r="A69" s="626" t="s">
        <v>515</v>
      </c>
      <c r="B69" s="627" t="s">
        <v>1209</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idden="1">
      <c r="A70" s="626" t="s">
        <v>516</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idden="1">
      <c r="A71" s="626" t="s">
        <v>694</v>
      </c>
      <c r="B71" s="627" t="s">
        <v>1155</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1555</v>
      </c>
      <c r="AM71" s="753">
        <f t="shared" si="9"/>
        <v>39.86</v>
      </c>
    </row>
    <row r="72" spans="1:39" s="566" customFormat="1" hidden="1">
      <c r="A72" s="626" t="s">
        <v>695</v>
      </c>
      <c r="B72" s="627" t="s">
        <v>1156</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1556</v>
      </c>
      <c r="AM72" s="753">
        <f t="shared" si="9"/>
        <v>9.1</v>
      </c>
    </row>
    <row r="73" spans="1:39" s="566" customFormat="1" hidden="1">
      <c r="A73" s="626" t="s">
        <v>696</v>
      </c>
      <c r="B73" s="627" t="s">
        <v>1157</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1557</v>
      </c>
      <c r="AM73" s="753">
        <f t="shared" si="9"/>
        <v>15.72</v>
      </c>
    </row>
    <row r="74" spans="1:39" s="566" customFormat="1" hidden="1">
      <c r="A74" s="626" t="s">
        <v>697</v>
      </c>
      <c r="B74" s="627" t="s">
        <v>1158</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1558</v>
      </c>
      <c r="AM74" s="753">
        <f t="shared" si="9"/>
        <v>22.03</v>
      </c>
    </row>
    <row r="75" spans="1:39" s="566" customFormat="1" hidden="1">
      <c r="A75" s="626" t="s">
        <v>698</v>
      </c>
      <c r="B75" s="627" t="s">
        <v>1159</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1559</v>
      </c>
      <c r="AM75" s="753">
        <f t="shared" si="9"/>
        <v>41.56</v>
      </c>
    </row>
    <row r="76" spans="1:39" s="566" customFormat="1" hidden="1">
      <c r="A76" s="626" t="s">
        <v>699</v>
      </c>
      <c r="B76" s="627" t="s">
        <v>1160</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1559</v>
      </c>
      <c r="AM76" s="753">
        <f t="shared" si="9"/>
        <v>41.56</v>
      </c>
    </row>
    <row r="77" spans="1:39" s="566" customFormat="1" hidden="1">
      <c r="A77" s="626" t="s">
        <v>700</v>
      </c>
      <c r="B77" s="627" t="s">
        <v>1161</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idden="1">
      <c r="A78" s="626" t="s">
        <v>701</v>
      </c>
      <c r="B78" s="627" t="s">
        <v>1162</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1560</v>
      </c>
      <c r="AM78" s="753">
        <f t="shared" si="9"/>
        <v>20.28</v>
      </c>
    </row>
    <row r="79" spans="1:39" s="566" customFormat="1" hidden="1">
      <c r="A79" s="626" t="s">
        <v>702</v>
      </c>
      <c r="B79" s="627" t="s">
        <v>1202</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1561</v>
      </c>
      <c r="AM79" s="753">
        <f t="shared" si="9"/>
        <v>14.79</v>
      </c>
    </row>
    <row r="80" spans="1:39" s="566" customFormat="1" hidden="1">
      <c r="A80" s="626" t="s">
        <v>703</v>
      </c>
      <c r="B80" s="627" t="s">
        <v>1203</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1562</v>
      </c>
      <c r="AM80" s="753">
        <f t="shared" si="9"/>
        <v>3.22</v>
      </c>
    </row>
    <row r="81" spans="1:39" s="566" customFormat="1" hidden="1">
      <c r="A81" s="626" t="s">
        <v>704</v>
      </c>
      <c r="B81" s="627" t="s">
        <v>1204</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1563</v>
      </c>
      <c r="AM81" s="753">
        <f t="shared" si="9"/>
        <v>1.61</v>
      </c>
    </row>
    <row r="82" spans="1:39" s="566" customFormat="1" hidden="1">
      <c r="A82" s="626" t="s">
        <v>705</v>
      </c>
      <c r="B82" s="627" t="s">
        <v>1166</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1564</v>
      </c>
      <c r="AM82" s="753">
        <f t="shared" si="9"/>
        <v>42.4</v>
      </c>
    </row>
    <row r="83" spans="1:39" s="566" customFormat="1" hidden="1">
      <c r="A83" s="626" t="s">
        <v>706</v>
      </c>
      <c r="B83" s="627" t="s">
        <v>1167</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1558</v>
      </c>
      <c r="AM83" s="753">
        <f t="shared" si="9"/>
        <v>22.03</v>
      </c>
    </row>
    <row r="84" spans="1:39" s="566" customFormat="1" hidden="1">
      <c r="A84" s="626" t="s">
        <v>707</v>
      </c>
      <c r="B84" s="627" t="s">
        <v>1168</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idden="1">
      <c r="A85" s="626" t="s">
        <v>708</v>
      </c>
      <c r="B85" s="627" t="s">
        <v>1169</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idden="1">
      <c r="A86" s="626" t="s">
        <v>709</v>
      </c>
      <c r="B86" s="627" t="s">
        <v>1205</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1469</v>
      </c>
      <c r="AM86" s="753">
        <f t="shared" si="9"/>
        <v>4.6100000000000003</v>
      </c>
    </row>
    <row r="87" spans="1:39" s="566" customFormat="1" hidden="1">
      <c r="A87" s="626" t="s">
        <v>710</v>
      </c>
      <c r="B87" s="627" t="s">
        <v>1171</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1470</v>
      </c>
      <c r="AM87" s="753">
        <f t="shared" si="9"/>
        <v>192.7</v>
      </c>
    </row>
    <row r="88" spans="1:39" s="566" customFormat="1" hidden="1">
      <c r="A88" s="626" t="s">
        <v>711</v>
      </c>
      <c r="B88" s="627" t="s">
        <v>1172</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idden="1">
      <c r="A89" s="626" t="s">
        <v>712</v>
      </c>
      <c r="B89" s="627" t="s">
        <v>1206</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1565</v>
      </c>
      <c r="AM89" s="753">
        <f t="shared" si="9"/>
        <v>2.19</v>
      </c>
    </row>
    <row r="90" spans="1:39" s="566" customFormat="1" hidden="1">
      <c r="A90" s="626" t="s">
        <v>713</v>
      </c>
      <c r="B90" s="627" t="s">
        <v>1174</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1566</v>
      </c>
      <c r="AM90" s="753">
        <f t="shared" si="9"/>
        <v>17.489999999999998</v>
      </c>
    </row>
    <row r="91" spans="1:39" s="566" customFormat="1" hidden="1">
      <c r="A91" s="626" t="s">
        <v>714</v>
      </c>
      <c r="B91" s="627" t="s">
        <v>1175</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1567</v>
      </c>
      <c r="AM91" s="753">
        <f t="shared" si="9"/>
        <v>179.25</v>
      </c>
    </row>
    <row r="92" spans="1:39" s="566" customFormat="1" hidden="1">
      <c r="A92" s="626" t="s">
        <v>715</v>
      </c>
      <c r="B92" s="627" t="s">
        <v>1176</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idden="1">
      <c r="A93" s="626" t="s">
        <v>716</v>
      </c>
      <c r="B93" s="627" t="s">
        <v>1207</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1531</v>
      </c>
      <c r="AM93" s="753">
        <f t="shared" si="9"/>
        <v>2.1800000000000002</v>
      </c>
    </row>
    <row r="94" spans="1:39" s="566" customFormat="1" hidden="1">
      <c r="A94" s="626" t="s">
        <v>717</v>
      </c>
      <c r="B94" s="627" t="s">
        <v>1178</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1568</v>
      </c>
      <c r="AM94" s="753">
        <f t="shared" si="9"/>
        <v>34.799999999999997</v>
      </c>
    </row>
    <row r="95" spans="1:39" s="566" customFormat="1" hidden="1">
      <c r="A95" s="626" t="s">
        <v>718</v>
      </c>
      <c r="B95" s="627" t="s">
        <v>1179</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1569</v>
      </c>
      <c r="AM95" s="753">
        <f t="shared" ref="AM95:AM149" si="12">AL95-AK95</f>
        <v>314.66000000000003</v>
      </c>
    </row>
    <row r="96" spans="1:39" s="566" customFormat="1" hidden="1">
      <c r="A96" s="626" t="s">
        <v>719</v>
      </c>
      <c r="B96" s="627" t="s">
        <v>1180</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idden="1">
      <c r="A97" s="626" t="s">
        <v>720</v>
      </c>
      <c r="B97" s="627" t="s">
        <v>1181</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1477</v>
      </c>
      <c r="AM97" s="753">
        <f t="shared" si="12"/>
        <v>1.49</v>
      </c>
    </row>
    <row r="98" spans="1:39" s="566" customFormat="1" hidden="1">
      <c r="A98" s="626" t="s">
        <v>721</v>
      </c>
      <c r="B98" s="627" t="s">
        <v>1182</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1478</v>
      </c>
      <c r="AM98" s="753">
        <f t="shared" si="12"/>
        <v>19.71</v>
      </c>
    </row>
    <row r="99" spans="1:39" s="566" customFormat="1" hidden="1">
      <c r="A99" s="626" t="s">
        <v>722</v>
      </c>
      <c r="B99" s="627" t="s">
        <v>1183</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1479</v>
      </c>
      <c r="AM99" s="753">
        <f t="shared" si="12"/>
        <v>659.98</v>
      </c>
    </row>
    <row r="100" spans="1:39" s="566" customFormat="1" hidden="1">
      <c r="A100" s="626" t="s">
        <v>723</v>
      </c>
      <c r="B100" s="627" t="s">
        <v>1184</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idden="1">
      <c r="A101" s="626" t="s">
        <v>724</v>
      </c>
      <c r="B101" s="627" t="s">
        <v>1185</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1570</v>
      </c>
      <c r="AM101" s="753">
        <f t="shared" si="12"/>
        <v>5.6</v>
      </c>
    </row>
    <row r="102" spans="1:39" s="566" customFormat="1" hidden="1">
      <c r="A102" s="626" t="s">
        <v>725</v>
      </c>
      <c r="B102" s="627" t="s">
        <v>1186</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1571</v>
      </c>
      <c r="AM102" s="753">
        <f t="shared" si="12"/>
        <v>48.75</v>
      </c>
    </row>
    <row r="103" spans="1:39" s="566" customFormat="1" hidden="1">
      <c r="A103" s="626" t="s">
        <v>726</v>
      </c>
      <c r="B103" s="627" t="s">
        <v>1187</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1572</v>
      </c>
      <c r="AM103" s="753">
        <f t="shared" si="12"/>
        <v>642.09</v>
      </c>
    </row>
    <row r="104" spans="1:39" s="566" customFormat="1" hidden="1">
      <c r="A104" s="626" t="s">
        <v>727</v>
      </c>
      <c r="B104" s="627" t="s">
        <v>1188</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idden="1">
      <c r="A105" s="626" t="s">
        <v>728</v>
      </c>
      <c r="B105" s="627" t="s">
        <v>1189</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1573</v>
      </c>
      <c r="AM105" s="753">
        <f t="shared" si="12"/>
        <v>3.36</v>
      </c>
    </row>
    <row r="106" spans="1:39" s="566" customFormat="1" hidden="1">
      <c r="A106" s="626" t="s">
        <v>729</v>
      </c>
      <c r="B106" s="627" t="s">
        <v>1190</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1574</v>
      </c>
      <c r="AM106" s="753">
        <f t="shared" si="12"/>
        <v>38.35</v>
      </c>
    </row>
    <row r="107" spans="1:39" s="566" customFormat="1" hidden="1">
      <c r="A107" s="626" t="s">
        <v>730</v>
      </c>
      <c r="B107" s="627" t="s">
        <v>1191</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1575</v>
      </c>
      <c r="AM107" s="753">
        <f t="shared" si="12"/>
        <v>276.95999999999998</v>
      </c>
    </row>
    <row r="108" spans="1:39" s="566" customFormat="1" hidden="1">
      <c r="A108" s="626" t="s">
        <v>731</v>
      </c>
      <c r="B108" s="627" t="s">
        <v>1192</v>
      </c>
      <c r="C108" s="634" t="s">
        <v>1449</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1576</v>
      </c>
      <c r="AM108" s="753">
        <f t="shared" si="12"/>
        <v>319.48</v>
      </c>
    </row>
    <row r="109" spans="1:39" s="566" customFormat="1" hidden="1">
      <c r="A109" s="626" t="s">
        <v>732</v>
      </c>
      <c r="B109" s="627" t="s">
        <v>1193</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idden="1">
      <c r="A110" s="626" t="s">
        <v>733</v>
      </c>
      <c r="B110" s="627" t="s">
        <v>1194</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1577</v>
      </c>
      <c r="AM110" s="753">
        <f t="shared" si="12"/>
        <v>1.03</v>
      </c>
    </row>
    <row r="111" spans="1:39" s="566" customFormat="1" hidden="1">
      <c r="A111" s="626" t="s">
        <v>734</v>
      </c>
      <c r="B111" s="627" t="s">
        <v>1195</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1578</v>
      </c>
      <c r="AM111" s="753">
        <f t="shared" si="12"/>
        <v>13.74</v>
      </c>
    </row>
    <row r="112" spans="1:39" s="566" customFormat="1" hidden="1">
      <c r="A112" s="626" t="s">
        <v>735</v>
      </c>
      <c r="B112" s="627" t="s">
        <v>1196</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1579</v>
      </c>
      <c r="AM112" s="753">
        <f t="shared" si="12"/>
        <v>65.349999999999994</v>
      </c>
    </row>
    <row r="113" spans="1:39" s="566" customFormat="1" hidden="1">
      <c r="A113" s="626" t="s">
        <v>736</v>
      </c>
      <c r="B113" s="627" t="s">
        <v>1197</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idden="1">
      <c r="A114" s="626" t="s">
        <v>737</v>
      </c>
      <c r="B114" s="627" t="s">
        <v>1198</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1580</v>
      </c>
      <c r="AM114" s="753">
        <f t="shared" si="12"/>
        <v>110.7</v>
      </c>
    </row>
    <row r="115" spans="1:39" s="566" customFormat="1" ht="13.5" hidden="1" thickBot="1">
      <c r="A115" s="626" t="s">
        <v>747</v>
      </c>
      <c r="B115" s="627" t="s">
        <v>1168</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3.5" hidden="1" thickBot="1">
      <c r="A116" s="626" t="s">
        <v>748</v>
      </c>
      <c r="B116" s="627" t="s">
        <v>1176</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3.5" hidden="1" thickBot="1">
      <c r="A117" s="626" t="s">
        <v>749</v>
      </c>
      <c r="B117" s="627" t="s">
        <v>1207</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1585</v>
      </c>
      <c r="AM117" s="753">
        <f t="shared" si="12"/>
        <v>4.8899999999999997</v>
      </c>
    </row>
    <row r="118" spans="1:39" s="566" customFormat="1" ht="13.5" hidden="1" thickBot="1">
      <c r="A118" s="626" t="s">
        <v>750</v>
      </c>
      <c r="B118" s="627" t="s">
        <v>1178</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1586</v>
      </c>
      <c r="AM118" s="753">
        <f t="shared" si="12"/>
        <v>76.69</v>
      </c>
    </row>
    <row r="119" spans="1:39" s="566" customFormat="1" ht="13.5" hidden="1" thickBot="1">
      <c r="A119" s="626" t="s">
        <v>751</v>
      </c>
      <c r="B119" s="627" t="s">
        <v>1179</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1587</v>
      </c>
      <c r="AM119" s="753">
        <f t="shared" si="12"/>
        <v>947.8</v>
      </c>
    </row>
    <row r="120" spans="1:39" s="566" customFormat="1" ht="13.5" hidden="1" thickBot="1">
      <c r="A120" s="626" t="s">
        <v>752</v>
      </c>
      <c r="B120" s="627" t="s">
        <v>1184</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3.5" hidden="1" thickBot="1">
      <c r="A121" s="626" t="s">
        <v>753</v>
      </c>
      <c r="B121" s="627" t="s">
        <v>1185</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1588</v>
      </c>
      <c r="AM121" s="753">
        <f t="shared" si="12"/>
        <v>4.2300000000000004</v>
      </c>
    </row>
    <row r="122" spans="1:39" s="566" customFormat="1" ht="13.5" hidden="1" thickBot="1">
      <c r="A122" s="626" t="s">
        <v>754</v>
      </c>
      <c r="B122" s="627" t="s">
        <v>1186</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1589</v>
      </c>
      <c r="AM122" s="753">
        <f t="shared" si="12"/>
        <v>49.66</v>
      </c>
    </row>
    <row r="123" spans="1:39" s="566" customFormat="1" ht="13.5" hidden="1" thickBot="1">
      <c r="A123" s="626" t="s">
        <v>755</v>
      </c>
      <c r="B123" s="627" t="s">
        <v>1187</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1590</v>
      </c>
      <c r="AM123" s="753">
        <f t="shared" si="12"/>
        <v>483.02</v>
      </c>
    </row>
    <row r="124" spans="1:39" s="566" customFormat="1" ht="13.5" hidden="1" thickBot="1">
      <c r="A124" s="626" t="s">
        <v>756</v>
      </c>
      <c r="B124" s="627" t="s">
        <v>1212</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3.5" hidden="1" thickBot="1">
      <c r="A125" s="626" t="s">
        <v>757</v>
      </c>
      <c r="B125" s="627" t="s">
        <v>1204</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1591</v>
      </c>
      <c r="AM125" s="753">
        <f t="shared" si="12"/>
        <v>4.24</v>
      </c>
    </row>
    <row r="126" spans="1:39" s="566" customFormat="1" ht="13.5" hidden="1" thickBot="1">
      <c r="A126" s="626" t="s">
        <v>758</v>
      </c>
      <c r="B126" s="627" t="s">
        <v>1213</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1592</v>
      </c>
      <c r="AM126" s="753">
        <f t="shared" si="12"/>
        <v>56.57</v>
      </c>
    </row>
    <row r="127" spans="1:39" s="566" customFormat="1" ht="13.5" hidden="1" thickBot="1">
      <c r="A127" s="626" t="s">
        <v>759</v>
      </c>
      <c r="B127" s="627" t="s">
        <v>1214</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1593</v>
      </c>
      <c r="AM127" s="753">
        <f t="shared" si="12"/>
        <v>438.73</v>
      </c>
    </row>
    <row r="128" spans="1:39" s="566" customFormat="1" ht="13.5" hidden="1" thickBot="1">
      <c r="A128" s="626" t="s">
        <v>760</v>
      </c>
      <c r="B128" s="627" t="s">
        <v>1199</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3.5" hidden="1" thickBot="1">
      <c r="A129" s="626" t="s">
        <v>761</v>
      </c>
      <c r="B129" s="627" t="s">
        <v>1215</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1594</v>
      </c>
      <c r="AM129" s="753">
        <f t="shared" si="12"/>
        <v>36</v>
      </c>
    </row>
    <row r="130" spans="1:39" s="566" customFormat="1" ht="13.5" hidden="1" thickBot="1">
      <c r="A130" s="626" t="s">
        <v>762</v>
      </c>
      <c r="B130" s="627" t="s">
        <v>1216</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3.5" hidden="1" thickBot="1">
      <c r="A131" s="626" t="s">
        <v>763</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3.5" hidden="1" thickBot="1">
      <c r="A132" s="626" t="s">
        <v>764</v>
      </c>
      <c r="B132" s="627" t="s">
        <v>1211</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1595</v>
      </c>
      <c r="AM132" s="753">
        <f t="shared" si="12"/>
        <v>441.64</v>
      </c>
    </row>
    <row r="133" spans="1:39" s="566" customFormat="1" ht="13.5" hidden="1" thickBot="1">
      <c r="A133" s="626" t="s">
        <v>765</v>
      </c>
      <c r="B133" s="627" t="s">
        <v>1160</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1596</v>
      </c>
      <c r="AM133" s="753">
        <f t="shared" si="12"/>
        <v>574.13</v>
      </c>
    </row>
    <row r="134" spans="1:39" s="566" customFormat="1" ht="13.5" hidden="1" thickBot="1">
      <c r="A134" s="626" t="s">
        <v>766</v>
      </c>
      <c r="B134" s="627" t="s">
        <v>1217</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3.5" hidden="1" thickBot="1">
      <c r="A135" s="626" t="s">
        <v>767</v>
      </c>
      <c r="B135" s="627" t="s">
        <v>1218</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1597</v>
      </c>
      <c r="AM135" s="753">
        <f t="shared" si="12"/>
        <v>204.01</v>
      </c>
    </row>
    <row r="136" spans="1:39" s="566" customFormat="1" ht="13.5" hidden="1" thickBot="1">
      <c r="A136" s="626" t="s">
        <v>768</v>
      </c>
      <c r="B136" s="627" t="s">
        <v>1219</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1598</v>
      </c>
      <c r="AM136" s="753">
        <f t="shared" si="12"/>
        <v>550.44000000000005</v>
      </c>
    </row>
    <row r="137" spans="1:39" s="566" customFormat="1" ht="13.5" hidden="1" thickBot="1">
      <c r="A137" s="626" t="s">
        <v>769</v>
      </c>
      <c r="B137" s="627" t="s">
        <v>1220</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1599</v>
      </c>
      <c r="AM137" s="753">
        <f t="shared" si="12"/>
        <v>15448.74</v>
      </c>
    </row>
    <row r="138" spans="1:39" s="566" customFormat="1" ht="13.5" hidden="1" thickBot="1">
      <c r="A138" s="626" t="s">
        <v>770</v>
      </c>
      <c r="B138" s="627" t="s">
        <v>1199</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3.5" hidden="1" thickBot="1">
      <c r="A139" s="626" t="s">
        <v>771</v>
      </c>
      <c r="B139" s="627" t="s">
        <v>1221</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1600</v>
      </c>
      <c r="AM139" s="753">
        <f t="shared" si="12"/>
        <v>111.93</v>
      </c>
    </row>
    <row r="140" spans="1:39" s="566" customFormat="1" ht="13.5" hidden="1" thickBot="1">
      <c r="A140" s="626" t="s">
        <v>772</v>
      </c>
      <c r="B140" s="627" t="s">
        <v>225</v>
      </c>
      <c r="C140" s="634" t="s">
        <v>1449</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1601</v>
      </c>
      <c r="AM140" s="753">
        <f t="shared" si="12"/>
        <v>24</v>
      </c>
    </row>
    <row r="141" spans="1:39" s="566" customFormat="1" ht="13.5" hidden="1" thickBot="1">
      <c r="A141" s="626" t="s">
        <v>773</v>
      </c>
      <c r="B141" s="627" t="s">
        <v>1222</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3.5" hidden="1" thickBot="1">
      <c r="A142" s="626" t="s">
        <v>774</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3.5" hidden="1" thickBot="1">
      <c r="A143" s="626" t="s">
        <v>775</v>
      </c>
      <c r="B143" s="627" t="s">
        <v>1211</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1602</v>
      </c>
      <c r="AM143" s="753">
        <f t="shared" si="12"/>
        <v>95.88</v>
      </c>
    </row>
    <row r="144" spans="1:39" s="566" customFormat="1" ht="13.5" hidden="1" thickBot="1">
      <c r="A144" s="626" t="s">
        <v>776</v>
      </c>
      <c r="B144" s="627" t="s">
        <v>1160</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1603</v>
      </c>
      <c r="AM144" s="753">
        <f t="shared" si="12"/>
        <v>124.65</v>
      </c>
    </row>
    <row r="145" spans="1:39" s="566" customFormat="1" ht="13.5" hidden="1" thickBot="1">
      <c r="A145" s="626" t="s">
        <v>777</v>
      </c>
      <c r="B145" s="627" t="s">
        <v>1161</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3.5" hidden="1" thickBot="1">
      <c r="A146" s="626" t="s">
        <v>778</v>
      </c>
      <c r="B146" s="627" t="s">
        <v>1203</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1604</v>
      </c>
      <c r="AM146" s="753">
        <f t="shared" si="12"/>
        <v>81.67</v>
      </c>
    </row>
    <row r="147" spans="1:39" s="566" customFormat="1" ht="13.5" hidden="1" thickBot="1">
      <c r="A147" s="626" t="s">
        <v>779</v>
      </c>
      <c r="B147" s="627" t="s">
        <v>1223</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1605</v>
      </c>
      <c r="AM147" s="753">
        <f t="shared" si="12"/>
        <v>221.37</v>
      </c>
    </row>
    <row r="148" spans="1:39" s="566" customFormat="1" ht="13.5" hidden="1" thickBot="1">
      <c r="A148" s="626" t="s">
        <v>780</v>
      </c>
      <c r="B148" s="627" t="s">
        <v>1224</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3.5" hidden="1" thickBot="1">
      <c r="A149" s="626" t="s">
        <v>781</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3.5" hidden="1" thickBot="1">
      <c r="A150" s="626" t="s">
        <v>782</v>
      </c>
      <c r="B150" s="627" t="s">
        <v>1225</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1606</v>
      </c>
      <c r="AM150" s="753">
        <f t="shared" ref="AM150:AM213" si="15">AL150-AK150</f>
        <v>2.81</v>
      </c>
    </row>
    <row r="151" spans="1:39" s="566" customFormat="1" ht="13.5" hidden="1" thickBot="1">
      <c r="A151" s="626" t="s">
        <v>783</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1607</v>
      </c>
      <c r="AM151" s="753">
        <f t="shared" si="15"/>
        <v>60</v>
      </c>
    </row>
    <row r="152" spans="1:39" s="566" customFormat="1" ht="13.5" hidden="1" thickBot="1">
      <c r="A152" s="626" t="s">
        <v>784</v>
      </c>
      <c r="B152" s="627" t="s">
        <v>1160</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1608</v>
      </c>
      <c r="AM152" s="753">
        <f t="shared" si="15"/>
        <v>3.51</v>
      </c>
    </row>
    <row r="153" spans="1:39" s="566" customFormat="1" ht="13.5" hidden="1" thickBot="1">
      <c r="A153" s="626" t="s">
        <v>785</v>
      </c>
      <c r="B153" s="627" t="s">
        <v>1161</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3.5" hidden="1" thickBot="1">
      <c r="A154" s="626" t="s">
        <v>786</v>
      </c>
      <c r="B154" s="627" t="s">
        <v>1202</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1609</v>
      </c>
      <c r="AM154" s="753">
        <f t="shared" si="15"/>
        <v>2.16</v>
      </c>
    </row>
    <row r="155" spans="1:39" s="566" customFormat="1" ht="13.5" hidden="1" thickBot="1">
      <c r="A155" s="626" t="s">
        <v>787</v>
      </c>
      <c r="B155" s="627" t="s">
        <v>1226</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1607</v>
      </c>
      <c r="AM155" s="753">
        <f t="shared" si="15"/>
        <v>60</v>
      </c>
    </row>
    <row r="156" spans="1:39" s="566" customFormat="1" ht="13.5" hidden="1" thickBot="1">
      <c r="A156" s="626" t="s">
        <v>788</v>
      </c>
      <c r="B156" s="627" t="s">
        <v>1168</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3.5" hidden="1" thickBot="1">
      <c r="A157" s="626" t="s">
        <v>789</v>
      </c>
      <c r="B157" s="627" t="s">
        <v>1169</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3.5" hidden="1" thickBot="1">
      <c r="A158" s="626" t="s">
        <v>790</v>
      </c>
      <c r="B158" s="627" t="s">
        <v>1205</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1610</v>
      </c>
      <c r="AM158" s="753">
        <f t="shared" si="15"/>
        <v>2.52</v>
      </c>
    </row>
    <row r="159" spans="1:39" s="566" customFormat="1" ht="13.5" hidden="1" thickBot="1">
      <c r="A159" s="626" t="s">
        <v>791</v>
      </c>
      <c r="B159" s="627" t="s">
        <v>1171</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1611</v>
      </c>
      <c r="AM159" s="753">
        <f t="shared" si="15"/>
        <v>186.08</v>
      </c>
    </row>
    <row r="160" spans="1:39" s="566" customFormat="1" ht="13.5" hidden="1" thickBot="1">
      <c r="A160" s="626" t="s">
        <v>792</v>
      </c>
      <c r="B160" s="627" t="s">
        <v>1227</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3.5" hidden="1" thickBot="1">
      <c r="A161" s="626" t="s">
        <v>793</v>
      </c>
      <c r="B161" s="627" t="s">
        <v>1228</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1612</v>
      </c>
      <c r="AM161" s="753">
        <f t="shared" si="15"/>
        <v>899.99</v>
      </c>
    </row>
    <row r="162" spans="1:39" s="566" customFormat="1" ht="13.5" hidden="1" thickBot="1">
      <c r="A162" s="626" t="s">
        <v>794</v>
      </c>
      <c r="B162" s="627" t="s">
        <v>1229</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1613</v>
      </c>
      <c r="AM162" s="753">
        <f t="shared" si="15"/>
        <v>394.52</v>
      </c>
    </row>
    <row r="163" spans="1:39" s="566" customFormat="1" ht="13.5" hidden="1" thickBot="1">
      <c r="A163" s="626" t="s">
        <v>795</v>
      </c>
      <c r="B163" s="627" t="s">
        <v>1230</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1614</v>
      </c>
      <c r="AM163" s="753">
        <f t="shared" si="15"/>
        <v>271.91000000000003</v>
      </c>
    </row>
    <row r="164" spans="1:39" s="566" customFormat="1" ht="13.5" hidden="1" thickBot="1">
      <c r="A164" s="626" t="s">
        <v>796</v>
      </c>
      <c r="B164" s="627" t="s">
        <v>1231</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1615</v>
      </c>
      <c r="AM164" s="753">
        <f t="shared" si="15"/>
        <v>80.92</v>
      </c>
    </row>
    <row r="165" spans="1:39" s="566" customFormat="1" ht="13.5" hidden="1" thickBot="1">
      <c r="A165" s="626" t="s">
        <v>797</v>
      </c>
      <c r="B165" s="627" t="s">
        <v>1232</v>
      </c>
      <c r="C165" s="634" t="s">
        <v>1449</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1616</v>
      </c>
      <c r="AM165" s="753">
        <f t="shared" si="15"/>
        <v>6</v>
      </c>
    </row>
    <row r="166" spans="1:39" s="566" customFormat="1" ht="13.5" hidden="1" thickBot="1">
      <c r="A166" s="626" t="s">
        <v>798</v>
      </c>
      <c r="B166" s="627" t="s">
        <v>1199</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3.5" hidden="1" thickBot="1">
      <c r="A167" s="626" t="s">
        <v>799</v>
      </c>
      <c r="B167" s="627" t="s">
        <v>225</v>
      </c>
      <c r="C167" s="634" t="s">
        <v>1449</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1617</v>
      </c>
      <c r="AM167" s="753">
        <f t="shared" si="15"/>
        <v>3</v>
      </c>
    </row>
    <row r="168" spans="1:39" s="566" customFormat="1" ht="13.5" hidden="1" thickBot="1">
      <c r="A168" s="626" t="s">
        <v>45</v>
      </c>
      <c r="B168" s="627" t="s">
        <v>1233</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3.5" hidden="1" thickBot="1">
      <c r="A169" s="626" t="s">
        <v>47</v>
      </c>
      <c r="B169" s="627" t="s">
        <v>1234</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3.5" hidden="1" thickBot="1">
      <c r="A170" s="626" t="s">
        <v>49</v>
      </c>
      <c r="B170" s="627" t="s">
        <v>1235</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3.5" hidden="1" thickBot="1">
      <c r="A171" s="626" t="s">
        <v>800</v>
      </c>
      <c r="B171" s="627" t="s">
        <v>1236</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1618</v>
      </c>
      <c r="AM171" s="753">
        <f t="shared" si="15"/>
        <v>72.27</v>
      </c>
    </row>
    <row r="172" spans="1:39" s="566" customFormat="1" ht="13.5" hidden="1" thickBot="1">
      <c r="A172" s="626" t="s">
        <v>801</v>
      </c>
      <c r="B172" s="627" t="s">
        <v>1237</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1619</v>
      </c>
      <c r="AM172" s="753">
        <f t="shared" si="15"/>
        <v>15.22</v>
      </c>
    </row>
    <row r="173" spans="1:39" s="566" customFormat="1" ht="13.5" hidden="1" thickBot="1">
      <c r="A173" s="626" t="s">
        <v>50</v>
      </c>
      <c r="B173" s="627" t="s">
        <v>1238</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3.5" hidden="1" thickBot="1">
      <c r="A174" s="626" t="s">
        <v>802</v>
      </c>
      <c r="B174" s="627" t="s">
        <v>1239</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1620</v>
      </c>
      <c r="AM174" s="753">
        <f t="shared" si="15"/>
        <v>123.1</v>
      </c>
    </row>
    <row r="175" spans="1:39" s="566" customFormat="1" ht="13.5" hidden="1" thickBot="1">
      <c r="A175" s="626" t="s">
        <v>803</v>
      </c>
      <c r="B175" s="627" t="s">
        <v>1240</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1621</v>
      </c>
      <c r="AM175" s="753">
        <f t="shared" si="15"/>
        <v>54.38</v>
      </c>
    </row>
    <row r="176" spans="1:39" s="566" customFormat="1" ht="13.5" hidden="1" thickBot="1">
      <c r="A176" s="626" t="s">
        <v>804</v>
      </c>
      <c r="B176" s="627" t="s">
        <v>1241</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1622</v>
      </c>
      <c r="AM176" s="753">
        <f t="shared" si="15"/>
        <v>34.44</v>
      </c>
    </row>
    <row r="177" spans="1:39" s="566" customFormat="1" ht="13.5" hidden="1" thickBot="1">
      <c r="A177" s="626" t="s">
        <v>805</v>
      </c>
      <c r="B177" s="627" t="s">
        <v>1242</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1623</v>
      </c>
      <c r="AM177" s="753">
        <f t="shared" si="15"/>
        <v>30.39</v>
      </c>
    </row>
    <row r="178" spans="1:39" s="566" customFormat="1" ht="13.5" hidden="1" thickBot="1">
      <c r="A178" s="626" t="s">
        <v>806</v>
      </c>
      <c r="B178" s="627" t="s">
        <v>1243</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1624</v>
      </c>
      <c r="AM178" s="753">
        <f t="shared" si="15"/>
        <v>39.17</v>
      </c>
    </row>
    <row r="179" spans="1:39" s="566" customFormat="1" ht="13.5" hidden="1" thickBot="1">
      <c r="A179" s="626" t="s">
        <v>807</v>
      </c>
      <c r="B179" s="627" t="s">
        <v>1244</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1625</v>
      </c>
      <c r="AM179" s="753">
        <f t="shared" si="15"/>
        <v>68.38</v>
      </c>
    </row>
    <row r="180" spans="1:39" s="566" customFormat="1" ht="13.5" hidden="1" thickBot="1">
      <c r="A180" s="626" t="s">
        <v>808</v>
      </c>
      <c r="B180" s="627" t="s">
        <v>1245</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1626</v>
      </c>
      <c r="AM180" s="753">
        <f t="shared" si="15"/>
        <v>228.32</v>
      </c>
    </row>
    <row r="181" spans="1:39" s="566" customFormat="1" ht="13.5" hidden="1" thickBot="1">
      <c r="A181" s="626" t="s">
        <v>51</v>
      </c>
      <c r="B181" s="627" t="s">
        <v>1246</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3.5" hidden="1" thickBot="1">
      <c r="A182" s="626" t="s">
        <v>809</v>
      </c>
      <c r="B182" s="627" t="s">
        <v>1247</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1627</v>
      </c>
      <c r="AM182" s="753">
        <f t="shared" si="15"/>
        <v>90.62</v>
      </c>
    </row>
    <row r="183" spans="1:39" s="566" customFormat="1" ht="13.5" hidden="1" thickBot="1">
      <c r="A183" s="626" t="s">
        <v>277</v>
      </c>
      <c r="B183" s="627" t="s">
        <v>1248</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3.5" hidden="1" thickBot="1">
      <c r="A184" s="626" t="s">
        <v>810</v>
      </c>
      <c r="B184" s="627" t="s">
        <v>1249</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1628</v>
      </c>
      <c r="AM184" s="753">
        <f t="shared" si="15"/>
        <v>72.22</v>
      </c>
    </row>
    <row r="185" spans="1:39" s="566" customFormat="1" ht="13.5" hidden="1" thickBot="1">
      <c r="A185" s="626" t="s">
        <v>811</v>
      </c>
      <c r="B185" s="627" t="s">
        <v>1250</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1629</v>
      </c>
      <c r="AM185" s="753">
        <f t="shared" si="15"/>
        <v>56.44</v>
      </c>
    </row>
    <row r="186" spans="1:39" s="566" customFormat="1" ht="13.5" hidden="1" thickBot="1">
      <c r="A186" s="626" t="s">
        <v>812</v>
      </c>
      <c r="B186" s="627" t="s">
        <v>1251</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1630</v>
      </c>
      <c r="AM186" s="753">
        <f t="shared" si="15"/>
        <v>15.78</v>
      </c>
    </row>
    <row r="187" spans="1:39" s="566" customFormat="1" ht="13.5" hidden="1" thickBot="1">
      <c r="A187" s="626" t="s">
        <v>279</v>
      </c>
      <c r="B187" s="627" t="s">
        <v>1252</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3.5" hidden="1" thickBot="1">
      <c r="A188" s="626" t="s">
        <v>813</v>
      </c>
      <c r="B188" s="627" t="s">
        <v>1253</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1631</v>
      </c>
      <c r="AM188" s="753">
        <f t="shared" si="15"/>
        <v>11.52</v>
      </c>
    </row>
    <row r="189" spans="1:39" s="566" customFormat="1" ht="13.5" hidden="1" thickBot="1">
      <c r="A189" s="626" t="s">
        <v>814</v>
      </c>
      <c r="B189" s="627" t="s">
        <v>1254</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1632</v>
      </c>
      <c r="AM189" s="753">
        <f t="shared" si="15"/>
        <v>5.18</v>
      </c>
    </row>
    <row r="190" spans="1:39" s="566" customFormat="1" ht="13.5" hidden="1" thickBot="1">
      <c r="A190" s="626" t="s">
        <v>280</v>
      </c>
      <c r="B190" s="627" t="s">
        <v>1255</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3.5" hidden="1" thickBot="1">
      <c r="A191" s="626" t="s">
        <v>815</v>
      </c>
      <c r="B191" s="627" t="s">
        <v>1256</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1633</v>
      </c>
      <c r="AM191" s="753">
        <f t="shared" si="15"/>
        <v>73.5</v>
      </c>
    </row>
    <row r="192" spans="1:39" s="566" customFormat="1" ht="13.5" hidden="1" thickBot="1">
      <c r="A192" s="626" t="s">
        <v>281</v>
      </c>
      <c r="B192" s="627" t="s">
        <v>1257</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3.5" hidden="1" thickBot="1">
      <c r="A193" s="626" t="s">
        <v>816</v>
      </c>
      <c r="B193" s="627" t="s">
        <v>1258</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1634</v>
      </c>
      <c r="AM193" s="753">
        <f t="shared" si="15"/>
        <v>15.8</v>
      </c>
    </row>
    <row r="194" spans="1:39" s="566" customFormat="1" ht="13.5" hidden="1" thickBot="1">
      <c r="A194" s="626" t="s">
        <v>817</v>
      </c>
      <c r="B194" s="627" t="s">
        <v>1259</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1635</v>
      </c>
      <c r="AM194" s="753">
        <f t="shared" si="15"/>
        <v>27.62</v>
      </c>
    </row>
    <row r="195" spans="1:39" s="566" customFormat="1" ht="13.5" hidden="1" thickBot="1">
      <c r="A195" s="626" t="s">
        <v>818</v>
      </c>
      <c r="B195" s="627" t="s">
        <v>1260</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1636</v>
      </c>
      <c r="AM195" s="753">
        <f t="shared" si="15"/>
        <v>30.2</v>
      </c>
    </row>
    <row r="196" spans="1:39" s="566" customFormat="1" ht="13.5" hidden="1" thickBot="1">
      <c r="A196" s="626" t="s">
        <v>282</v>
      </c>
      <c r="B196" s="627" t="s">
        <v>1197</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3.5" hidden="1" thickBot="1">
      <c r="A197" s="626" t="s">
        <v>819</v>
      </c>
      <c r="B197" s="627" t="s">
        <v>1261</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1637</v>
      </c>
      <c r="AM197" s="753">
        <f t="shared" si="15"/>
        <v>90.78</v>
      </c>
    </row>
    <row r="198" spans="1:39" s="566" customFormat="1" ht="13.5" hidden="1" thickBot="1">
      <c r="A198" s="626" t="s">
        <v>820</v>
      </c>
      <c r="B198" s="627" t="s">
        <v>1262</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1638</v>
      </c>
      <c r="AM198" s="753">
        <f t="shared" si="15"/>
        <v>29.18</v>
      </c>
    </row>
    <row r="199" spans="1:39" s="566" customFormat="1" ht="13.5" hidden="1" thickBot="1">
      <c r="A199" s="626" t="s">
        <v>821</v>
      </c>
      <c r="B199" s="627" t="s">
        <v>1263</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3.5" hidden="1" thickBot="1">
      <c r="A200" s="626" t="s">
        <v>822</v>
      </c>
      <c r="B200" s="627" t="s">
        <v>1264</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1639</v>
      </c>
      <c r="AM200" s="753">
        <f t="shared" si="15"/>
        <v>6.3</v>
      </c>
    </row>
    <row r="201" spans="1:39" s="566" customFormat="1" ht="13.5" hidden="1" thickBot="1">
      <c r="A201" s="626" t="s">
        <v>823</v>
      </c>
      <c r="B201" s="627" t="s">
        <v>1265</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3.5" hidden="1" thickBot="1">
      <c r="A202" s="626" t="s">
        <v>824</v>
      </c>
      <c r="B202" s="627" t="s">
        <v>1266</v>
      </c>
      <c r="C202" s="634" t="s">
        <v>1450</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1640</v>
      </c>
      <c r="AM202" s="753">
        <f t="shared" si="15"/>
        <v>9</v>
      </c>
    </row>
    <row r="203" spans="1:39" s="566" customFormat="1" ht="13.5" hidden="1" thickBot="1">
      <c r="A203" s="626" t="s">
        <v>825</v>
      </c>
      <c r="B203" s="627" t="s">
        <v>1267</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1617</v>
      </c>
      <c r="AM203" s="753">
        <f t="shared" si="15"/>
        <v>3</v>
      </c>
    </row>
    <row r="204" spans="1:39" s="566" customFormat="1" ht="13.5" hidden="1" thickBot="1">
      <c r="A204" s="626" t="s">
        <v>826</v>
      </c>
      <c r="B204" s="627" t="s">
        <v>1268</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3.5" hidden="1" thickBot="1">
      <c r="A205" s="626" t="s">
        <v>827</v>
      </c>
      <c r="B205" s="627" t="s">
        <v>1269</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1641</v>
      </c>
      <c r="AM205" s="753">
        <f t="shared" si="15"/>
        <v>19.149999999999999</v>
      </c>
    </row>
    <row r="206" spans="1:39" s="566" customFormat="1" ht="13.5" hidden="1" thickBot="1">
      <c r="A206" s="626" t="s">
        <v>828</v>
      </c>
      <c r="B206" s="627" t="s">
        <v>1270</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1642</v>
      </c>
      <c r="AM206" s="753">
        <f t="shared" si="15"/>
        <v>1.5</v>
      </c>
    </row>
    <row r="207" spans="1:39" s="566" customFormat="1" ht="13.5" hidden="1" thickBot="1">
      <c r="A207" s="626" t="s">
        <v>829</v>
      </c>
      <c r="B207" s="627" t="s">
        <v>1271</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3.5" hidden="1" thickBot="1">
      <c r="A208" s="626" t="s">
        <v>830</v>
      </c>
      <c r="B208" s="627" t="s">
        <v>1272</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1627</v>
      </c>
      <c r="AM208" s="753">
        <f t="shared" si="15"/>
        <v>90.62</v>
      </c>
    </row>
    <row r="209" spans="1:39" s="566" customFormat="1" ht="13.5" hidden="1" thickBot="1">
      <c r="A209" s="626" t="s">
        <v>831</v>
      </c>
      <c r="B209" s="627" t="s">
        <v>1273</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1620</v>
      </c>
      <c r="AM209" s="753">
        <f t="shared" si="15"/>
        <v>123.1</v>
      </c>
    </row>
    <row r="210" spans="1:39" s="566" customFormat="1" ht="13.5" hidden="1" thickBot="1">
      <c r="A210" s="626" t="s">
        <v>832</v>
      </c>
      <c r="B210" s="627" t="s">
        <v>1274</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1621</v>
      </c>
      <c r="AM210" s="753">
        <f t="shared" si="15"/>
        <v>54.38</v>
      </c>
    </row>
    <row r="211" spans="1:39" s="566" customFormat="1" ht="13.5" hidden="1" thickBot="1">
      <c r="A211" s="626" t="s">
        <v>833</v>
      </c>
      <c r="B211" s="627" t="s">
        <v>1275</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1622</v>
      </c>
      <c r="AM211" s="753">
        <f t="shared" si="15"/>
        <v>34.44</v>
      </c>
    </row>
    <row r="212" spans="1:39" s="566" customFormat="1" ht="13.5" hidden="1" thickBot="1">
      <c r="A212" s="626" t="s">
        <v>834</v>
      </c>
      <c r="B212" s="627" t="s">
        <v>1276</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1623</v>
      </c>
      <c r="AM212" s="753">
        <f t="shared" si="15"/>
        <v>30.39</v>
      </c>
    </row>
    <row r="213" spans="1:39" s="566" customFormat="1" ht="13.5" hidden="1" thickBot="1">
      <c r="A213" s="626" t="s">
        <v>835</v>
      </c>
      <c r="B213" s="627" t="s">
        <v>1277</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1634</v>
      </c>
      <c r="AM213" s="753">
        <f t="shared" si="15"/>
        <v>15.8</v>
      </c>
    </row>
    <row r="214" spans="1:39" s="566" customFormat="1" ht="13.5" hidden="1" thickBot="1">
      <c r="A214" s="626" t="s">
        <v>836</v>
      </c>
      <c r="B214" s="627" t="s">
        <v>1278</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1643</v>
      </c>
      <c r="AM214" s="753">
        <f t="shared" ref="AM214:AM277" si="18">AL214-AK214</f>
        <v>12.6</v>
      </c>
    </row>
    <row r="215" spans="1:39" s="566" customFormat="1" ht="13.5" hidden="1" thickBot="1">
      <c r="A215" s="626" t="s">
        <v>837</v>
      </c>
      <c r="B215" s="627" t="s">
        <v>1279</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3.5" hidden="1" thickBot="1">
      <c r="A216" s="626" t="s">
        <v>838</v>
      </c>
      <c r="B216" s="627" t="s">
        <v>1280</v>
      </c>
      <c r="C216" s="634" t="s">
        <v>1449</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1640</v>
      </c>
      <c r="AM216" s="753">
        <f t="shared" si="18"/>
        <v>9</v>
      </c>
    </row>
    <row r="217" spans="1:39" s="566" customFormat="1" ht="13.5" hidden="1" thickBot="1">
      <c r="A217" s="626" t="s">
        <v>839</v>
      </c>
      <c r="B217" s="627" t="s">
        <v>1281</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1454</v>
      </c>
      <c r="AM217" s="753">
        <f t="shared" si="18"/>
        <v>1</v>
      </c>
    </row>
    <row r="218" spans="1:39" s="566" customFormat="1" ht="13.5" hidden="1" thickBot="1">
      <c r="A218" s="626" t="s">
        <v>840</v>
      </c>
      <c r="B218" s="627" t="s">
        <v>1282</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1644</v>
      </c>
      <c r="AM218" s="753">
        <f t="shared" si="18"/>
        <v>21.02</v>
      </c>
    </row>
    <row r="219" spans="1:39" s="566" customFormat="1" ht="13.5" hidden="1" thickBot="1">
      <c r="A219" s="626" t="s">
        <v>474</v>
      </c>
      <c r="B219" s="627" t="s">
        <v>1283</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3.5" hidden="1" thickBot="1">
      <c r="A220" s="626" t="s">
        <v>475</v>
      </c>
      <c r="B220" s="627" t="s">
        <v>1235</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3.5" hidden="1" thickBot="1">
      <c r="A221" s="626" t="s">
        <v>841</v>
      </c>
      <c r="B221" s="627" t="s">
        <v>1236</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1645</v>
      </c>
      <c r="AM221" s="753">
        <f t="shared" si="18"/>
        <v>73.59</v>
      </c>
    </row>
    <row r="222" spans="1:39" s="566" customFormat="1" ht="13.5" hidden="1" thickBot="1">
      <c r="A222" s="626" t="s">
        <v>842</v>
      </c>
      <c r="B222" s="627" t="s">
        <v>1237</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1646</v>
      </c>
      <c r="AM222" s="753">
        <f t="shared" si="18"/>
        <v>6.44</v>
      </c>
    </row>
    <row r="223" spans="1:39" s="566" customFormat="1" ht="13.5" hidden="1" thickBot="1">
      <c r="A223" s="626" t="s">
        <v>476</v>
      </c>
      <c r="B223" s="627" t="s">
        <v>1238</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3.5" hidden="1" thickBot="1">
      <c r="A224" s="626" t="s">
        <v>843</v>
      </c>
      <c r="B224" s="627" t="s">
        <v>1239</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1647</v>
      </c>
      <c r="AM224" s="753">
        <f t="shared" si="18"/>
        <v>99.99</v>
      </c>
    </row>
    <row r="225" spans="1:39" s="566" customFormat="1" ht="13.5" hidden="1" thickBot="1">
      <c r="A225" s="626" t="s">
        <v>844</v>
      </c>
      <c r="B225" s="627" t="s">
        <v>1240</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1648</v>
      </c>
      <c r="AM225" s="753">
        <f t="shared" si="18"/>
        <v>60.07</v>
      </c>
    </row>
    <row r="226" spans="1:39" s="566" customFormat="1" ht="13.5" hidden="1" thickBot="1">
      <c r="A226" s="626" t="s">
        <v>845</v>
      </c>
      <c r="B226" s="627" t="s">
        <v>1241</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1649</v>
      </c>
      <c r="AM226" s="753">
        <f t="shared" si="18"/>
        <v>33.6</v>
      </c>
    </row>
    <row r="227" spans="1:39" s="566" customFormat="1" ht="13.5" hidden="1" thickBot="1">
      <c r="A227" s="626" t="s">
        <v>846</v>
      </c>
      <c r="B227" s="627" t="s">
        <v>1242</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1650</v>
      </c>
      <c r="AM227" s="753">
        <f t="shared" si="18"/>
        <v>27.42</v>
      </c>
    </row>
    <row r="228" spans="1:39" s="566" customFormat="1" ht="13.5" hidden="1" thickBot="1">
      <c r="A228" s="626" t="s">
        <v>847</v>
      </c>
      <c r="B228" s="627" t="s">
        <v>1243</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1651</v>
      </c>
      <c r="AM228" s="753">
        <f t="shared" si="18"/>
        <v>79.459999999999994</v>
      </c>
    </row>
    <row r="229" spans="1:39" s="566" customFormat="1" ht="13.5" hidden="1" thickBot="1">
      <c r="A229" s="626" t="s">
        <v>848</v>
      </c>
      <c r="B229" s="627" t="s">
        <v>1244</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1652</v>
      </c>
      <c r="AM229" s="753">
        <f t="shared" si="18"/>
        <v>80.02</v>
      </c>
    </row>
    <row r="230" spans="1:39" s="566" customFormat="1" ht="13.5" hidden="1" thickBot="1">
      <c r="A230" s="626" t="s">
        <v>849</v>
      </c>
      <c r="B230" s="627" t="s">
        <v>1245</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1653</v>
      </c>
      <c r="AM230" s="753">
        <f t="shared" si="18"/>
        <v>245.52</v>
      </c>
    </row>
    <row r="231" spans="1:39" s="566" customFormat="1" ht="13.5" hidden="1" thickBot="1">
      <c r="A231" s="626" t="s">
        <v>477</v>
      </c>
      <c r="B231" s="627" t="s">
        <v>1246</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3.5" hidden="1" thickBot="1">
      <c r="A232" s="626" t="s">
        <v>850</v>
      </c>
      <c r="B232" s="627" t="s">
        <v>1247</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1654</v>
      </c>
      <c r="AM232" s="753">
        <f t="shared" si="18"/>
        <v>65.92</v>
      </c>
    </row>
    <row r="233" spans="1:39" s="566" customFormat="1" ht="13.5" hidden="1" thickBot="1">
      <c r="A233" s="626" t="s">
        <v>478</v>
      </c>
      <c r="B233" s="627" t="s">
        <v>1248</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3.5" hidden="1" thickBot="1">
      <c r="A234" s="626" t="s">
        <v>851</v>
      </c>
      <c r="B234" s="627" t="s">
        <v>1249</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1655</v>
      </c>
      <c r="AM234" s="753">
        <f t="shared" si="18"/>
        <v>57.88</v>
      </c>
    </row>
    <row r="235" spans="1:39" s="566" customFormat="1" ht="13.5" hidden="1" thickBot="1">
      <c r="A235" s="626" t="s">
        <v>852</v>
      </c>
      <c r="B235" s="627" t="s">
        <v>1284</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1656</v>
      </c>
      <c r="AM235" s="753">
        <f t="shared" si="18"/>
        <v>40.200000000000003</v>
      </c>
    </row>
    <row r="236" spans="1:39" s="566" customFormat="1" ht="13.5" hidden="1" thickBot="1">
      <c r="A236" s="626" t="s">
        <v>853</v>
      </c>
      <c r="B236" s="627" t="s">
        <v>1250</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1657</v>
      </c>
      <c r="AM236" s="753">
        <f t="shared" si="18"/>
        <v>5.72</v>
      </c>
    </row>
    <row r="237" spans="1:39" s="566" customFormat="1" ht="13.5" hidden="1" thickBot="1">
      <c r="A237" s="626" t="s">
        <v>854</v>
      </c>
      <c r="B237" s="627" t="s">
        <v>1251</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1658</v>
      </c>
      <c r="AM237" s="753">
        <f t="shared" si="18"/>
        <v>11.96</v>
      </c>
    </row>
    <row r="238" spans="1:39" s="566" customFormat="1" ht="13.5" hidden="1" thickBot="1">
      <c r="A238" s="626" t="s">
        <v>479</v>
      </c>
      <c r="B238" s="627" t="s">
        <v>1255</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3.5" hidden="1" thickBot="1">
      <c r="A239" s="626" t="s">
        <v>855</v>
      </c>
      <c r="B239" s="627" t="s">
        <v>1256</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1659</v>
      </c>
      <c r="AM239" s="753">
        <f t="shared" si="18"/>
        <v>55.35</v>
      </c>
    </row>
    <row r="240" spans="1:39" s="566" customFormat="1" ht="13.5" hidden="1" thickBot="1">
      <c r="A240" s="626" t="s">
        <v>480</v>
      </c>
      <c r="B240" s="627" t="s">
        <v>1257</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3.5" hidden="1" thickBot="1">
      <c r="A241" s="626" t="s">
        <v>856</v>
      </c>
      <c r="B241" s="627" t="s">
        <v>1258</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1634</v>
      </c>
      <c r="AM241" s="753">
        <f t="shared" si="18"/>
        <v>15.8</v>
      </c>
    </row>
    <row r="242" spans="1:39" s="566" customFormat="1" ht="13.5" hidden="1" thickBot="1">
      <c r="A242" s="626" t="s">
        <v>857</v>
      </c>
      <c r="B242" s="627" t="s">
        <v>1285</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1660</v>
      </c>
      <c r="AM242" s="753">
        <f t="shared" si="18"/>
        <v>29.4</v>
      </c>
    </row>
    <row r="243" spans="1:39" s="566" customFormat="1" ht="13.5" hidden="1" thickBot="1">
      <c r="A243" s="626" t="s">
        <v>858</v>
      </c>
      <c r="B243" s="627" t="s">
        <v>1260</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1661</v>
      </c>
      <c r="AM243" s="753">
        <f t="shared" si="18"/>
        <v>9.6</v>
      </c>
    </row>
    <row r="244" spans="1:39" s="566" customFormat="1" ht="13.5" hidden="1" thickBot="1">
      <c r="A244" s="626" t="s">
        <v>859</v>
      </c>
      <c r="B244" s="627" t="s">
        <v>1286</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1662</v>
      </c>
      <c r="AM244" s="753">
        <f t="shared" si="18"/>
        <v>23.08</v>
      </c>
    </row>
    <row r="245" spans="1:39" s="566" customFormat="1" ht="13.5" hidden="1" thickBot="1">
      <c r="A245" s="626" t="s">
        <v>481</v>
      </c>
      <c r="B245" s="627" t="s">
        <v>1197</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3.5" hidden="1" thickBot="1">
      <c r="A246" s="626" t="s">
        <v>860</v>
      </c>
      <c r="B246" s="627" t="s">
        <v>1261</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1663</v>
      </c>
      <c r="AM246" s="753">
        <f t="shared" si="18"/>
        <v>48.24</v>
      </c>
    </row>
    <row r="247" spans="1:39" s="566" customFormat="1" ht="13.5" hidden="1" thickBot="1">
      <c r="A247" s="626" t="s">
        <v>861</v>
      </c>
      <c r="B247" s="627" t="s">
        <v>1262</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1664</v>
      </c>
      <c r="AM247" s="753">
        <f t="shared" si="18"/>
        <v>34.880000000000003</v>
      </c>
    </row>
    <row r="248" spans="1:39" s="566" customFormat="1" ht="13.5" hidden="1" thickBot="1">
      <c r="A248" s="626" t="s">
        <v>862</v>
      </c>
      <c r="B248" s="627" t="s">
        <v>1287</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1665</v>
      </c>
      <c r="AM248" s="753">
        <f t="shared" si="18"/>
        <v>22.97</v>
      </c>
    </row>
    <row r="249" spans="1:39" s="566" customFormat="1" ht="13.5" hidden="1" thickBot="1">
      <c r="A249" s="626" t="s">
        <v>482</v>
      </c>
      <c r="B249" s="627" t="s">
        <v>1263</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3.5" hidden="1" thickBot="1">
      <c r="A250" s="626" t="s">
        <v>863</v>
      </c>
      <c r="B250" s="627" t="s">
        <v>1288</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1666</v>
      </c>
      <c r="AM250" s="753">
        <f t="shared" si="18"/>
        <v>5.88</v>
      </c>
    </row>
    <row r="251" spans="1:39" s="566" customFormat="1" ht="13.5" hidden="1" thickBot="1">
      <c r="A251" s="626" t="s">
        <v>864</v>
      </c>
      <c r="B251" s="627" t="s">
        <v>1289</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1667</v>
      </c>
      <c r="AM251" s="753">
        <f t="shared" si="18"/>
        <v>1.68</v>
      </c>
    </row>
    <row r="252" spans="1:39" s="566" customFormat="1" ht="13.5" hidden="1" thickBot="1">
      <c r="A252" s="626" t="s">
        <v>865</v>
      </c>
      <c r="B252" s="627" t="s">
        <v>1290</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3.5" hidden="1" thickBot="1">
      <c r="A253" s="626" t="s">
        <v>866</v>
      </c>
      <c r="B253" s="627" t="s">
        <v>1291</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1668</v>
      </c>
      <c r="AM253" s="753">
        <f t="shared" si="18"/>
        <v>9.24</v>
      </c>
    </row>
    <row r="254" spans="1:39" s="566" customFormat="1" ht="13.5" hidden="1" thickBot="1">
      <c r="A254" s="626" t="s">
        <v>867</v>
      </c>
      <c r="B254" s="627" t="s">
        <v>1265</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3.5" hidden="1" thickBot="1">
      <c r="A255" s="626" t="s">
        <v>868</v>
      </c>
      <c r="B255" s="627" t="s">
        <v>1266</v>
      </c>
      <c r="C255" s="634" t="s">
        <v>1450</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1669</v>
      </c>
      <c r="AM255" s="753">
        <f t="shared" si="18"/>
        <v>20</v>
      </c>
    </row>
    <row r="256" spans="1:39" s="566" customFormat="1" ht="13.5" hidden="1" thickBot="1">
      <c r="A256" s="626" t="s">
        <v>869</v>
      </c>
      <c r="B256" s="627" t="s">
        <v>1267</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1670</v>
      </c>
      <c r="AM256" s="753">
        <f t="shared" si="18"/>
        <v>4</v>
      </c>
    </row>
    <row r="257" spans="1:39" s="566" customFormat="1" ht="13.5" hidden="1" thickBot="1">
      <c r="A257" s="626" t="s">
        <v>870</v>
      </c>
      <c r="B257" s="627" t="s">
        <v>1292</v>
      </c>
      <c r="C257" s="634" t="s">
        <v>1450</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1670</v>
      </c>
      <c r="AM257" s="753">
        <f t="shared" si="18"/>
        <v>4</v>
      </c>
    </row>
    <row r="258" spans="1:39" s="566" customFormat="1" ht="13.5" hidden="1" thickBot="1">
      <c r="A258" s="626" t="s">
        <v>871</v>
      </c>
      <c r="B258" s="627" t="s">
        <v>1268</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3.5" hidden="1" thickBot="1">
      <c r="A259" s="626" t="s">
        <v>872</v>
      </c>
      <c r="B259" s="627" t="s">
        <v>1269</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1671</v>
      </c>
      <c r="AM259" s="753">
        <f t="shared" si="18"/>
        <v>18.09</v>
      </c>
    </row>
    <row r="260" spans="1:39" s="566" customFormat="1" ht="13.5" hidden="1" thickBot="1">
      <c r="A260" s="626" t="s">
        <v>873</v>
      </c>
      <c r="B260" s="627" t="s">
        <v>1270</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1672</v>
      </c>
      <c r="AM260" s="753">
        <f t="shared" si="18"/>
        <v>1.75</v>
      </c>
    </row>
    <row r="261" spans="1:39" s="566" customFormat="1" ht="13.5" hidden="1" thickBot="1">
      <c r="A261" s="626" t="s">
        <v>874</v>
      </c>
      <c r="B261" s="627" t="s">
        <v>1271</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3.5" hidden="1" thickBot="1">
      <c r="A262" s="626" t="s">
        <v>875</v>
      </c>
      <c r="B262" s="627" t="s">
        <v>1272</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1654</v>
      </c>
      <c r="AM262" s="753">
        <f t="shared" si="18"/>
        <v>65.92</v>
      </c>
    </row>
    <row r="263" spans="1:39" s="566" customFormat="1" ht="13.5" hidden="1" thickBot="1">
      <c r="A263" s="626" t="s">
        <v>876</v>
      </c>
      <c r="B263" s="627" t="s">
        <v>1273</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1647</v>
      </c>
      <c r="AM263" s="753">
        <f t="shared" si="18"/>
        <v>99.99</v>
      </c>
    </row>
    <row r="264" spans="1:39" s="566" customFormat="1" ht="13.5" hidden="1" thickBot="1">
      <c r="A264" s="626" t="s">
        <v>877</v>
      </c>
      <c r="B264" s="627" t="s">
        <v>1274</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1648</v>
      </c>
      <c r="AM264" s="753">
        <f t="shared" si="18"/>
        <v>60.07</v>
      </c>
    </row>
    <row r="265" spans="1:39" s="566" customFormat="1" ht="13.5" hidden="1" thickBot="1">
      <c r="A265" s="626" t="s">
        <v>878</v>
      </c>
      <c r="B265" s="627" t="s">
        <v>1275</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1649</v>
      </c>
      <c r="AM265" s="753">
        <f t="shared" si="18"/>
        <v>33.6</v>
      </c>
    </row>
    <row r="266" spans="1:39" s="566" customFormat="1" ht="13.5" hidden="1" thickBot="1">
      <c r="A266" s="626" t="s">
        <v>879</v>
      </c>
      <c r="B266" s="627" t="s">
        <v>1276</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1650</v>
      </c>
      <c r="AM266" s="753">
        <f t="shared" si="18"/>
        <v>27.42</v>
      </c>
    </row>
    <row r="267" spans="1:39" s="566" customFormat="1" ht="13.5" hidden="1" thickBot="1">
      <c r="A267" s="626" t="s">
        <v>880</v>
      </c>
      <c r="B267" s="627" t="s">
        <v>1277</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1634</v>
      </c>
      <c r="AM267" s="753">
        <f t="shared" si="18"/>
        <v>15.8</v>
      </c>
    </row>
    <row r="268" spans="1:39" s="566" customFormat="1" ht="13.5" hidden="1" thickBot="1">
      <c r="A268" s="626" t="s">
        <v>881</v>
      </c>
      <c r="B268" s="627" t="s">
        <v>1278</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1673</v>
      </c>
      <c r="AM268" s="753">
        <f t="shared" si="18"/>
        <v>14.7</v>
      </c>
    </row>
    <row r="269" spans="1:39" s="566" customFormat="1" ht="13.5" hidden="1" thickBot="1">
      <c r="A269" s="626" t="s">
        <v>882</v>
      </c>
      <c r="B269" s="627" t="s">
        <v>1279</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3.5" hidden="1" thickBot="1">
      <c r="A270" s="626" t="s">
        <v>883</v>
      </c>
      <c r="B270" s="627" t="s">
        <v>1280</v>
      </c>
      <c r="C270" s="634" t="s">
        <v>1449</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1674</v>
      </c>
      <c r="AM270" s="753">
        <f t="shared" si="18"/>
        <v>8</v>
      </c>
    </row>
    <row r="271" spans="1:39" s="566" customFormat="1" ht="13.5" hidden="1" thickBot="1">
      <c r="A271" s="626" t="s">
        <v>884</v>
      </c>
      <c r="B271" s="627" t="s">
        <v>1281</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1454</v>
      </c>
      <c r="AM271" s="753">
        <f t="shared" si="18"/>
        <v>1</v>
      </c>
    </row>
    <row r="272" spans="1:39" s="566" customFormat="1" ht="13.5" hidden="1" thickBot="1">
      <c r="A272" s="626" t="s">
        <v>885</v>
      </c>
      <c r="B272" s="627" t="s">
        <v>1282</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1675</v>
      </c>
      <c r="AM272" s="753">
        <f t="shared" si="18"/>
        <v>19.84</v>
      </c>
    </row>
    <row r="273" spans="1:39" s="566" customFormat="1" ht="13.5" hidden="1" thickBot="1">
      <c r="A273" s="626" t="s">
        <v>483</v>
      </c>
      <c r="B273" s="627" t="s">
        <v>1154</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3.5" hidden="1" thickBot="1">
      <c r="A274" s="626" t="s">
        <v>484</v>
      </c>
      <c r="B274" s="627" t="s">
        <v>1235</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3.5" hidden="1" thickBot="1">
      <c r="A275" s="626" t="s">
        <v>886</v>
      </c>
      <c r="B275" s="627" t="s">
        <v>1236</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1676</v>
      </c>
      <c r="AM275" s="753">
        <f t="shared" si="18"/>
        <v>45.75</v>
      </c>
    </row>
    <row r="276" spans="1:39" s="566" customFormat="1" ht="13.5" hidden="1" thickBot="1">
      <c r="A276" s="626" t="s">
        <v>887</v>
      </c>
      <c r="B276" s="627" t="s">
        <v>1237</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1677</v>
      </c>
      <c r="AM276" s="753">
        <f t="shared" si="18"/>
        <v>18.920000000000002</v>
      </c>
    </row>
    <row r="277" spans="1:39" s="566" customFormat="1" ht="13.5" hidden="1" thickBot="1">
      <c r="A277" s="626" t="s">
        <v>485</v>
      </c>
      <c r="B277" s="627" t="s">
        <v>1238</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3.5" hidden="1" thickBot="1">
      <c r="A278" s="626" t="s">
        <v>888</v>
      </c>
      <c r="B278" s="627" t="s">
        <v>1239</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1678</v>
      </c>
      <c r="AM278" s="753">
        <f t="shared" ref="AM278:AM341" si="21">AL278-AK278</f>
        <v>83.58</v>
      </c>
    </row>
    <row r="279" spans="1:39" s="566" customFormat="1" ht="13.5" hidden="1" thickBot="1">
      <c r="A279" s="626" t="s">
        <v>889</v>
      </c>
      <c r="B279" s="627" t="s">
        <v>1240</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1676</v>
      </c>
      <c r="AM279" s="753">
        <f t="shared" si="21"/>
        <v>45.75</v>
      </c>
    </row>
    <row r="280" spans="1:39" s="566" customFormat="1" ht="13.5" hidden="1" thickBot="1">
      <c r="A280" s="626" t="s">
        <v>890</v>
      </c>
      <c r="B280" s="627" t="s">
        <v>1241</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1679</v>
      </c>
      <c r="AM280" s="753">
        <f t="shared" si="21"/>
        <v>12.95</v>
      </c>
    </row>
    <row r="281" spans="1:39" s="566" customFormat="1" ht="13.5" hidden="1" thickBot="1">
      <c r="A281" s="626" t="s">
        <v>891</v>
      </c>
      <c r="B281" s="627" t="s">
        <v>1242</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1680</v>
      </c>
      <c r="AM281" s="753">
        <f t="shared" si="21"/>
        <v>24.87</v>
      </c>
    </row>
    <row r="282" spans="1:39" s="566" customFormat="1" ht="13.5" hidden="1" thickBot="1">
      <c r="A282" s="626" t="s">
        <v>892</v>
      </c>
      <c r="B282" s="627" t="s">
        <v>1243</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1681</v>
      </c>
      <c r="AM282" s="753">
        <f t="shared" si="21"/>
        <v>17.22</v>
      </c>
    </row>
    <row r="283" spans="1:39" s="566" customFormat="1" ht="13.5" hidden="1" thickBot="1">
      <c r="A283" s="626" t="s">
        <v>893</v>
      </c>
      <c r="B283" s="627" t="s">
        <v>1244</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1682</v>
      </c>
      <c r="AM283" s="753">
        <f t="shared" si="21"/>
        <v>48.7</v>
      </c>
    </row>
    <row r="284" spans="1:39" s="566" customFormat="1" ht="13.5" hidden="1" thickBot="1">
      <c r="A284" s="626" t="s">
        <v>894</v>
      </c>
      <c r="B284" s="627" t="s">
        <v>1245</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1683</v>
      </c>
      <c r="AM284" s="753">
        <f t="shared" si="21"/>
        <v>172.48</v>
      </c>
    </row>
    <row r="285" spans="1:39" s="566" customFormat="1" ht="13.5" hidden="1" thickBot="1">
      <c r="A285" s="626" t="s">
        <v>486</v>
      </c>
      <c r="B285" s="627" t="s">
        <v>1246</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3.5" hidden="1" thickBot="1">
      <c r="A286" s="626" t="s">
        <v>895</v>
      </c>
      <c r="B286" s="627" t="s">
        <v>1247</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1684</v>
      </c>
      <c r="AM286" s="753">
        <f t="shared" si="21"/>
        <v>38.24</v>
      </c>
    </row>
    <row r="287" spans="1:39" s="566" customFormat="1" ht="13.5" hidden="1" thickBot="1">
      <c r="A287" s="626" t="s">
        <v>896</v>
      </c>
      <c r="B287" s="627" t="s">
        <v>1248</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3.5" hidden="1" thickBot="1">
      <c r="A288" s="626" t="s">
        <v>897</v>
      </c>
      <c r="B288" s="627" t="s">
        <v>1249</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1685</v>
      </c>
      <c r="AM288" s="753">
        <f t="shared" si="21"/>
        <v>33.03</v>
      </c>
    </row>
    <row r="289" spans="1:39" s="566" customFormat="1" ht="13.5" hidden="1" thickBot="1">
      <c r="A289" s="626" t="s">
        <v>898</v>
      </c>
      <c r="B289" s="627" t="s">
        <v>1250</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1686</v>
      </c>
      <c r="AM289" s="753">
        <f t="shared" si="21"/>
        <v>30.08</v>
      </c>
    </row>
    <row r="290" spans="1:39" s="566" customFormat="1" ht="13.5" hidden="1" thickBot="1">
      <c r="A290" s="626" t="s">
        <v>899</v>
      </c>
      <c r="B290" s="627" t="s">
        <v>1251</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1687</v>
      </c>
      <c r="AM290" s="753">
        <f t="shared" si="21"/>
        <v>2.95</v>
      </c>
    </row>
    <row r="291" spans="1:39" s="566" customFormat="1" ht="13.5" hidden="1" thickBot="1">
      <c r="A291" s="626" t="s">
        <v>900</v>
      </c>
      <c r="B291" s="627" t="s">
        <v>1252</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3.5" hidden="1" thickBot="1">
      <c r="A292" s="626" t="s">
        <v>901</v>
      </c>
      <c r="B292" s="627" t="s">
        <v>1293</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1688</v>
      </c>
      <c r="AM292" s="753">
        <f t="shared" si="21"/>
        <v>6.15</v>
      </c>
    </row>
    <row r="293" spans="1:39" s="566" customFormat="1" ht="13.5" hidden="1" thickBot="1">
      <c r="A293" s="626" t="s">
        <v>902</v>
      </c>
      <c r="B293" s="627" t="s">
        <v>1254</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1689</v>
      </c>
      <c r="AM293" s="753">
        <f t="shared" si="21"/>
        <v>2.77</v>
      </c>
    </row>
    <row r="294" spans="1:39" s="566" customFormat="1" ht="13.5" hidden="1" thickBot="1">
      <c r="A294" s="626" t="s">
        <v>903</v>
      </c>
      <c r="B294" s="627" t="s">
        <v>1255</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3.5" hidden="1" thickBot="1">
      <c r="A295" s="626" t="s">
        <v>904</v>
      </c>
      <c r="B295" s="627" t="s">
        <v>1256</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1690</v>
      </c>
      <c r="AM295" s="753">
        <f t="shared" si="21"/>
        <v>8.3000000000000007</v>
      </c>
    </row>
    <row r="296" spans="1:39" s="566" customFormat="1" ht="13.5" hidden="1" thickBot="1">
      <c r="A296" s="626" t="s">
        <v>905</v>
      </c>
      <c r="B296" s="627" t="s">
        <v>1257</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3.5" hidden="1" thickBot="1">
      <c r="A297" s="626" t="s">
        <v>906</v>
      </c>
      <c r="B297" s="627" t="s">
        <v>1258</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1691</v>
      </c>
      <c r="AM297" s="753">
        <f t="shared" si="21"/>
        <v>6.66</v>
      </c>
    </row>
    <row r="298" spans="1:39" s="566" customFormat="1" ht="13.5" hidden="1" thickBot="1">
      <c r="A298" s="626" t="s">
        <v>907</v>
      </c>
      <c r="B298" s="627" t="s">
        <v>1285</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1692</v>
      </c>
      <c r="AM298" s="753">
        <f t="shared" si="21"/>
        <v>7.76</v>
      </c>
    </row>
    <row r="299" spans="1:39" s="566" customFormat="1" ht="13.5" hidden="1" thickBot="1">
      <c r="A299" s="626" t="s">
        <v>908</v>
      </c>
      <c r="B299" s="627" t="s">
        <v>1260</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1693</v>
      </c>
      <c r="AM299" s="753">
        <f t="shared" si="21"/>
        <v>25.31</v>
      </c>
    </row>
    <row r="300" spans="1:39" s="566" customFormat="1" ht="13.5" hidden="1" thickBot="1">
      <c r="A300" s="626" t="s">
        <v>909</v>
      </c>
      <c r="B300" s="627" t="s">
        <v>1197</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3.5" hidden="1" thickBot="1">
      <c r="A301" s="626" t="s">
        <v>910</v>
      </c>
      <c r="B301" s="627" t="s">
        <v>1261</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1694</v>
      </c>
      <c r="AM301" s="753">
        <f t="shared" si="21"/>
        <v>34.93</v>
      </c>
    </row>
    <row r="302" spans="1:39" s="566" customFormat="1" ht="13.5" hidden="1" thickBot="1">
      <c r="A302" s="626" t="s">
        <v>911</v>
      </c>
      <c r="B302" s="627" t="s">
        <v>1262</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1688</v>
      </c>
      <c r="AM302" s="753">
        <f t="shared" si="21"/>
        <v>6.15</v>
      </c>
    </row>
    <row r="303" spans="1:39" s="566" customFormat="1" ht="13.5" hidden="1" thickBot="1">
      <c r="A303" s="626" t="s">
        <v>912</v>
      </c>
      <c r="B303" s="627" t="s">
        <v>1263</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3.5" hidden="1" thickBot="1">
      <c r="A304" s="626" t="s">
        <v>913</v>
      </c>
      <c r="B304" s="627" t="s">
        <v>1264</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1695</v>
      </c>
      <c r="AM304" s="753">
        <f t="shared" si="21"/>
        <v>3.78</v>
      </c>
    </row>
    <row r="305" spans="1:39" s="566" customFormat="1" ht="13.5" hidden="1" thickBot="1">
      <c r="A305" s="626" t="s">
        <v>914</v>
      </c>
      <c r="B305" s="627" t="s">
        <v>1294</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1696</v>
      </c>
      <c r="AM305" s="753">
        <f t="shared" si="21"/>
        <v>1.47</v>
      </c>
    </row>
    <row r="306" spans="1:39" s="566" customFormat="1" ht="13.5" hidden="1" thickBot="1">
      <c r="A306" s="626" t="s">
        <v>915</v>
      </c>
      <c r="B306" s="627" t="s">
        <v>1265</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3.5" hidden="1" thickBot="1">
      <c r="A307" s="626" t="s">
        <v>916</v>
      </c>
      <c r="B307" s="627" t="s">
        <v>1266</v>
      </c>
      <c r="C307" s="634" t="s">
        <v>1450</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1640</v>
      </c>
      <c r="AM307" s="753">
        <f t="shared" si="21"/>
        <v>9</v>
      </c>
    </row>
    <row r="308" spans="1:39" s="566" customFormat="1" ht="13.5" hidden="1" thickBot="1">
      <c r="A308" s="626" t="s">
        <v>917</v>
      </c>
      <c r="B308" s="627" t="s">
        <v>1267</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1697</v>
      </c>
      <c r="AM308" s="753">
        <f t="shared" si="21"/>
        <v>2</v>
      </c>
    </row>
    <row r="309" spans="1:39" s="566" customFormat="1" ht="13.5" hidden="1" thickBot="1">
      <c r="A309" s="626" t="s">
        <v>918</v>
      </c>
      <c r="B309" s="627" t="s">
        <v>1295</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1454</v>
      </c>
      <c r="AM309" s="753">
        <f t="shared" si="21"/>
        <v>1</v>
      </c>
    </row>
    <row r="310" spans="1:39" s="566" customFormat="1" ht="13.5" hidden="1" thickBot="1">
      <c r="A310" s="626" t="s">
        <v>919</v>
      </c>
      <c r="B310" s="627" t="s">
        <v>1268</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3.5" hidden="1" thickBot="1">
      <c r="A311" s="626" t="s">
        <v>920</v>
      </c>
      <c r="B311" s="627" t="s">
        <v>1269</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1698</v>
      </c>
      <c r="AM311" s="753">
        <f t="shared" si="21"/>
        <v>7.54</v>
      </c>
    </row>
    <row r="312" spans="1:39" s="566" customFormat="1" ht="13.5" hidden="1" thickBot="1">
      <c r="A312" s="626" t="s">
        <v>921</v>
      </c>
      <c r="B312" s="627" t="s">
        <v>1270</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1699</v>
      </c>
      <c r="AM312" s="753">
        <f t="shared" si="21"/>
        <v>1.25</v>
      </c>
    </row>
    <row r="313" spans="1:39" s="566" customFormat="1" ht="13.5" hidden="1" thickBot="1">
      <c r="A313" s="626" t="s">
        <v>922</v>
      </c>
      <c r="B313" s="627" t="s">
        <v>1271</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3.5" hidden="1" thickBot="1">
      <c r="A314" s="626" t="s">
        <v>923</v>
      </c>
      <c r="B314" s="627" t="s">
        <v>1272</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1684</v>
      </c>
      <c r="AM314" s="753">
        <f t="shared" si="21"/>
        <v>38.24</v>
      </c>
    </row>
    <row r="315" spans="1:39" s="566" customFormat="1" ht="13.5" hidden="1" thickBot="1">
      <c r="A315" s="626" t="s">
        <v>924</v>
      </c>
      <c r="B315" s="627" t="s">
        <v>1273</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1678</v>
      </c>
      <c r="AM315" s="753">
        <f t="shared" si="21"/>
        <v>83.58</v>
      </c>
    </row>
    <row r="316" spans="1:39" s="566" customFormat="1" ht="13.5" hidden="1" thickBot="1">
      <c r="A316" s="626" t="s">
        <v>925</v>
      </c>
      <c r="B316" s="627" t="s">
        <v>1274</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1676</v>
      </c>
      <c r="AM316" s="753">
        <f t="shared" si="21"/>
        <v>45.75</v>
      </c>
    </row>
    <row r="317" spans="1:39" s="566" customFormat="1" ht="13.5" hidden="1" thickBot="1">
      <c r="A317" s="626" t="s">
        <v>926</v>
      </c>
      <c r="B317" s="627" t="s">
        <v>1275</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1679</v>
      </c>
      <c r="AM317" s="753">
        <f t="shared" si="21"/>
        <v>12.95</v>
      </c>
    </row>
    <row r="318" spans="1:39" s="566" customFormat="1" ht="13.5" hidden="1" thickBot="1">
      <c r="A318" s="626" t="s">
        <v>927</v>
      </c>
      <c r="B318" s="627" t="s">
        <v>1276</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1680</v>
      </c>
      <c r="AM318" s="753">
        <f t="shared" si="21"/>
        <v>24.87</v>
      </c>
    </row>
    <row r="319" spans="1:39" s="566" customFormat="1" ht="13.5" hidden="1" thickBot="1">
      <c r="A319" s="626" t="s">
        <v>928</v>
      </c>
      <c r="B319" s="627" t="s">
        <v>1277</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1691</v>
      </c>
      <c r="AM319" s="753">
        <f t="shared" si="21"/>
        <v>6.66</v>
      </c>
    </row>
    <row r="320" spans="1:39" s="566" customFormat="1" ht="13.5" hidden="1" thickBot="1">
      <c r="A320" s="626" t="s">
        <v>929</v>
      </c>
      <c r="B320" s="627" t="s">
        <v>1278</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1700</v>
      </c>
      <c r="AM320" s="753">
        <f t="shared" si="21"/>
        <v>12.48</v>
      </c>
    </row>
    <row r="321" spans="1:39" s="566" customFormat="1" ht="13.5" hidden="1" thickBot="1">
      <c r="A321" s="626" t="s">
        <v>930</v>
      </c>
      <c r="B321" s="627" t="s">
        <v>1279</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3.5" hidden="1" thickBot="1">
      <c r="A322" s="626" t="s">
        <v>931</v>
      </c>
      <c r="B322" s="627" t="s">
        <v>1280</v>
      </c>
      <c r="C322" s="634" t="s">
        <v>1449</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1454</v>
      </c>
      <c r="AM322" s="753">
        <f t="shared" si="21"/>
        <v>1</v>
      </c>
    </row>
    <row r="323" spans="1:39" s="566" customFormat="1" ht="13.5" hidden="1" thickBot="1">
      <c r="A323" s="626" t="s">
        <v>932</v>
      </c>
      <c r="B323" s="627" t="s">
        <v>1281</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1454</v>
      </c>
      <c r="AM323" s="753">
        <f t="shared" si="21"/>
        <v>1</v>
      </c>
    </row>
    <row r="324" spans="1:39" s="566" customFormat="1" ht="13.5" hidden="1" thickBot="1">
      <c r="A324" s="626" t="s">
        <v>933</v>
      </c>
      <c r="B324" s="627" t="s">
        <v>1282</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1701</v>
      </c>
      <c r="AM324" s="753">
        <f t="shared" si="21"/>
        <v>6.79</v>
      </c>
    </row>
    <row r="325" spans="1:39" s="566" customFormat="1" ht="13.5" hidden="1" thickBot="1">
      <c r="A325" s="626" t="s">
        <v>517</v>
      </c>
      <c r="B325" s="627" t="s">
        <v>1296</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3.5" hidden="1" thickBot="1">
      <c r="A326" s="626" t="s">
        <v>518</v>
      </c>
      <c r="B326" s="627" t="s">
        <v>1235</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3.5" hidden="1" thickBot="1">
      <c r="A327" s="626" t="s">
        <v>519</v>
      </c>
      <c r="B327" s="627" t="s">
        <v>1236</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1702</v>
      </c>
      <c r="AM327" s="753">
        <f t="shared" si="21"/>
        <v>56.66</v>
      </c>
    </row>
    <row r="328" spans="1:39" s="566" customFormat="1" ht="13.5" hidden="1" thickBot="1">
      <c r="A328" s="626" t="s">
        <v>520</v>
      </c>
      <c r="B328" s="627" t="s">
        <v>1237</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1703</v>
      </c>
      <c r="AM328" s="753">
        <f t="shared" si="21"/>
        <v>8.17</v>
      </c>
    </row>
    <row r="329" spans="1:39" s="566" customFormat="1" ht="13.5" hidden="1" thickBot="1">
      <c r="A329" s="626" t="s">
        <v>521</v>
      </c>
      <c r="B329" s="627" t="s">
        <v>1238</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3.5" hidden="1" thickBot="1">
      <c r="A330" s="626" t="s">
        <v>522</v>
      </c>
      <c r="B330" s="627" t="s">
        <v>1239</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1704</v>
      </c>
      <c r="AM330" s="753">
        <f t="shared" si="21"/>
        <v>77.680000000000007</v>
      </c>
    </row>
    <row r="331" spans="1:39" s="566" customFormat="1" ht="13.5" hidden="1" thickBot="1">
      <c r="A331" s="626" t="s">
        <v>934</v>
      </c>
      <c r="B331" s="627" t="s">
        <v>1240</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1705</v>
      </c>
      <c r="AM331" s="753">
        <f t="shared" si="21"/>
        <v>51.98</v>
      </c>
    </row>
    <row r="332" spans="1:39" s="566" customFormat="1" ht="13.5" hidden="1" thickBot="1">
      <c r="A332" s="626" t="s">
        <v>935</v>
      </c>
      <c r="B332" s="627" t="s">
        <v>1241</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1706</v>
      </c>
      <c r="AM332" s="753">
        <f t="shared" si="21"/>
        <v>12</v>
      </c>
    </row>
    <row r="333" spans="1:39" s="566" customFormat="1" ht="13.5" hidden="1" thickBot="1">
      <c r="A333" s="626" t="s">
        <v>936</v>
      </c>
      <c r="B333" s="627" t="s">
        <v>1242</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1707</v>
      </c>
      <c r="AM333" s="753">
        <f t="shared" si="21"/>
        <v>19.97</v>
      </c>
    </row>
    <row r="334" spans="1:39" s="566" customFormat="1" ht="13.5" hidden="1" thickBot="1">
      <c r="A334" s="626" t="s">
        <v>937</v>
      </c>
      <c r="B334" s="627" t="s">
        <v>1243</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1708</v>
      </c>
      <c r="AM334" s="753">
        <f t="shared" si="21"/>
        <v>35.729999999999997</v>
      </c>
    </row>
    <row r="335" spans="1:39" s="566" customFormat="1" ht="13.5" hidden="1" thickBot="1">
      <c r="A335" s="626" t="s">
        <v>938</v>
      </c>
      <c r="B335" s="627" t="s">
        <v>1244</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1709</v>
      </c>
      <c r="AM335" s="753">
        <f t="shared" si="21"/>
        <v>35.9</v>
      </c>
    </row>
    <row r="336" spans="1:39" s="566" customFormat="1" ht="13.5" hidden="1" thickBot="1">
      <c r="A336" s="626" t="s">
        <v>939</v>
      </c>
      <c r="B336" s="627" t="s">
        <v>1245</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1710</v>
      </c>
      <c r="AM336" s="753">
        <f t="shared" si="21"/>
        <v>151.28</v>
      </c>
    </row>
    <row r="337" spans="1:39" s="566" customFormat="1" ht="13.5" hidden="1" thickBot="1">
      <c r="A337" s="626" t="s">
        <v>523</v>
      </c>
      <c r="B337" s="627" t="s">
        <v>1246</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3.5" hidden="1" thickBot="1">
      <c r="A338" s="626" t="s">
        <v>524</v>
      </c>
      <c r="B338" s="627" t="s">
        <v>1247</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1711</v>
      </c>
      <c r="AM338" s="753">
        <f t="shared" si="21"/>
        <v>33.950000000000003</v>
      </c>
    </row>
    <row r="339" spans="1:39" s="566" customFormat="1" ht="13.5" hidden="1" thickBot="1">
      <c r="A339" s="626" t="s">
        <v>940</v>
      </c>
      <c r="B339" s="627" t="s">
        <v>1248</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3.5" hidden="1" thickBot="1">
      <c r="A340" s="626" t="s">
        <v>941</v>
      </c>
      <c r="B340" s="627" t="s">
        <v>1249</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1712</v>
      </c>
      <c r="AM340" s="753">
        <f t="shared" si="21"/>
        <v>22.08</v>
      </c>
    </row>
    <row r="341" spans="1:39" s="566" customFormat="1" ht="13.5" hidden="1" thickBot="1">
      <c r="A341" s="626" t="s">
        <v>942</v>
      </c>
      <c r="B341" s="627" t="s">
        <v>1250</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1713</v>
      </c>
      <c r="AM341" s="753">
        <f t="shared" si="21"/>
        <v>12.13</v>
      </c>
    </row>
    <row r="342" spans="1:39" s="566" customFormat="1" ht="13.5" hidden="1" thickBot="1">
      <c r="A342" s="626" t="s">
        <v>943</v>
      </c>
      <c r="B342" s="627" t="s">
        <v>1251</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1714</v>
      </c>
      <c r="AM342" s="753">
        <f t="shared" ref="AM342:AM405" si="24">AL342-AK342</f>
        <v>9.9499999999999993</v>
      </c>
    </row>
    <row r="343" spans="1:39" s="566" customFormat="1" ht="13.5" hidden="1" thickBot="1">
      <c r="A343" s="626" t="s">
        <v>944</v>
      </c>
      <c r="B343" s="627" t="s">
        <v>1255</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3.5" hidden="1" thickBot="1">
      <c r="A344" s="626" t="s">
        <v>945</v>
      </c>
      <c r="B344" s="627" t="s">
        <v>1256</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1715</v>
      </c>
      <c r="AM344" s="753">
        <f t="shared" si="24"/>
        <v>8.93</v>
      </c>
    </row>
    <row r="345" spans="1:39" s="566" customFormat="1" ht="13.5" hidden="1" thickBot="1">
      <c r="A345" s="626" t="s">
        <v>946</v>
      </c>
      <c r="B345" s="627" t="s">
        <v>1257</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3.5" hidden="1" thickBot="1">
      <c r="A346" s="626" t="s">
        <v>947</v>
      </c>
      <c r="B346" s="627" t="s">
        <v>1258</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1716</v>
      </c>
      <c r="AM346" s="753">
        <f t="shared" si="24"/>
        <v>6.91</v>
      </c>
    </row>
    <row r="347" spans="1:39" s="566" customFormat="1" ht="13.5" hidden="1" thickBot="1">
      <c r="A347" s="626" t="s">
        <v>948</v>
      </c>
      <c r="B347" s="627" t="s">
        <v>1285</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1717</v>
      </c>
      <c r="AM347" s="753">
        <f t="shared" si="24"/>
        <v>8.86</v>
      </c>
    </row>
    <row r="348" spans="1:39" s="566" customFormat="1" ht="13.5" hidden="1" thickBot="1">
      <c r="A348" s="626" t="s">
        <v>949</v>
      </c>
      <c r="B348" s="627" t="s">
        <v>1259</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1718</v>
      </c>
      <c r="AM348" s="753">
        <f t="shared" si="24"/>
        <v>10.78</v>
      </c>
    </row>
    <row r="349" spans="1:39" s="566" customFormat="1" ht="13.5" hidden="1" thickBot="1">
      <c r="A349" s="626" t="s">
        <v>950</v>
      </c>
      <c r="B349" s="627" t="s">
        <v>1260</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1719</v>
      </c>
      <c r="AM349" s="753">
        <f t="shared" si="24"/>
        <v>14.4</v>
      </c>
    </row>
    <row r="350" spans="1:39" s="566" customFormat="1" ht="13.5" hidden="1" thickBot="1">
      <c r="A350" s="626" t="s">
        <v>951</v>
      </c>
      <c r="B350" s="627" t="s">
        <v>1197</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3.5" hidden="1" thickBot="1">
      <c r="A351" s="626" t="s">
        <v>952</v>
      </c>
      <c r="B351" s="627" t="s">
        <v>1261</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1720</v>
      </c>
      <c r="AM351" s="753">
        <f t="shared" si="24"/>
        <v>21.28</v>
      </c>
    </row>
    <row r="352" spans="1:39" s="566" customFormat="1" ht="13.5" hidden="1" thickBot="1">
      <c r="A352" s="626" t="s">
        <v>953</v>
      </c>
      <c r="B352" s="627" t="s">
        <v>1262</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1688</v>
      </c>
      <c r="AM352" s="753">
        <f t="shared" si="24"/>
        <v>6.15</v>
      </c>
    </row>
    <row r="353" spans="1:39" s="566" customFormat="1" ht="13.5" hidden="1" thickBot="1">
      <c r="A353" s="626" t="s">
        <v>954</v>
      </c>
      <c r="B353" s="627" t="s">
        <v>1263</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3.5" hidden="1" thickBot="1">
      <c r="A354" s="626" t="s">
        <v>955</v>
      </c>
      <c r="B354" s="627" t="s">
        <v>1264</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1721</v>
      </c>
      <c r="AM354" s="753">
        <f t="shared" si="24"/>
        <v>1.89</v>
      </c>
    </row>
    <row r="355" spans="1:39" s="566" customFormat="1" ht="13.5" hidden="1" thickBot="1">
      <c r="A355" s="626" t="s">
        <v>956</v>
      </c>
      <c r="B355" s="627" t="s">
        <v>1294</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1722</v>
      </c>
      <c r="AM355" s="753">
        <f t="shared" si="24"/>
        <v>3.15</v>
      </c>
    </row>
    <row r="356" spans="1:39" s="566" customFormat="1" ht="13.5" hidden="1" thickBot="1">
      <c r="A356" s="626" t="s">
        <v>957</v>
      </c>
      <c r="B356" s="627" t="s">
        <v>1265</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3.5" hidden="1" thickBot="1">
      <c r="A357" s="626" t="s">
        <v>958</v>
      </c>
      <c r="B357" s="627" t="s">
        <v>1266</v>
      </c>
      <c r="C357" s="634" t="s">
        <v>1450</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1640</v>
      </c>
      <c r="AM357" s="753">
        <f t="shared" si="24"/>
        <v>9</v>
      </c>
    </row>
    <row r="358" spans="1:39" s="566" customFormat="1" ht="13.5" hidden="1" thickBot="1">
      <c r="A358" s="626" t="s">
        <v>959</v>
      </c>
      <c r="B358" s="627" t="s">
        <v>1267</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1454</v>
      </c>
      <c r="AM358" s="753">
        <f t="shared" si="24"/>
        <v>1</v>
      </c>
    </row>
    <row r="359" spans="1:39" s="566" customFormat="1" ht="13.5" hidden="1" thickBot="1">
      <c r="A359" s="626" t="s">
        <v>960</v>
      </c>
      <c r="B359" s="627" t="s">
        <v>1295</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1697</v>
      </c>
      <c r="AM359" s="753">
        <f t="shared" si="24"/>
        <v>2</v>
      </c>
    </row>
    <row r="360" spans="1:39" s="566" customFormat="1" ht="13.5" hidden="1" thickBot="1">
      <c r="A360" s="626" t="s">
        <v>961</v>
      </c>
      <c r="B360" s="627" t="s">
        <v>1268</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3.5" hidden="1" thickBot="1">
      <c r="A361" s="626" t="s">
        <v>962</v>
      </c>
      <c r="B361" s="627" t="s">
        <v>1269</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1723</v>
      </c>
      <c r="AM361" s="753">
        <f t="shared" si="24"/>
        <v>4.96</v>
      </c>
    </row>
    <row r="362" spans="1:39" s="566" customFormat="1" ht="13.5" hidden="1" thickBot="1">
      <c r="A362" s="626" t="s">
        <v>963</v>
      </c>
      <c r="B362" s="627" t="s">
        <v>1270</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1487</v>
      </c>
      <c r="AM362" s="753">
        <f t="shared" si="24"/>
        <v>1.2</v>
      </c>
    </row>
    <row r="363" spans="1:39" s="566" customFormat="1" ht="13.5" hidden="1" thickBot="1">
      <c r="A363" s="626" t="s">
        <v>964</v>
      </c>
      <c r="B363" s="627" t="s">
        <v>1271</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3.5" hidden="1" thickBot="1">
      <c r="A364" s="626" t="s">
        <v>965</v>
      </c>
      <c r="B364" s="627" t="s">
        <v>1272</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1711</v>
      </c>
      <c r="AM364" s="753">
        <f t="shared" si="24"/>
        <v>33.950000000000003</v>
      </c>
    </row>
    <row r="365" spans="1:39" s="566" customFormat="1" ht="13.5" hidden="1" thickBot="1">
      <c r="A365" s="626" t="s">
        <v>966</v>
      </c>
      <c r="B365" s="627" t="s">
        <v>1273</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1704</v>
      </c>
      <c r="AM365" s="753">
        <f t="shared" si="24"/>
        <v>77.680000000000007</v>
      </c>
    </row>
    <row r="366" spans="1:39" s="566" customFormat="1" ht="13.5" hidden="1" thickBot="1">
      <c r="A366" s="626" t="s">
        <v>967</v>
      </c>
      <c r="B366" s="627" t="s">
        <v>1274</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1705</v>
      </c>
      <c r="AM366" s="753">
        <f t="shared" si="24"/>
        <v>51.98</v>
      </c>
    </row>
    <row r="367" spans="1:39" s="566" customFormat="1" ht="13.5" hidden="1" thickBot="1">
      <c r="A367" s="626" t="s">
        <v>968</v>
      </c>
      <c r="B367" s="627" t="s">
        <v>1275</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1706</v>
      </c>
      <c r="AM367" s="753">
        <f t="shared" si="24"/>
        <v>12</v>
      </c>
    </row>
    <row r="368" spans="1:39" s="566" customFormat="1" ht="13.5" hidden="1" thickBot="1">
      <c r="A368" s="626" t="s">
        <v>969</v>
      </c>
      <c r="B368" s="627" t="s">
        <v>1276</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1707</v>
      </c>
      <c r="AM368" s="753">
        <f t="shared" si="24"/>
        <v>19.97</v>
      </c>
    </row>
    <row r="369" spans="1:39" s="566" customFormat="1" ht="13.5" hidden="1" thickBot="1">
      <c r="A369" s="626" t="s">
        <v>970</v>
      </c>
      <c r="B369" s="627" t="s">
        <v>1277</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1716</v>
      </c>
      <c r="AM369" s="753">
        <f t="shared" si="24"/>
        <v>6.91</v>
      </c>
    </row>
    <row r="370" spans="1:39" s="566" customFormat="1" ht="13.5" hidden="1" thickBot="1">
      <c r="A370" s="626" t="s">
        <v>971</v>
      </c>
      <c r="B370" s="627" t="s">
        <v>1278</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1724</v>
      </c>
      <c r="AM370" s="753">
        <f t="shared" si="24"/>
        <v>10.5</v>
      </c>
    </row>
    <row r="371" spans="1:39" s="566" customFormat="1" ht="13.5" hidden="1" thickBot="1">
      <c r="A371" s="626" t="s">
        <v>972</v>
      </c>
      <c r="B371" s="627" t="s">
        <v>1279</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3.5" hidden="1" thickBot="1">
      <c r="A372" s="626" t="s">
        <v>973</v>
      </c>
      <c r="B372" s="627" t="s">
        <v>1280</v>
      </c>
      <c r="C372" s="634" t="s">
        <v>1449</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1725</v>
      </c>
      <c r="AM372" s="753">
        <f t="shared" si="24"/>
        <v>11</v>
      </c>
    </row>
    <row r="373" spans="1:39" s="566" customFormat="1" ht="13.5" hidden="1" thickBot="1">
      <c r="A373" s="626" t="s">
        <v>974</v>
      </c>
      <c r="B373" s="627" t="s">
        <v>1281</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1454</v>
      </c>
      <c r="AM373" s="753">
        <f t="shared" si="24"/>
        <v>1</v>
      </c>
    </row>
    <row r="374" spans="1:39" s="566" customFormat="1" ht="13.5" hidden="1" thickBot="1">
      <c r="A374" s="626" t="s">
        <v>975</v>
      </c>
      <c r="B374" s="627" t="s">
        <v>1282</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1726</v>
      </c>
      <c r="AM374" s="753">
        <f t="shared" si="24"/>
        <v>8.15</v>
      </c>
    </row>
    <row r="375" spans="1:39" s="566" customFormat="1" ht="13.5" hidden="1" thickBot="1">
      <c r="A375" s="626" t="s">
        <v>525</v>
      </c>
      <c r="B375" s="627" t="s">
        <v>1297</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3.5" hidden="1" thickBot="1">
      <c r="A376" s="626" t="s">
        <v>526</v>
      </c>
      <c r="B376" s="627" t="s">
        <v>1235</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3.5" hidden="1" thickBot="1">
      <c r="A377" s="626" t="s">
        <v>527</v>
      </c>
      <c r="B377" s="627" t="s">
        <v>1298</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1727</v>
      </c>
      <c r="AM377" s="753">
        <f t="shared" si="24"/>
        <v>239.98</v>
      </c>
    </row>
    <row r="378" spans="1:39" s="566" customFormat="1" ht="13.5" hidden="1" thickBot="1">
      <c r="A378" s="626" t="s">
        <v>976</v>
      </c>
      <c r="B378" s="627" t="s">
        <v>1238</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3.5" hidden="1" thickBot="1">
      <c r="A379" s="626" t="s">
        <v>977</v>
      </c>
      <c r="B379" s="627" t="s">
        <v>1299</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1728</v>
      </c>
      <c r="AM379" s="753">
        <f t="shared" si="24"/>
        <v>117.85</v>
      </c>
    </row>
    <row r="380" spans="1:39" s="566" customFormat="1" ht="13.5" hidden="1" thickBot="1">
      <c r="A380" s="626" t="s">
        <v>978</v>
      </c>
      <c r="B380" s="627" t="s">
        <v>1300</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1729</v>
      </c>
      <c r="AM380" s="753">
        <f t="shared" si="24"/>
        <v>65.94</v>
      </c>
    </row>
    <row r="381" spans="1:39" s="566" customFormat="1" ht="13.5" hidden="1" thickBot="1">
      <c r="A381" s="626" t="s">
        <v>979</v>
      </c>
      <c r="B381" s="627" t="s">
        <v>1301</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1589</v>
      </c>
      <c r="AM381" s="753">
        <f t="shared" si="24"/>
        <v>49.66</v>
      </c>
    </row>
    <row r="382" spans="1:39" s="566" customFormat="1" ht="13.5" hidden="1" thickBot="1">
      <c r="A382" s="626" t="s">
        <v>980</v>
      </c>
      <c r="B382" s="627" t="s">
        <v>1290</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3.5" hidden="1" thickBot="1">
      <c r="A383" s="626" t="s">
        <v>981</v>
      </c>
      <c r="B383" s="627" t="s">
        <v>1302</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1730</v>
      </c>
      <c r="AM383" s="753">
        <f t="shared" si="24"/>
        <v>7.98</v>
      </c>
    </row>
    <row r="384" spans="1:39" s="566" customFormat="1" ht="13.5" hidden="1" thickBot="1">
      <c r="A384" s="626" t="s">
        <v>982</v>
      </c>
      <c r="B384" s="627" t="s">
        <v>1271</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3.5" hidden="1" thickBot="1">
      <c r="A385" s="626" t="s">
        <v>983</v>
      </c>
      <c r="B385" s="627" t="s">
        <v>1303</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1728</v>
      </c>
      <c r="AM385" s="753">
        <f t="shared" si="24"/>
        <v>117.85</v>
      </c>
    </row>
    <row r="386" spans="1:39" s="566" customFormat="1" ht="13.5" hidden="1" thickBot="1">
      <c r="A386" s="626" t="s">
        <v>984</v>
      </c>
      <c r="B386" s="627" t="s">
        <v>1275</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1729</v>
      </c>
      <c r="AM386" s="753">
        <f t="shared" si="24"/>
        <v>65.94</v>
      </c>
    </row>
    <row r="387" spans="1:39" s="566" customFormat="1" ht="13.5" hidden="1" thickBot="1">
      <c r="A387" s="626" t="s">
        <v>985</v>
      </c>
      <c r="B387" s="627" t="s">
        <v>1276</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1589</v>
      </c>
      <c r="AM387" s="753">
        <f t="shared" si="24"/>
        <v>49.66</v>
      </c>
    </row>
    <row r="388" spans="1:39" s="566" customFormat="1" ht="13.5" hidden="1" thickBot="1">
      <c r="A388" s="626" t="s">
        <v>986</v>
      </c>
      <c r="B388" s="627" t="s">
        <v>1304</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3.5" hidden="1" thickBot="1">
      <c r="A389" s="626" t="s">
        <v>987</v>
      </c>
      <c r="B389" s="627" t="s">
        <v>1305</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1731</v>
      </c>
      <c r="AM389" s="753">
        <f t="shared" si="24"/>
        <v>154.19</v>
      </c>
    </row>
    <row r="390" spans="1:39" s="566" customFormat="1" ht="13.5" hidden="1" thickBot="1">
      <c r="A390" s="626" t="s">
        <v>988</v>
      </c>
      <c r="B390" s="627" t="s">
        <v>1306</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1732</v>
      </c>
      <c r="AM390" s="753">
        <f t="shared" si="24"/>
        <v>48.81</v>
      </c>
    </row>
    <row r="391" spans="1:39" s="566" customFormat="1" ht="13.5" hidden="1" thickBot="1">
      <c r="A391" s="626" t="s">
        <v>989</v>
      </c>
      <c r="B391" s="627" t="s">
        <v>1307</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3.5" hidden="1" thickBot="1">
      <c r="A392" s="626" t="s">
        <v>990</v>
      </c>
      <c r="B392" s="627" t="s">
        <v>1248</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3.5" hidden="1" thickBot="1">
      <c r="A393" s="626" t="s">
        <v>991</v>
      </c>
      <c r="B393" s="627" t="s">
        <v>1308</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1607</v>
      </c>
      <c r="AM393" s="753">
        <f t="shared" si="24"/>
        <v>60</v>
      </c>
    </row>
    <row r="394" spans="1:39" s="566" customFormat="1" ht="13.5" hidden="1" thickBot="1">
      <c r="A394" s="626" t="s">
        <v>992</v>
      </c>
      <c r="B394" s="627" t="s">
        <v>1309</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1632</v>
      </c>
      <c r="AM394" s="753">
        <f t="shared" si="24"/>
        <v>5.18</v>
      </c>
    </row>
    <row r="395" spans="1:39" s="566" customFormat="1" ht="13.5" hidden="1" thickBot="1">
      <c r="A395" s="626" t="s">
        <v>993</v>
      </c>
      <c r="B395" s="627" t="s">
        <v>1252</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3.5" hidden="1" thickBot="1">
      <c r="A396" s="626" t="s">
        <v>994</v>
      </c>
      <c r="B396" s="627" t="s">
        <v>1310</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1733</v>
      </c>
      <c r="AM396" s="753">
        <f t="shared" si="24"/>
        <v>73.98</v>
      </c>
    </row>
    <row r="397" spans="1:39" s="566" customFormat="1" ht="13.5" hidden="1" thickBot="1">
      <c r="A397" s="626" t="s">
        <v>995</v>
      </c>
      <c r="B397" s="627" t="s">
        <v>1254</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1734</v>
      </c>
      <c r="AM397" s="753">
        <f t="shared" si="24"/>
        <v>44.39</v>
      </c>
    </row>
    <row r="398" spans="1:39" s="566" customFormat="1" ht="13.5" hidden="1" thickBot="1">
      <c r="A398" s="626" t="s">
        <v>996</v>
      </c>
      <c r="B398" s="627" t="s">
        <v>1311</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3.5" hidden="1" thickBot="1">
      <c r="A399" s="626" t="s">
        <v>997</v>
      </c>
      <c r="B399" s="627" t="s">
        <v>1312</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1735</v>
      </c>
      <c r="AM399" s="753">
        <f t="shared" si="24"/>
        <v>64</v>
      </c>
    </row>
    <row r="400" spans="1:39" s="566" customFormat="1" ht="13.5" hidden="1" thickBot="1">
      <c r="A400" s="626" t="s">
        <v>998</v>
      </c>
      <c r="B400" s="627" t="s">
        <v>1199</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3.5" hidden="1" thickBot="1">
      <c r="A401" s="626" t="s">
        <v>999</v>
      </c>
      <c r="B401" s="627" t="s">
        <v>1313</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1736</v>
      </c>
      <c r="AM401" s="753">
        <f t="shared" si="24"/>
        <v>22</v>
      </c>
    </row>
    <row r="402" spans="1:39" s="566" customFormat="1" ht="13.5" hidden="1" thickBot="1">
      <c r="A402" s="626" t="s">
        <v>1000</v>
      </c>
      <c r="B402" s="627" t="s">
        <v>1314</v>
      </c>
      <c r="C402" s="634" t="s">
        <v>1449</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1454</v>
      </c>
      <c r="AM402" s="753">
        <f t="shared" si="24"/>
        <v>1</v>
      </c>
    </row>
    <row r="403" spans="1:39" s="566" customFormat="1" ht="13.5" hidden="1" thickBot="1">
      <c r="A403" s="626" t="s">
        <v>1001</v>
      </c>
      <c r="B403" s="627" t="s">
        <v>1315</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3.5" hidden="1" thickBot="1">
      <c r="A404" s="626" t="s">
        <v>1002</v>
      </c>
      <c r="B404" s="627" t="s">
        <v>1248</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3.5" hidden="1" thickBot="1">
      <c r="A405" s="626" t="s">
        <v>1003</v>
      </c>
      <c r="B405" s="627" t="s">
        <v>1316</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1737</v>
      </c>
      <c r="AM405" s="753">
        <f t="shared" si="24"/>
        <v>28.21</v>
      </c>
    </row>
    <row r="406" spans="1:39" s="566" customFormat="1" ht="13.5" hidden="1" thickBot="1">
      <c r="A406" s="626" t="s">
        <v>1004</v>
      </c>
      <c r="B406" s="627" t="s">
        <v>1317</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3.5" hidden="1" thickBot="1">
      <c r="A407" s="626" t="s">
        <v>1005</v>
      </c>
      <c r="B407" s="627" t="s">
        <v>1318</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1738</v>
      </c>
      <c r="AM407" s="753">
        <f t="shared" si="27"/>
        <v>5.9</v>
      </c>
    </row>
    <row r="408" spans="1:39" s="566" customFormat="1" ht="13.5" hidden="1" thickBot="1">
      <c r="A408" s="626" t="s">
        <v>1006</v>
      </c>
      <c r="B408" s="627" t="s">
        <v>1195</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1677</v>
      </c>
      <c r="AM408" s="753">
        <f t="shared" si="27"/>
        <v>18.920000000000002</v>
      </c>
    </row>
    <row r="409" spans="1:39" s="566" customFormat="1" ht="13.5" hidden="1" thickBot="1">
      <c r="A409" s="626" t="s">
        <v>1007</v>
      </c>
      <c r="B409" s="627" t="s">
        <v>1290</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3.5" hidden="1" thickBot="1">
      <c r="A410" s="626" t="s">
        <v>1008</v>
      </c>
      <c r="B410" s="627" t="s">
        <v>1319</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1627</v>
      </c>
      <c r="AM410" s="753">
        <f t="shared" si="27"/>
        <v>90.62</v>
      </c>
    </row>
    <row r="411" spans="1:39" s="566" customFormat="1" ht="13.5" hidden="1" thickBot="1">
      <c r="A411" s="626" t="s">
        <v>1009</v>
      </c>
      <c r="B411" s="627" t="s">
        <v>1320</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3.5" hidden="1" thickBot="1">
      <c r="A412" s="626" t="s">
        <v>1010</v>
      </c>
      <c r="B412" s="627" t="s">
        <v>1313</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1739</v>
      </c>
      <c r="AM412" s="753">
        <f t="shared" si="27"/>
        <v>36.799999999999997</v>
      </c>
    </row>
    <row r="413" spans="1:39" s="566" customFormat="1" ht="13.5" hidden="1" thickBot="1">
      <c r="A413" s="626" t="s">
        <v>1011</v>
      </c>
      <c r="B413" s="627" t="s">
        <v>1321</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3.5" hidden="1" thickBot="1">
      <c r="A414" s="626" t="s">
        <v>1012</v>
      </c>
      <c r="B414" s="627" t="s">
        <v>1322</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3.5" hidden="1" thickBot="1">
      <c r="A415" s="626" t="s">
        <v>1013</v>
      </c>
      <c r="B415" s="627" t="s">
        <v>1323</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1740</v>
      </c>
      <c r="AM415" s="753">
        <f t="shared" si="27"/>
        <v>42.32</v>
      </c>
    </row>
    <row r="416" spans="1:39" s="566" customFormat="1" ht="13.5" hidden="1" thickBot="1">
      <c r="A416" s="626" t="s">
        <v>1014</v>
      </c>
      <c r="B416" s="627" t="s">
        <v>1324</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1740</v>
      </c>
      <c r="AM416" s="753">
        <f t="shared" si="27"/>
        <v>42.32</v>
      </c>
    </row>
    <row r="417" spans="1:39" s="566" customFormat="1" ht="13.5" hidden="1" thickBot="1">
      <c r="A417" s="626" t="s">
        <v>1015</v>
      </c>
      <c r="B417" s="627" t="s">
        <v>1325</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1741</v>
      </c>
      <c r="AM417" s="753">
        <f t="shared" si="27"/>
        <v>10</v>
      </c>
    </row>
    <row r="418" spans="1:39" s="566" customFormat="1" ht="13.5" hidden="1" thickBot="1">
      <c r="A418" s="626" t="s">
        <v>487</v>
      </c>
      <c r="B418" s="627" t="s">
        <v>1326</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3.5" hidden="1" thickBot="1">
      <c r="A419" s="626" t="s">
        <v>488</v>
      </c>
      <c r="B419" s="627" t="s">
        <v>1327</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3.5" hidden="1" thickBot="1">
      <c r="A420" s="626" t="s">
        <v>489</v>
      </c>
      <c r="B420" s="627" t="s">
        <v>1328</v>
      </c>
      <c r="C420" s="634" t="s">
        <v>1449</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1670</v>
      </c>
      <c r="AM420" s="753">
        <f t="shared" si="27"/>
        <v>4</v>
      </c>
    </row>
    <row r="421" spans="1:39" s="566" customFormat="1" ht="13.5" hidden="1" thickBot="1">
      <c r="A421" s="626" t="s">
        <v>490</v>
      </c>
      <c r="B421" s="627" t="s">
        <v>1329</v>
      </c>
      <c r="C421" s="634" t="s">
        <v>1449</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1697</v>
      </c>
      <c r="AM421" s="753">
        <f t="shared" si="27"/>
        <v>2</v>
      </c>
    </row>
    <row r="422" spans="1:39" s="566" customFormat="1" ht="13.5" hidden="1" thickBot="1">
      <c r="A422" s="626" t="s">
        <v>491</v>
      </c>
      <c r="B422" s="627" t="s">
        <v>1330</v>
      </c>
      <c r="C422" s="634" t="s">
        <v>1449</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1670</v>
      </c>
      <c r="AM422" s="753">
        <f t="shared" si="27"/>
        <v>4</v>
      </c>
    </row>
    <row r="423" spans="1:39" s="566" customFormat="1" ht="13.5" hidden="1" thickBot="1">
      <c r="A423" s="626" t="s">
        <v>1016</v>
      </c>
      <c r="B423" s="627" t="s">
        <v>1331</v>
      </c>
      <c r="C423" s="634" t="s">
        <v>1449</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1697</v>
      </c>
      <c r="AM423" s="753">
        <f t="shared" si="27"/>
        <v>2</v>
      </c>
    </row>
    <row r="424" spans="1:39" s="566" customFormat="1" ht="13.5" hidden="1" thickBot="1">
      <c r="A424" s="626" t="s">
        <v>1017</v>
      </c>
      <c r="B424" s="627" t="s">
        <v>1332</v>
      </c>
      <c r="C424" s="634" t="s">
        <v>1449</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1454</v>
      </c>
      <c r="AM424" s="753">
        <f t="shared" si="27"/>
        <v>1</v>
      </c>
    </row>
    <row r="425" spans="1:39" s="566" customFormat="1" ht="13.5" hidden="1" thickBot="1">
      <c r="A425" s="626" t="s">
        <v>1018</v>
      </c>
      <c r="B425" s="627" t="s">
        <v>1333</v>
      </c>
      <c r="C425" s="634" t="s">
        <v>1449</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1616</v>
      </c>
      <c r="AM425" s="753">
        <f t="shared" si="27"/>
        <v>6</v>
      </c>
    </row>
    <row r="426" spans="1:39" s="566" customFormat="1" ht="13.5" hidden="1" thickBot="1">
      <c r="A426" s="626" t="s">
        <v>1019</v>
      </c>
      <c r="B426" s="627" t="s">
        <v>1334</v>
      </c>
      <c r="C426" s="634" t="s">
        <v>1449</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1670</v>
      </c>
      <c r="AM426" s="753">
        <f t="shared" si="27"/>
        <v>4</v>
      </c>
    </row>
    <row r="427" spans="1:39" s="566" customFormat="1" ht="13.5" hidden="1" thickBot="1">
      <c r="A427" s="626" t="s">
        <v>1020</v>
      </c>
      <c r="B427" s="627" t="s">
        <v>1335</v>
      </c>
      <c r="C427" s="634" t="s">
        <v>1450</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1454</v>
      </c>
      <c r="AM427" s="753">
        <f t="shared" si="27"/>
        <v>1</v>
      </c>
    </row>
    <row r="428" spans="1:39" s="566" customFormat="1" ht="13.5" hidden="1" thickBot="1">
      <c r="A428" s="626" t="s">
        <v>1021</v>
      </c>
      <c r="B428" s="627" t="s">
        <v>1336</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1454</v>
      </c>
      <c r="AM428" s="753">
        <f t="shared" si="27"/>
        <v>1</v>
      </c>
    </row>
    <row r="429" spans="1:39" s="566" customFormat="1" ht="13.5" hidden="1" thickBot="1">
      <c r="A429" s="626" t="s">
        <v>1022</v>
      </c>
      <c r="B429" s="627" t="s">
        <v>1337</v>
      </c>
      <c r="C429" s="634" t="s">
        <v>1449</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1454</v>
      </c>
      <c r="AM429" s="753">
        <f t="shared" si="27"/>
        <v>1</v>
      </c>
    </row>
    <row r="430" spans="1:39" s="566" customFormat="1" ht="13.5" hidden="1" thickBot="1">
      <c r="A430" s="626" t="s">
        <v>1023</v>
      </c>
      <c r="B430" s="627" t="s">
        <v>1338</v>
      </c>
      <c r="C430" s="634" t="s">
        <v>1450</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1742</v>
      </c>
      <c r="AM430" s="753">
        <f t="shared" si="27"/>
        <v>19</v>
      </c>
    </row>
    <row r="431" spans="1:39" s="566" customFormat="1" ht="13.5" hidden="1" thickBot="1">
      <c r="A431" s="626" t="s">
        <v>492</v>
      </c>
      <c r="B431" s="627" t="s">
        <v>1339</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3.5" hidden="1" thickBot="1">
      <c r="A432" s="626" t="s">
        <v>493</v>
      </c>
      <c r="B432" s="627" t="s">
        <v>1340</v>
      </c>
      <c r="C432" s="634" t="s">
        <v>1451</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1670</v>
      </c>
      <c r="AM432" s="753">
        <f t="shared" si="27"/>
        <v>4</v>
      </c>
    </row>
    <row r="433" spans="1:39" s="566" customFormat="1" ht="13.5" hidden="1" thickBot="1">
      <c r="A433" s="626" t="s">
        <v>494</v>
      </c>
      <c r="B433" s="627" t="s">
        <v>1341</v>
      </c>
      <c r="C433" s="634" t="s">
        <v>1451</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1616</v>
      </c>
      <c r="AM433" s="753">
        <f t="shared" si="27"/>
        <v>6</v>
      </c>
    </row>
    <row r="434" spans="1:39" s="566" customFormat="1" ht="13.5" hidden="1" thickBot="1">
      <c r="A434" s="626" t="s">
        <v>495</v>
      </c>
      <c r="B434" s="627" t="s">
        <v>1342</v>
      </c>
      <c r="C434" s="634" t="s">
        <v>1451</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1741</v>
      </c>
      <c r="AM434" s="753">
        <f t="shared" si="27"/>
        <v>10</v>
      </c>
    </row>
    <row r="435" spans="1:39" s="566" customFormat="1" ht="13.5" hidden="1" thickBot="1">
      <c r="A435" s="626" t="s">
        <v>1024</v>
      </c>
      <c r="B435" s="627" t="s">
        <v>1343</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1743</v>
      </c>
      <c r="AM435" s="753">
        <f t="shared" si="27"/>
        <v>32.450000000000003</v>
      </c>
    </row>
    <row r="436" spans="1:39" s="566" customFormat="1" ht="13.5" hidden="1" thickBot="1">
      <c r="A436" s="626" t="s">
        <v>1025</v>
      </c>
      <c r="B436" s="627" t="s">
        <v>1344</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1744</v>
      </c>
      <c r="AM436" s="753">
        <f t="shared" si="27"/>
        <v>45.55</v>
      </c>
    </row>
    <row r="437" spans="1:39" s="566" customFormat="1" ht="13.5" hidden="1" thickBot="1">
      <c r="A437" s="626" t="s">
        <v>1026</v>
      </c>
      <c r="B437" s="627" t="s">
        <v>1345</v>
      </c>
      <c r="C437" s="634" t="s">
        <v>1449</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1670</v>
      </c>
      <c r="AM437" s="753">
        <f t="shared" si="27"/>
        <v>4</v>
      </c>
    </row>
    <row r="438" spans="1:39" s="566" customFormat="1" ht="13.5" hidden="1" thickBot="1">
      <c r="A438" s="626" t="s">
        <v>1027</v>
      </c>
      <c r="B438" s="627" t="s">
        <v>1346</v>
      </c>
      <c r="C438" s="634" t="s">
        <v>1449</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1697</v>
      </c>
      <c r="AM438" s="753">
        <f t="shared" si="27"/>
        <v>2</v>
      </c>
    </row>
    <row r="439" spans="1:39" s="566" customFormat="1" ht="13.5" hidden="1" thickBot="1">
      <c r="A439" s="626" t="s">
        <v>1028</v>
      </c>
      <c r="B439" s="627" t="s">
        <v>1347</v>
      </c>
      <c r="C439" s="634" t="s">
        <v>1449</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1616</v>
      </c>
      <c r="AM439" s="753">
        <f t="shared" si="27"/>
        <v>6</v>
      </c>
    </row>
    <row r="440" spans="1:39" s="566" customFormat="1" ht="13.5" hidden="1" thickBot="1">
      <c r="A440" s="626" t="s">
        <v>1029</v>
      </c>
      <c r="B440" s="627" t="s">
        <v>1348</v>
      </c>
      <c r="C440" s="634" t="s">
        <v>1449</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1616</v>
      </c>
      <c r="AM440" s="753">
        <f t="shared" si="27"/>
        <v>6</v>
      </c>
    </row>
    <row r="441" spans="1:39" s="566" customFormat="1" ht="13.5" hidden="1" thickBot="1">
      <c r="A441" s="626" t="s">
        <v>1030</v>
      </c>
      <c r="B441" s="627" t="s">
        <v>1349</v>
      </c>
      <c r="C441" s="634" t="s">
        <v>1450</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1616</v>
      </c>
      <c r="AM441" s="753">
        <f t="shared" si="27"/>
        <v>6</v>
      </c>
    </row>
    <row r="442" spans="1:39" s="566" customFormat="1" ht="13.5" hidden="1" thickBot="1">
      <c r="A442" s="626" t="s">
        <v>496</v>
      </c>
      <c r="B442" s="627" t="s">
        <v>1350</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3.5" hidden="1" thickBot="1">
      <c r="A443" s="626" t="s">
        <v>497</v>
      </c>
      <c r="B443" s="627" t="s">
        <v>1351</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1745</v>
      </c>
      <c r="AM443" s="753">
        <f t="shared" si="27"/>
        <v>18.04</v>
      </c>
    </row>
    <row r="444" spans="1:39" s="566" customFormat="1" ht="13.5" hidden="1" thickBot="1">
      <c r="A444" s="626" t="s">
        <v>498</v>
      </c>
      <c r="B444" s="627" t="s">
        <v>1352</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1745</v>
      </c>
      <c r="AM444" s="753">
        <f t="shared" si="27"/>
        <v>18.04</v>
      </c>
    </row>
    <row r="445" spans="1:39" s="566" customFormat="1" ht="13.5" hidden="1" thickBot="1">
      <c r="A445" s="626" t="s">
        <v>1031</v>
      </c>
      <c r="B445" s="627" t="s">
        <v>1353</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1454</v>
      </c>
      <c r="AM445" s="753">
        <f t="shared" si="27"/>
        <v>1</v>
      </c>
    </row>
    <row r="446" spans="1:39" s="566" customFormat="1" ht="13.5" hidden="1" thickBot="1">
      <c r="A446" s="626" t="s">
        <v>1032</v>
      </c>
      <c r="B446" s="627" t="s">
        <v>1354</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1454</v>
      </c>
      <c r="AM446" s="753">
        <f t="shared" si="27"/>
        <v>1</v>
      </c>
    </row>
    <row r="447" spans="1:39" s="566" customFormat="1" ht="13.5" hidden="1" thickBot="1">
      <c r="A447" s="626" t="s">
        <v>499</v>
      </c>
      <c r="B447" s="627" t="s">
        <v>1355</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3.5" hidden="1" thickBot="1">
      <c r="A448" s="626" t="s">
        <v>500</v>
      </c>
      <c r="B448" s="627" t="s">
        <v>1351</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1746</v>
      </c>
      <c r="AM448" s="753">
        <f t="shared" si="27"/>
        <v>10.08</v>
      </c>
    </row>
    <row r="449" spans="1:39" s="566" customFormat="1" ht="13.5" hidden="1" thickBot="1">
      <c r="A449" s="626" t="s">
        <v>501</v>
      </c>
      <c r="B449" s="627" t="s">
        <v>1352</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1746</v>
      </c>
      <c r="AM449" s="753">
        <f t="shared" si="27"/>
        <v>10.08</v>
      </c>
    </row>
    <row r="450" spans="1:39" s="566" customFormat="1" ht="13.5" hidden="1" thickBot="1">
      <c r="A450" s="626" t="s">
        <v>502</v>
      </c>
      <c r="B450" s="627" t="s">
        <v>1356</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1747</v>
      </c>
      <c r="AM450" s="753">
        <f t="shared" si="27"/>
        <v>5.04</v>
      </c>
    </row>
    <row r="451" spans="1:39" s="566" customFormat="1" ht="13.5" hidden="1" thickBot="1">
      <c r="A451" s="626" t="s">
        <v>503</v>
      </c>
      <c r="B451" s="627" t="s">
        <v>1357</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1454</v>
      </c>
      <c r="AM451" s="753">
        <f t="shared" si="27"/>
        <v>1</v>
      </c>
    </row>
    <row r="452" spans="1:39" s="566" customFormat="1" ht="13.5" hidden="1" thickBot="1">
      <c r="A452" s="626" t="s">
        <v>1033</v>
      </c>
      <c r="B452" s="627" t="s">
        <v>1358</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1601</v>
      </c>
      <c r="AM452" s="753">
        <f t="shared" si="27"/>
        <v>24</v>
      </c>
    </row>
    <row r="453" spans="1:39" s="566" customFormat="1" ht="13.5" hidden="1" thickBot="1">
      <c r="A453" s="626" t="s">
        <v>504</v>
      </c>
      <c r="B453" s="627" t="s">
        <v>1359</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3.5" hidden="1" thickBot="1">
      <c r="A454" s="626" t="s">
        <v>505</v>
      </c>
      <c r="B454" s="627" t="s">
        <v>1360</v>
      </c>
      <c r="C454" s="634" t="s">
        <v>1451</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1492</v>
      </c>
      <c r="AM454" s="753">
        <f t="shared" si="27"/>
        <v>15</v>
      </c>
    </row>
    <row r="455" spans="1:39" s="566" customFormat="1" ht="13.5" hidden="1" thickBot="1">
      <c r="A455" s="626" t="s">
        <v>506</v>
      </c>
      <c r="B455" s="627" t="s">
        <v>1361</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1748</v>
      </c>
      <c r="AM455" s="753">
        <f t="shared" si="27"/>
        <v>31.6</v>
      </c>
    </row>
    <row r="456" spans="1:39" s="566" customFormat="1" ht="13.5" hidden="1" thickBot="1">
      <c r="A456" s="626" t="s">
        <v>507</v>
      </c>
      <c r="B456" s="627" t="s">
        <v>1362</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1749</v>
      </c>
      <c r="AM456" s="753">
        <f t="shared" si="27"/>
        <v>46.35</v>
      </c>
    </row>
    <row r="457" spans="1:39" s="566" customFormat="1" ht="13.5" hidden="1" thickBot="1">
      <c r="A457" s="626" t="s">
        <v>1034</v>
      </c>
      <c r="B457" s="627" t="s">
        <v>1363</v>
      </c>
      <c r="C457" s="634" t="s">
        <v>1449</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1616</v>
      </c>
      <c r="AM457" s="753">
        <f t="shared" si="27"/>
        <v>6</v>
      </c>
    </row>
    <row r="458" spans="1:39" s="566" customFormat="1" ht="13.5" hidden="1" thickBot="1">
      <c r="A458" s="626" t="s">
        <v>1035</v>
      </c>
      <c r="B458" s="627" t="s">
        <v>1364</v>
      </c>
      <c r="C458" s="634" t="s">
        <v>1450</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1454</v>
      </c>
      <c r="AM458" s="753">
        <f t="shared" si="27"/>
        <v>1</v>
      </c>
    </row>
    <row r="459" spans="1:39" s="566" customFormat="1" ht="13.5" hidden="1" thickBot="1">
      <c r="A459" s="626" t="s">
        <v>1036</v>
      </c>
      <c r="B459" s="627" t="s">
        <v>1365</v>
      </c>
      <c r="C459" s="634" t="s">
        <v>1449</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1697</v>
      </c>
      <c r="AM459" s="753">
        <f t="shared" si="27"/>
        <v>2</v>
      </c>
    </row>
    <row r="460" spans="1:39" s="566" customFormat="1" ht="13.5" hidden="1" thickBot="1">
      <c r="A460" s="626" t="s">
        <v>1037</v>
      </c>
      <c r="B460" s="627" t="s">
        <v>1366</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3.5" hidden="1" thickBot="1">
      <c r="A461" s="626" t="s">
        <v>508</v>
      </c>
      <c r="B461" s="627" t="s">
        <v>1367</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1454</v>
      </c>
      <c r="AM461" s="753">
        <f t="shared" si="27"/>
        <v>1</v>
      </c>
    </row>
    <row r="462" spans="1:39" s="566" customFormat="1" ht="13.5" hidden="1" thickBot="1">
      <c r="A462" s="626" t="s">
        <v>509</v>
      </c>
      <c r="B462" s="627" t="s">
        <v>1368</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1750</v>
      </c>
      <c r="AM462" s="753">
        <f t="shared" si="27"/>
        <v>77.95</v>
      </c>
    </row>
    <row r="463" spans="1:39" s="566" customFormat="1" ht="13.5" hidden="1" thickBot="1">
      <c r="A463" s="626" t="s">
        <v>1038</v>
      </c>
      <c r="B463" s="627" t="s">
        <v>1369</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3.5" hidden="1" thickBot="1">
      <c r="A464" s="626" t="s">
        <v>1039</v>
      </c>
      <c r="B464" s="627" t="s">
        <v>1370</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1751</v>
      </c>
      <c r="AM464" s="753">
        <f t="shared" si="27"/>
        <v>110.78</v>
      </c>
    </row>
    <row r="465" spans="1:39" s="566" customFormat="1" ht="13.5" hidden="1" thickBot="1">
      <c r="A465" s="626" t="s">
        <v>1040</v>
      </c>
      <c r="B465" s="627" t="s">
        <v>1371</v>
      </c>
      <c r="C465" s="634" t="s">
        <v>1449</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1752</v>
      </c>
      <c r="AM465" s="753">
        <f t="shared" si="27"/>
        <v>34</v>
      </c>
    </row>
    <row r="466" spans="1:39" s="566" customFormat="1" ht="13.5" hidden="1" thickBot="1">
      <c r="A466" s="626" t="s">
        <v>1041</v>
      </c>
      <c r="B466" s="627" t="s">
        <v>1372</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1753</v>
      </c>
      <c r="AM466" s="753">
        <f t="shared" si="27"/>
        <v>35.200000000000003</v>
      </c>
    </row>
    <row r="467" spans="1:39" s="566" customFormat="1" ht="13.5" hidden="1" thickBot="1">
      <c r="A467" s="626" t="s">
        <v>1042</v>
      </c>
      <c r="B467" s="627" t="s">
        <v>1373</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1754</v>
      </c>
      <c r="AM467" s="753">
        <f t="shared" si="27"/>
        <v>1.32</v>
      </c>
    </row>
    <row r="468" spans="1:39" s="566" customFormat="1" ht="13.5" hidden="1" thickBot="1">
      <c r="A468" s="626" t="s">
        <v>1043</v>
      </c>
      <c r="B468" s="627" t="s">
        <v>1374</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1755</v>
      </c>
      <c r="AM468" s="753">
        <f t="shared" si="27"/>
        <v>114.4</v>
      </c>
    </row>
    <row r="469" spans="1:39" s="566" customFormat="1" ht="13.5" hidden="1" thickBot="1">
      <c r="A469" s="626" t="s">
        <v>1044</v>
      </c>
      <c r="B469" s="627" t="s">
        <v>1375</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1756</v>
      </c>
      <c r="AM469" s="753">
        <f t="shared" si="27"/>
        <v>89.98</v>
      </c>
    </row>
    <row r="470" spans="1:39" s="566" customFormat="1" ht="13.5" hidden="1" thickBot="1">
      <c r="A470" s="626" t="s">
        <v>1045</v>
      </c>
      <c r="B470" s="627" t="s">
        <v>1376</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1757</v>
      </c>
      <c r="AM470" s="753">
        <f t="shared" ref="AM470:AM533" si="30">AL470-AK470</f>
        <v>33.78</v>
      </c>
    </row>
    <row r="471" spans="1:39" s="566" customFormat="1" ht="13.5" hidden="1" thickBot="1">
      <c r="A471" s="626" t="s">
        <v>1046</v>
      </c>
      <c r="B471" s="627" t="s">
        <v>1352</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1758</v>
      </c>
      <c r="AM471" s="753">
        <f t="shared" si="30"/>
        <v>18</v>
      </c>
    </row>
    <row r="472" spans="1:39" s="566" customFormat="1" ht="13.5" hidden="1" thickBot="1">
      <c r="A472" s="626" t="s">
        <v>1047</v>
      </c>
      <c r="B472" s="627" t="s">
        <v>1377</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1759</v>
      </c>
      <c r="AM472" s="753">
        <f t="shared" si="30"/>
        <v>56.2</v>
      </c>
    </row>
    <row r="473" spans="1:39" s="566" customFormat="1" ht="13.5" hidden="1" thickBot="1">
      <c r="A473" s="626" t="s">
        <v>1048</v>
      </c>
      <c r="B473" s="627" t="s">
        <v>1378</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1759</v>
      </c>
      <c r="AM473" s="753">
        <f t="shared" si="30"/>
        <v>56.2</v>
      </c>
    </row>
    <row r="474" spans="1:39" s="566" customFormat="1" ht="13.5" hidden="1" thickBot="1">
      <c r="A474" s="626" t="s">
        <v>1049</v>
      </c>
      <c r="B474" s="627" t="s">
        <v>1379</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1760</v>
      </c>
      <c r="AM474" s="753">
        <f t="shared" si="30"/>
        <v>59.01</v>
      </c>
    </row>
    <row r="475" spans="1:39" s="566" customFormat="1" ht="13.5" hidden="1" thickBot="1">
      <c r="A475" s="626" t="s">
        <v>1050</v>
      </c>
      <c r="B475" s="627" t="s">
        <v>1380</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1761</v>
      </c>
      <c r="AM475" s="753">
        <f t="shared" si="30"/>
        <v>36.119999999999997</v>
      </c>
    </row>
    <row r="476" spans="1:39" s="566" customFormat="1" ht="13.5" hidden="1" thickBot="1">
      <c r="A476" s="626" t="s">
        <v>1051</v>
      </c>
      <c r="B476" s="627" t="s">
        <v>1381</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1669</v>
      </c>
      <c r="AM476" s="753">
        <f t="shared" si="30"/>
        <v>20</v>
      </c>
    </row>
    <row r="477" spans="1:39" s="566" customFormat="1" ht="13.5" hidden="1" thickBot="1">
      <c r="A477" s="626" t="s">
        <v>510</v>
      </c>
      <c r="B477" s="627" t="s">
        <v>1382</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3.5" hidden="1" thickBot="1">
      <c r="A478" s="626" t="s">
        <v>511</v>
      </c>
      <c r="B478" s="627" t="s">
        <v>1383</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3.5" hidden="1" thickBot="1">
      <c r="A479" s="626" t="s">
        <v>1052</v>
      </c>
      <c r="B479" s="627" t="s">
        <v>1384</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3.5" hidden="1" thickBot="1">
      <c r="A480" s="626" t="s">
        <v>1053</v>
      </c>
      <c r="B480" s="627" t="s">
        <v>1385</v>
      </c>
      <c r="C480" s="634" t="s">
        <v>1452</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1454</v>
      </c>
      <c r="AM480" s="753">
        <f t="shared" si="30"/>
        <v>1</v>
      </c>
    </row>
    <row r="481" spans="1:39" s="566" customFormat="1" ht="13.5" hidden="1" thickBot="1">
      <c r="A481" s="626" t="s">
        <v>1054</v>
      </c>
      <c r="B481" s="627" t="s">
        <v>1386</v>
      </c>
      <c r="C481" s="634" t="s">
        <v>1452</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1454</v>
      </c>
      <c r="AM481" s="753">
        <f t="shared" si="30"/>
        <v>1</v>
      </c>
    </row>
    <row r="482" spans="1:39" s="566" customFormat="1" ht="13.5" hidden="1" thickBot="1">
      <c r="A482" s="626" t="s">
        <v>1055</v>
      </c>
      <c r="B482" s="627" t="s">
        <v>1387</v>
      </c>
      <c r="C482" s="634" t="s">
        <v>1452</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1454</v>
      </c>
      <c r="AM482" s="753">
        <f t="shared" si="30"/>
        <v>1</v>
      </c>
    </row>
    <row r="483" spans="1:39" s="566" customFormat="1" ht="13.5" hidden="1" thickBot="1">
      <c r="A483" s="626" t="s">
        <v>1056</v>
      </c>
      <c r="B483" s="627" t="s">
        <v>1388</v>
      </c>
      <c r="C483" s="634" t="s">
        <v>1452</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1454</v>
      </c>
      <c r="AM483" s="753">
        <f t="shared" si="30"/>
        <v>1</v>
      </c>
    </row>
    <row r="484" spans="1:39" s="566" customFormat="1" ht="13.5" hidden="1" thickBot="1">
      <c r="A484" s="626" t="s">
        <v>1057</v>
      </c>
      <c r="B484" s="627" t="s">
        <v>1389</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3.5" hidden="1" thickBot="1">
      <c r="A485" s="626" t="s">
        <v>1058</v>
      </c>
      <c r="B485" s="627" t="s">
        <v>1389</v>
      </c>
      <c r="C485" s="634" t="s">
        <v>1451</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1762</v>
      </c>
      <c r="AM485" s="753">
        <f t="shared" si="30"/>
        <v>43</v>
      </c>
    </row>
    <row r="486" spans="1:39" s="566" customFormat="1" ht="13.5" hidden="1" thickBot="1">
      <c r="A486" s="626" t="s">
        <v>1059</v>
      </c>
      <c r="B486" s="627" t="s">
        <v>1390</v>
      </c>
      <c r="C486" s="634" t="s">
        <v>1451</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1763</v>
      </c>
      <c r="AM486" s="753">
        <f t="shared" si="30"/>
        <v>7</v>
      </c>
    </row>
    <row r="487" spans="1:39" s="566" customFormat="1" ht="13.5" hidden="1" thickBot="1">
      <c r="A487" s="626" t="s">
        <v>1060</v>
      </c>
      <c r="B487" s="627" t="s">
        <v>1391</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3.5" hidden="1" thickBot="1">
      <c r="A488" s="626" t="s">
        <v>1061</v>
      </c>
      <c r="B488" s="627" t="s">
        <v>1392</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1764</v>
      </c>
      <c r="AM488" s="753">
        <f t="shared" si="30"/>
        <v>17</v>
      </c>
    </row>
    <row r="489" spans="1:39" s="566" customFormat="1" ht="13.5" hidden="1" thickBot="1">
      <c r="A489" s="626" t="s">
        <v>1062</v>
      </c>
      <c r="B489" s="627" t="s">
        <v>1393</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1765</v>
      </c>
      <c r="AM489" s="753">
        <f t="shared" si="30"/>
        <v>23</v>
      </c>
    </row>
    <row r="490" spans="1:39" s="566" customFormat="1" ht="13.5" hidden="1" thickBot="1">
      <c r="A490" s="626" t="s">
        <v>1063</v>
      </c>
      <c r="B490" s="627" t="s">
        <v>1394</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1697</v>
      </c>
      <c r="AM490" s="753">
        <f t="shared" si="30"/>
        <v>2</v>
      </c>
    </row>
    <row r="491" spans="1:39" s="566" customFormat="1" ht="13.5" hidden="1" thickBot="1">
      <c r="A491" s="626" t="s">
        <v>1064</v>
      </c>
      <c r="B491" s="627" t="s">
        <v>1395</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1454</v>
      </c>
      <c r="AM491" s="753">
        <f t="shared" si="30"/>
        <v>1</v>
      </c>
    </row>
    <row r="492" spans="1:39" s="566" customFormat="1" ht="13.5" hidden="1" thickBot="1">
      <c r="A492" s="626" t="s">
        <v>1065</v>
      </c>
      <c r="B492" s="627" t="s">
        <v>1396</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1763</v>
      </c>
      <c r="AM492" s="753">
        <f t="shared" si="30"/>
        <v>7</v>
      </c>
    </row>
    <row r="493" spans="1:39" s="566" customFormat="1" ht="13.5" hidden="1" thickBot="1">
      <c r="A493" s="626" t="s">
        <v>1066</v>
      </c>
      <c r="B493" s="627" t="s">
        <v>1397</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3.5" hidden="1" thickBot="1">
      <c r="A494" s="626" t="s">
        <v>1067</v>
      </c>
      <c r="B494" s="627" t="s">
        <v>1398</v>
      </c>
      <c r="C494" s="634" t="s">
        <v>1451</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1488</v>
      </c>
      <c r="AM494" s="753">
        <f t="shared" si="30"/>
        <v>16</v>
      </c>
    </row>
    <row r="495" spans="1:39" s="566" customFormat="1" ht="13.5" hidden="1" thickBot="1">
      <c r="A495" s="626" t="s">
        <v>1068</v>
      </c>
      <c r="B495" s="627" t="s">
        <v>1399</v>
      </c>
      <c r="C495" s="634" t="s">
        <v>1451</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1697</v>
      </c>
      <c r="AM495" s="753">
        <f t="shared" si="30"/>
        <v>2</v>
      </c>
    </row>
    <row r="496" spans="1:39" s="566" customFormat="1" ht="13.5" hidden="1" thickBot="1">
      <c r="A496" s="626" t="s">
        <v>1069</v>
      </c>
      <c r="B496" s="627" t="s">
        <v>1400</v>
      </c>
      <c r="C496" s="634" t="s">
        <v>1451</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1697</v>
      </c>
      <c r="AM496" s="753">
        <f t="shared" si="30"/>
        <v>2</v>
      </c>
    </row>
    <row r="497" spans="1:39" s="566" customFormat="1" ht="13.5" hidden="1" thickBot="1">
      <c r="A497" s="626" t="s">
        <v>1070</v>
      </c>
      <c r="B497" s="627" t="s">
        <v>1401</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3.5" hidden="1" thickBot="1">
      <c r="A498" s="626" t="s">
        <v>1071</v>
      </c>
      <c r="B498" s="627" t="s">
        <v>1402</v>
      </c>
      <c r="C498" s="634" t="s">
        <v>1451</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1766</v>
      </c>
      <c r="AM498" s="753">
        <f t="shared" si="30"/>
        <v>14</v>
      </c>
    </row>
    <row r="499" spans="1:39" s="566" customFormat="1" ht="13.5" hidden="1" thickBot="1">
      <c r="A499" s="626" t="s">
        <v>1072</v>
      </c>
      <c r="B499" s="627" t="s">
        <v>1403</v>
      </c>
      <c r="C499" s="634" t="s">
        <v>1451</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1454</v>
      </c>
      <c r="AM499" s="753">
        <f t="shared" si="30"/>
        <v>1</v>
      </c>
    </row>
    <row r="500" spans="1:39" s="566" customFormat="1" ht="13.5" hidden="1" thickBot="1">
      <c r="A500" s="626" t="s">
        <v>1073</v>
      </c>
      <c r="B500" s="627" t="s">
        <v>1404</v>
      </c>
      <c r="C500" s="634" t="s">
        <v>1451</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1617</v>
      </c>
      <c r="AM500" s="753">
        <f t="shared" si="30"/>
        <v>3</v>
      </c>
    </row>
    <row r="501" spans="1:39" s="566" customFormat="1" ht="13.5" hidden="1" thickBot="1">
      <c r="A501" s="626" t="s">
        <v>1074</v>
      </c>
      <c r="B501" s="627" t="s">
        <v>1405</v>
      </c>
      <c r="C501" s="634" t="s">
        <v>1451</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1640</v>
      </c>
      <c r="AM501" s="753">
        <f t="shared" si="30"/>
        <v>9</v>
      </c>
    </row>
    <row r="502" spans="1:39" s="566" customFormat="1" ht="13.5" hidden="1" thickBot="1">
      <c r="A502" s="626" t="s">
        <v>1075</v>
      </c>
      <c r="B502" s="627" t="s">
        <v>1406</v>
      </c>
      <c r="C502" s="634" t="s">
        <v>1451</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1454</v>
      </c>
      <c r="AM502" s="753">
        <f t="shared" si="30"/>
        <v>1</v>
      </c>
    </row>
    <row r="503" spans="1:39" s="566" customFormat="1" ht="13.5" hidden="1" thickBot="1">
      <c r="A503" s="626" t="s">
        <v>1076</v>
      </c>
      <c r="B503" s="627" t="s">
        <v>1407</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3.5" hidden="1" thickBot="1">
      <c r="A504" s="626" t="s">
        <v>1077</v>
      </c>
      <c r="B504" s="627" t="s">
        <v>1408</v>
      </c>
      <c r="C504" s="634" t="s">
        <v>1451</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1454</v>
      </c>
      <c r="AM504" s="753">
        <f t="shared" si="30"/>
        <v>1</v>
      </c>
    </row>
    <row r="505" spans="1:39" s="566" customFormat="1" ht="13.5" hidden="1" thickBot="1">
      <c r="A505" s="626" t="s">
        <v>1078</v>
      </c>
      <c r="B505" s="627" t="s">
        <v>1409</v>
      </c>
      <c r="C505" s="634" t="s">
        <v>1451</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1454</v>
      </c>
      <c r="AM505" s="753">
        <f t="shared" si="30"/>
        <v>1</v>
      </c>
    </row>
    <row r="506" spans="1:39" s="566" customFormat="1" ht="13.5" hidden="1" thickBot="1">
      <c r="A506" s="626" t="s">
        <v>1079</v>
      </c>
      <c r="B506" s="627" t="s">
        <v>1410</v>
      </c>
      <c r="C506" s="634" t="s">
        <v>1451</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1725</v>
      </c>
      <c r="AM506" s="753">
        <f t="shared" si="30"/>
        <v>11</v>
      </c>
    </row>
    <row r="507" spans="1:39" s="566" customFormat="1" ht="13.5" hidden="1" thickBot="1">
      <c r="A507" s="626" t="s">
        <v>1080</v>
      </c>
      <c r="B507" s="627" t="s">
        <v>1411</v>
      </c>
      <c r="C507" s="634" t="s">
        <v>1451</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1697</v>
      </c>
      <c r="AM507" s="753">
        <f t="shared" si="30"/>
        <v>2</v>
      </c>
    </row>
    <row r="508" spans="1:39" s="566" customFormat="1" ht="13.5" hidden="1" thickBot="1">
      <c r="A508" s="626" t="s">
        <v>1081</v>
      </c>
      <c r="B508" s="627" t="s">
        <v>1412</v>
      </c>
      <c r="C508" s="634" t="s">
        <v>1451</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1697</v>
      </c>
      <c r="AM508" s="753">
        <f t="shared" si="30"/>
        <v>2</v>
      </c>
    </row>
    <row r="509" spans="1:39" s="566" customFormat="1" ht="13.5" hidden="1" thickBot="1">
      <c r="A509" s="626" t="s">
        <v>1082</v>
      </c>
      <c r="B509" s="627" t="s">
        <v>1413</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3.5" hidden="1" thickBot="1">
      <c r="A510" s="626" t="s">
        <v>1083</v>
      </c>
      <c r="B510" s="627" t="s">
        <v>1414</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1454</v>
      </c>
      <c r="AM510" s="753">
        <f t="shared" si="30"/>
        <v>1</v>
      </c>
    </row>
    <row r="511" spans="1:39" s="566" customFormat="1" ht="13.5" hidden="1" thickBot="1">
      <c r="A511" s="626" t="s">
        <v>1084</v>
      </c>
      <c r="B511" s="627" t="s">
        <v>1415</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3.5" hidden="1" thickBot="1">
      <c r="A512" s="626" t="s">
        <v>1085</v>
      </c>
      <c r="B512" s="627" t="s">
        <v>1416</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1454</v>
      </c>
      <c r="AM512" s="753">
        <f t="shared" si="30"/>
        <v>1</v>
      </c>
    </row>
    <row r="513" spans="1:39" s="566" customFormat="1" ht="13.5" hidden="1" thickBot="1">
      <c r="A513" s="626" t="s">
        <v>512</v>
      </c>
      <c r="B513" s="627" t="s">
        <v>1417</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3.5" hidden="1" thickBot="1">
      <c r="A514" s="626" t="s">
        <v>1086</v>
      </c>
      <c r="B514" s="627" t="s">
        <v>1418</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3.5" hidden="1" thickBot="1">
      <c r="A515" s="626" t="s">
        <v>1087</v>
      </c>
      <c r="B515" s="627" t="s">
        <v>1419</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1767</v>
      </c>
      <c r="AM515" s="753">
        <f t="shared" si="30"/>
        <v>29</v>
      </c>
    </row>
    <row r="516" spans="1:39" s="566" customFormat="1" ht="13.5" hidden="1" thickBot="1">
      <c r="A516" s="626" t="s">
        <v>1088</v>
      </c>
      <c r="B516" s="627" t="s">
        <v>1420</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3.5" hidden="1" thickBot="1">
      <c r="A517" s="626" t="s">
        <v>1089</v>
      </c>
      <c r="B517" s="627" t="s">
        <v>1421</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1735</v>
      </c>
      <c r="AM517" s="753">
        <f t="shared" si="30"/>
        <v>64</v>
      </c>
    </row>
    <row r="518" spans="1:39" s="566" customFormat="1" ht="13.5" hidden="1" thickBot="1">
      <c r="A518" s="626" t="s">
        <v>1090</v>
      </c>
      <c r="B518" s="627" t="s">
        <v>1422</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3.5" hidden="1" thickBot="1">
      <c r="A519" s="626" t="s">
        <v>1091</v>
      </c>
      <c r="B519" s="627" t="s">
        <v>1423</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1735</v>
      </c>
      <c r="AM519" s="753">
        <f t="shared" si="30"/>
        <v>64</v>
      </c>
    </row>
    <row r="520" spans="1:39" s="566" customFormat="1" ht="13.5" hidden="1" thickBot="1">
      <c r="A520" s="626" t="s">
        <v>1092</v>
      </c>
      <c r="B520" s="627" t="s">
        <v>1424</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3.5" hidden="1" thickBot="1">
      <c r="A521" s="626" t="s">
        <v>1093</v>
      </c>
      <c r="B521" s="627" t="s">
        <v>1425</v>
      </c>
      <c r="C521" s="634" t="s">
        <v>1451</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1616</v>
      </c>
      <c r="AM521" s="753">
        <f t="shared" si="30"/>
        <v>6</v>
      </c>
    </row>
    <row r="522" spans="1:39" s="566" customFormat="1" ht="13.5" hidden="1" thickBot="1">
      <c r="A522" s="626" t="s">
        <v>1094</v>
      </c>
      <c r="B522" s="627" t="s">
        <v>1391</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3.5" hidden="1" thickBot="1">
      <c r="A523" s="626" t="s">
        <v>1095</v>
      </c>
      <c r="B523" s="627" t="s">
        <v>1426</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1616</v>
      </c>
      <c r="AM523" s="753">
        <f t="shared" si="30"/>
        <v>6</v>
      </c>
    </row>
    <row r="524" spans="1:39" s="566" customFormat="1" ht="13.5" hidden="1" thickBot="1">
      <c r="A524" s="626" t="s">
        <v>1096</v>
      </c>
      <c r="B524" s="627" t="s">
        <v>1427</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3.5" hidden="1" thickBot="1">
      <c r="A525" s="626" t="s">
        <v>1097</v>
      </c>
      <c r="B525" s="627" t="s">
        <v>1418</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3.5" hidden="1" thickBot="1">
      <c r="A526" s="626" t="s">
        <v>1098</v>
      </c>
      <c r="B526" s="627" t="s">
        <v>1419</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1768</v>
      </c>
      <c r="AM526" s="753">
        <f t="shared" si="30"/>
        <v>56</v>
      </c>
    </row>
    <row r="527" spans="1:39" s="566" customFormat="1" ht="13.5" hidden="1" thickBot="1">
      <c r="A527" s="626" t="s">
        <v>1099</v>
      </c>
      <c r="B527" s="627" t="s">
        <v>1420</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3.5" hidden="1" thickBot="1">
      <c r="A528" s="626" t="s">
        <v>1100</v>
      </c>
      <c r="B528" s="627" t="s">
        <v>1428</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1769</v>
      </c>
      <c r="AM528" s="753">
        <f t="shared" si="30"/>
        <v>80</v>
      </c>
    </row>
    <row r="529" spans="1:39" s="566" customFormat="1" ht="13.5" hidden="1" thickBot="1">
      <c r="A529" s="626" t="s">
        <v>1101</v>
      </c>
      <c r="B529" s="627" t="s">
        <v>1422</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3.5" hidden="1" thickBot="1">
      <c r="A530" s="626" t="s">
        <v>1102</v>
      </c>
      <c r="B530" s="627" t="s">
        <v>1429</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1768</v>
      </c>
      <c r="AM530" s="753">
        <f t="shared" si="30"/>
        <v>56</v>
      </c>
    </row>
    <row r="531" spans="1:39" s="566" customFormat="1" ht="13.5" hidden="1" thickBot="1">
      <c r="A531" s="626" t="s">
        <v>1103</v>
      </c>
      <c r="B531" s="627" t="s">
        <v>1430</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3.5" hidden="1" thickBot="1">
      <c r="A532" s="626" t="s">
        <v>1104</v>
      </c>
      <c r="B532" s="627" t="s">
        <v>1431</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1616</v>
      </c>
      <c r="AM532" s="753">
        <f t="shared" si="30"/>
        <v>6</v>
      </c>
    </row>
    <row r="533" spans="1:39" s="566" customFormat="1" ht="13.5" hidden="1" thickBot="1">
      <c r="A533" s="626" t="s">
        <v>1105</v>
      </c>
      <c r="B533" s="627" t="s">
        <v>1432</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3.5" hidden="1" thickBot="1">
      <c r="A534" s="626" t="s">
        <v>1106</v>
      </c>
      <c r="B534" s="627" t="s">
        <v>1433</v>
      </c>
      <c r="C534" s="634" t="s">
        <v>1451</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1616</v>
      </c>
      <c r="AM534" s="753">
        <f t="shared" ref="AM534:AM558" si="33">AL534-AK534</f>
        <v>6</v>
      </c>
    </row>
    <row r="535" spans="1:39" s="566" customFormat="1" ht="13.5" hidden="1" thickBot="1">
      <c r="A535" s="626" t="s">
        <v>1107</v>
      </c>
      <c r="B535" s="627" t="s">
        <v>1415</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3.5" hidden="1" thickBot="1">
      <c r="A536" s="626" t="s">
        <v>1108</v>
      </c>
      <c r="B536" s="627" t="s">
        <v>1434</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1616</v>
      </c>
      <c r="AM536" s="753">
        <f t="shared" si="33"/>
        <v>6</v>
      </c>
    </row>
    <row r="537" spans="1:39" s="566" customFormat="1" ht="13.5" hidden="1" thickBot="1">
      <c r="A537" s="626" t="s">
        <v>1109</v>
      </c>
      <c r="B537" s="627" t="s">
        <v>1424</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3.5" hidden="1" thickBot="1">
      <c r="A538" s="626" t="s">
        <v>1110</v>
      </c>
      <c r="B538" s="627" t="s">
        <v>1435</v>
      </c>
      <c r="C538" s="634" t="s">
        <v>1451</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1616</v>
      </c>
      <c r="AM538" s="753">
        <f t="shared" si="33"/>
        <v>6</v>
      </c>
    </row>
    <row r="539" spans="1:39" s="566" customFormat="1" ht="13.5" hidden="1" thickBot="1">
      <c r="A539" s="626" t="s">
        <v>1111</v>
      </c>
      <c r="B539" s="627" t="s">
        <v>1391</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3.5" hidden="1" thickBot="1">
      <c r="A540" s="626" t="s">
        <v>1112</v>
      </c>
      <c r="B540" s="627" t="s">
        <v>1436</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1616</v>
      </c>
      <c r="AM540" s="753">
        <f t="shared" si="33"/>
        <v>6</v>
      </c>
    </row>
    <row r="541" spans="1:39" s="566" customFormat="1" ht="13.5" hidden="1" thickBot="1">
      <c r="A541" s="626" t="s">
        <v>1113</v>
      </c>
      <c r="B541" s="627" t="s">
        <v>1437</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3.5" hidden="1" thickBot="1">
      <c r="A542" s="626" t="s">
        <v>1114</v>
      </c>
      <c r="B542" s="627" t="s">
        <v>1438</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3.5" hidden="1" thickBot="1">
      <c r="A543" s="626" t="s">
        <v>1115</v>
      </c>
      <c r="B543" s="627" t="s">
        <v>1439</v>
      </c>
      <c r="C543" s="634" t="s">
        <v>1452</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1454</v>
      </c>
      <c r="AM543" s="753">
        <f t="shared" si="33"/>
        <v>1</v>
      </c>
    </row>
    <row r="544" spans="1:39" s="566" customFormat="1" ht="13.5" hidden="1" thickBot="1">
      <c r="A544" s="626" t="s">
        <v>1116</v>
      </c>
      <c r="B544" s="627" t="s">
        <v>1440</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3.5" hidden="1" thickBot="1">
      <c r="A545" s="626" t="s">
        <v>1117</v>
      </c>
      <c r="B545" s="627" t="s">
        <v>1441</v>
      </c>
      <c r="C545" s="634" t="s">
        <v>1453</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1697</v>
      </c>
      <c r="AM545" s="753">
        <f t="shared" si="33"/>
        <v>2</v>
      </c>
    </row>
    <row r="546" spans="1:39" s="566" customFormat="1" ht="13.5" hidden="1" thickBot="1">
      <c r="A546" s="626" t="s">
        <v>1118</v>
      </c>
      <c r="B546" s="627" t="s">
        <v>1418</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3.5" hidden="1" thickBot="1">
      <c r="A547" s="626" t="s">
        <v>1119</v>
      </c>
      <c r="B547" s="627" t="s">
        <v>1419</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1770</v>
      </c>
      <c r="AM547" s="753">
        <f t="shared" si="33"/>
        <v>90</v>
      </c>
    </row>
    <row r="548" spans="1:39" s="566" customFormat="1" ht="13.5" hidden="1" thickBot="1">
      <c r="A548" s="626" t="s">
        <v>1120</v>
      </c>
      <c r="B548" s="627" t="s">
        <v>1420</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3.5" hidden="1" thickBot="1">
      <c r="A549" s="626" t="s">
        <v>1121</v>
      </c>
      <c r="B549" s="627" t="s">
        <v>1442</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3.5" hidden="1" thickBot="1">
      <c r="A550" s="626" t="s">
        <v>1122</v>
      </c>
      <c r="B550" s="627" t="s">
        <v>1443</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3.5" hidden="1" thickBot="1">
      <c r="A551" s="626" t="s">
        <v>1123</v>
      </c>
      <c r="B551" s="627" t="s">
        <v>1422</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3.5" hidden="1" thickBot="1">
      <c r="A552" s="626" t="s">
        <v>1124</v>
      </c>
      <c r="B552" s="627" t="s">
        <v>1444</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3.5" hidden="1" thickBot="1">
      <c r="A553" s="626" t="s">
        <v>1125</v>
      </c>
      <c r="B553" s="627" t="s">
        <v>1415</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3.5" hidden="1" thickBot="1">
      <c r="A554" s="626" t="s">
        <v>1126</v>
      </c>
      <c r="B554" s="627" t="s">
        <v>1416</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3.5" hidden="1" thickBot="1">
      <c r="A555" s="626" t="s">
        <v>1127</v>
      </c>
      <c r="B555" s="627" t="s">
        <v>1445</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3.5" hidden="1" thickBot="1">
      <c r="A556" s="626" t="s">
        <v>1128</v>
      </c>
      <c r="B556" s="627" t="s">
        <v>1446</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3.5" hidden="1" thickBot="1">
      <c r="A557" s="626" t="s">
        <v>1129</v>
      </c>
      <c r="B557" s="627" t="s">
        <v>1447</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3.5" hidden="1" thickBot="1">
      <c r="A558" s="626" t="s">
        <v>1130</v>
      </c>
      <c r="B558" s="627" t="s">
        <v>1448</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5" thickBot="1">
      <c r="B559" s="871" t="s">
        <v>257</v>
      </c>
    </row>
    <row r="560" spans="1:39">
      <c r="A560" s="809" t="s">
        <v>33</v>
      </c>
      <c r="B560" s="810" t="s">
        <v>1131</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c r="A562" s="814" t="s">
        <v>542</v>
      </c>
      <c r="B562" s="743" t="s">
        <v>1139</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5" thickBot="1"/>
    <row r="564" spans="1:35">
      <c r="A564" s="872" t="s">
        <v>513</v>
      </c>
      <c r="B564" s="873" t="s">
        <v>1803</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514</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c r="A566" s="610" t="s">
        <v>1804</v>
      </c>
      <c r="B566" s="326" t="s">
        <v>1819</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c r="A567" s="610" t="s">
        <v>1926</v>
      </c>
      <c r="B567" s="846" t="s">
        <v>1932</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c r="A568" s="610" t="s">
        <v>1929</v>
      </c>
      <c r="B568" s="846" t="s">
        <v>1934</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c r="A569" s="610" t="s">
        <v>1930</v>
      </c>
      <c r="B569" s="846" t="s">
        <v>1936</v>
      </c>
      <c r="C569" s="840" t="s">
        <v>1935</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c r="A570" s="610" t="s">
        <v>1931</v>
      </c>
      <c r="B570" s="846" t="s">
        <v>1927</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c r="A571" s="610" t="s">
        <v>1937</v>
      </c>
      <c r="B571" s="846" t="s">
        <v>1941</v>
      </c>
      <c r="C571" s="841" t="s">
        <v>1940</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c r="A572" s="610" t="s">
        <v>1938</v>
      </c>
      <c r="B572" s="846" t="s">
        <v>1942</v>
      </c>
      <c r="C572" s="841" t="s">
        <v>1940</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c r="A573" s="610" t="s">
        <v>1939</v>
      </c>
      <c r="B573" s="846" t="s">
        <v>1943</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c r="A574" s="862"/>
      <c r="B574" s="846" t="s">
        <v>1201</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c r="A575" s="854"/>
      <c r="B575" s="846" t="s">
        <v>1946</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c r="A576" s="854"/>
      <c r="B576" s="846" t="s">
        <v>1947</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c r="A577" s="854"/>
      <c r="B577" s="846" t="s">
        <v>1208</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c r="A578" s="854"/>
      <c r="B578" s="846" t="s">
        <v>1946</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c r="A579" s="854"/>
      <c r="B579" s="846" t="s">
        <v>1947</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c r="A580" s="854"/>
      <c r="B580" s="616" t="s">
        <v>1210</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c r="A581" s="854"/>
      <c r="B581" s="846" t="s">
        <v>1946</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c r="A582" s="854"/>
      <c r="B582" s="846" t="s">
        <v>1947</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2578125" defaultRowHeight="12.75"/>
  <cols>
    <col min="1" max="1" width="10.42578125" style="624" customWidth="1"/>
    <col min="2" max="2" width="99.425781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2578125" style="856" customWidth="1"/>
    <col min="32" max="32" width="7" style="564" customWidth="1"/>
    <col min="33" max="33" width="7" style="850" customWidth="1"/>
    <col min="34" max="34" width="7" style="564"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571" t="s">
        <v>283</v>
      </c>
      <c r="B1" s="2571"/>
      <c r="C1" s="2571"/>
      <c r="D1" s="2571"/>
      <c r="E1" s="2571"/>
      <c r="F1" s="2571"/>
      <c r="G1" s="2571"/>
      <c r="H1" s="2571"/>
      <c r="I1" s="2571"/>
      <c r="J1" s="2571"/>
      <c r="K1" s="2571"/>
      <c r="L1" s="2571"/>
      <c r="M1" s="2571"/>
      <c r="N1" s="2571"/>
      <c r="O1" s="2571"/>
      <c r="P1" s="2571"/>
      <c r="Q1" s="2571"/>
      <c r="R1" s="2571"/>
      <c r="S1" s="2571"/>
      <c r="T1" s="2571"/>
      <c r="U1" s="2571"/>
      <c r="V1" s="2571"/>
      <c r="W1" s="2571"/>
      <c r="X1" s="2571"/>
    </row>
    <row r="2" spans="1:43">
      <c r="A2" s="2572" t="s">
        <v>1802</v>
      </c>
      <c r="B2" s="2572"/>
      <c r="C2" s="2572"/>
      <c r="D2" s="2572"/>
      <c r="E2" s="2572"/>
      <c r="F2" s="2572"/>
      <c r="G2" s="2572"/>
      <c r="H2" s="2572"/>
      <c r="I2" s="2572"/>
      <c r="J2" s="2572"/>
      <c r="K2" s="2572"/>
      <c r="L2" s="2572"/>
      <c r="M2" s="2572"/>
      <c r="N2" s="2572"/>
      <c r="O2" s="2572"/>
      <c r="P2" s="2572"/>
      <c r="Q2" s="2572"/>
      <c r="R2" s="2572"/>
      <c r="S2" s="2572"/>
      <c r="T2" s="2572"/>
      <c r="U2" s="2572"/>
      <c r="V2" s="2572"/>
      <c r="W2" s="2572"/>
      <c r="X2" s="2572"/>
    </row>
    <row r="3" spans="1:43">
      <c r="A3" s="621"/>
    </row>
    <row r="4" spans="1:43">
      <c r="A4" s="623"/>
      <c r="B4" s="2573" t="s">
        <v>1799</v>
      </c>
      <c r="C4" s="2573"/>
      <c r="D4" s="2573"/>
      <c r="E4" s="2573"/>
      <c r="F4" s="2573"/>
      <c r="G4" s="2573"/>
      <c r="H4" s="2573"/>
      <c r="I4" s="2573"/>
      <c r="J4" s="2573"/>
      <c r="K4" s="2573"/>
      <c r="L4" s="2573"/>
    </row>
    <row r="5" spans="1:43" ht="12.75" customHeight="1">
      <c r="A5" s="623"/>
      <c r="B5" s="2574" t="e">
        <f>#REF!</f>
        <v>#REF!</v>
      </c>
      <c r="C5" s="2575"/>
      <c r="D5" s="2575"/>
      <c r="E5" s="2575"/>
      <c r="F5" s="2575"/>
      <c r="G5" s="2575"/>
      <c r="H5" s="2575"/>
      <c r="I5" s="2575"/>
      <c r="J5" s="2575"/>
      <c r="K5" s="2575"/>
      <c r="L5" s="2575"/>
      <c r="M5" s="2575"/>
      <c r="N5" s="2575"/>
      <c r="O5" s="2575"/>
      <c r="P5" s="2575"/>
      <c r="Q5" s="2575"/>
      <c r="R5" s="2575"/>
      <c r="S5" s="2575"/>
      <c r="T5" s="2575"/>
      <c r="U5" s="2575"/>
      <c r="V5" s="2575"/>
      <c r="W5" s="2575"/>
      <c r="X5" s="2575"/>
      <c r="Y5" s="2575"/>
      <c r="Z5" s="2575"/>
      <c r="AA5" s="2575"/>
    </row>
    <row r="6" spans="1:43" ht="13.5" customHeight="1">
      <c r="B6" s="625"/>
      <c r="C6" s="567"/>
    </row>
    <row r="7" spans="1:43" ht="13.5" customHeight="1" thickBot="1">
      <c r="B7" s="625"/>
      <c r="C7" s="567"/>
      <c r="Q7" s="2578" t="s">
        <v>284</v>
      </c>
      <c r="R7" s="2578"/>
      <c r="S7" s="2578"/>
      <c r="T7" s="2578"/>
      <c r="U7" s="2578"/>
      <c r="V7" s="2578"/>
      <c r="W7" s="2579">
        <v>42857</v>
      </c>
      <c r="X7" s="2579"/>
      <c r="Y7" s="2579"/>
      <c r="Z7" s="2579"/>
    </row>
    <row r="8" spans="1:43" ht="13.5" customHeight="1" thickBot="1">
      <c r="B8" s="625"/>
      <c r="C8" s="567"/>
      <c r="D8" s="971" t="s">
        <v>1988</v>
      </c>
      <c r="E8" s="971" t="s">
        <v>1989</v>
      </c>
      <c r="F8" s="971" t="s">
        <v>1981</v>
      </c>
      <c r="G8" s="971" t="s">
        <v>1982</v>
      </c>
      <c r="H8" s="971" t="s">
        <v>1983</v>
      </c>
      <c r="I8" s="971" t="s">
        <v>1984</v>
      </c>
      <c r="J8" s="971" t="s">
        <v>1985</v>
      </c>
      <c r="K8" s="971" t="s">
        <v>1986</v>
      </c>
      <c r="L8" s="971" t="s">
        <v>1987</v>
      </c>
      <c r="M8" s="971" t="s">
        <v>1981</v>
      </c>
      <c r="N8" s="971" t="s">
        <v>1982</v>
      </c>
      <c r="O8" s="971" t="s">
        <v>1983</v>
      </c>
      <c r="P8" s="971" t="s">
        <v>1984</v>
      </c>
      <c r="Q8" s="971" t="s">
        <v>1985</v>
      </c>
      <c r="R8" s="971" t="s">
        <v>1986</v>
      </c>
      <c r="S8" s="971" t="s">
        <v>1987</v>
      </c>
      <c r="T8" s="971" t="s">
        <v>1981</v>
      </c>
      <c r="U8" s="971" t="s">
        <v>1982</v>
      </c>
      <c r="V8" s="971" t="s">
        <v>1983</v>
      </c>
      <c r="W8" s="971" t="s">
        <v>1984</v>
      </c>
      <c r="X8" s="971" t="s">
        <v>1985</v>
      </c>
      <c r="Y8" s="971" t="s">
        <v>1986</v>
      </c>
      <c r="Z8" s="971" t="s">
        <v>1987</v>
      </c>
      <c r="AA8" s="971" t="s">
        <v>1981</v>
      </c>
      <c r="AB8" s="971" t="s">
        <v>1982</v>
      </c>
      <c r="AC8" s="971" t="s">
        <v>1983</v>
      </c>
      <c r="AD8" s="971" t="s">
        <v>1984</v>
      </c>
      <c r="AE8" s="971" t="s">
        <v>1985</v>
      </c>
      <c r="AF8" s="971" t="s">
        <v>1986</v>
      </c>
      <c r="AG8" s="971" t="s">
        <v>1987</v>
      </c>
      <c r="AH8" s="971" t="s">
        <v>1981</v>
      </c>
      <c r="AI8" s="971"/>
      <c r="AJ8" s="2580" t="s">
        <v>1979</v>
      </c>
      <c r="AK8" s="2581"/>
      <c r="AL8" s="2581"/>
      <c r="AM8" s="2582"/>
      <c r="AN8" s="2580" t="s">
        <v>1980</v>
      </c>
      <c r="AO8" s="2581"/>
      <c r="AP8" s="2581"/>
      <c r="AQ8" s="2582"/>
    </row>
    <row r="9" spans="1:43" ht="13.5" thickBot="1">
      <c r="A9" s="2576" t="s">
        <v>285</v>
      </c>
      <c r="B9" s="2576"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358</v>
      </c>
      <c r="AJ9" s="965" t="s">
        <v>26</v>
      </c>
      <c r="AK9" s="966" t="s">
        <v>1821</v>
      </c>
      <c r="AL9" s="966" t="s">
        <v>1820</v>
      </c>
      <c r="AM9" s="967" t="s">
        <v>25</v>
      </c>
      <c r="AN9" s="965" t="s">
        <v>26</v>
      </c>
      <c r="AO9" s="966" t="s">
        <v>1821</v>
      </c>
      <c r="AP9" s="966" t="s">
        <v>1820</v>
      </c>
      <c r="AQ9" s="967" t="s">
        <v>25</v>
      </c>
    </row>
    <row r="10" spans="1:43" ht="13.5" thickBot="1">
      <c r="A10" s="2577"/>
      <c r="B10" s="2577"/>
      <c r="C10" s="573" t="s">
        <v>286</v>
      </c>
      <c r="D10" s="574" t="s">
        <v>304</v>
      </c>
      <c r="E10" s="831" t="s">
        <v>304</v>
      </c>
      <c r="F10" s="574" t="s">
        <v>304</v>
      </c>
      <c r="G10" s="574" t="s">
        <v>304</v>
      </c>
      <c r="H10" s="574" t="s">
        <v>304</v>
      </c>
      <c r="I10" s="574" t="s">
        <v>304</v>
      </c>
      <c r="J10" s="574" t="s">
        <v>304</v>
      </c>
      <c r="K10" s="574" t="s">
        <v>304</v>
      </c>
      <c r="L10" s="831" t="s">
        <v>304</v>
      </c>
      <c r="M10" s="574" t="s">
        <v>304</v>
      </c>
      <c r="N10" s="574" t="s">
        <v>304</v>
      </c>
      <c r="O10" s="574" t="s">
        <v>304</v>
      </c>
      <c r="P10" s="574" t="s">
        <v>304</v>
      </c>
      <c r="Q10" s="574" t="s">
        <v>304</v>
      </c>
      <c r="R10" s="574" t="s">
        <v>304</v>
      </c>
      <c r="S10" s="831" t="s">
        <v>304</v>
      </c>
      <c r="T10" s="574" t="s">
        <v>304</v>
      </c>
      <c r="U10" s="574" t="s">
        <v>304</v>
      </c>
      <c r="V10" s="574" t="s">
        <v>304</v>
      </c>
      <c r="W10" s="574" t="s">
        <v>304</v>
      </c>
      <c r="X10" s="574" t="s">
        <v>304</v>
      </c>
      <c r="Y10" s="574" t="s">
        <v>304</v>
      </c>
      <c r="Z10" s="831" t="s">
        <v>304</v>
      </c>
      <c r="AA10" s="574" t="s">
        <v>304</v>
      </c>
      <c r="AB10" s="574" t="s">
        <v>304</v>
      </c>
      <c r="AC10" s="574" t="s">
        <v>304</v>
      </c>
      <c r="AD10" s="575" t="s">
        <v>304</v>
      </c>
      <c r="AE10" s="858" t="s">
        <v>304</v>
      </c>
      <c r="AF10" s="575" t="s">
        <v>304</v>
      </c>
      <c r="AG10" s="831" t="s">
        <v>304</v>
      </c>
      <c r="AH10" s="574" t="s">
        <v>304</v>
      </c>
      <c r="AI10" s="576" t="s">
        <v>287</v>
      </c>
      <c r="AJ10" s="572"/>
      <c r="AN10" s="572"/>
    </row>
    <row r="11" spans="1:43" s="585" customFormat="1">
      <c r="A11" s="632" t="s">
        <v>513</v>
      </c>
      <c r="B11" s="633" t="s">
        <v>1803</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514</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c r="A13" s="610" t="s">
        <v>1804</v>
      </c>
      <c r="B13" s="326" t="s">
        <v>1819</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c r="A14" s="610" t="s">
        <v>1926</v>
      </c>
      <c r="B14" s="846" t="s">
        <v>1932</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c r="A15" s="610" t="s">
        <v>1928</v>
      </c>
      <c r="B15" s="846" t="s">
        <v>1933</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c r="A16" s="610" t="s">
        <v>1929</v>
      </c>
      <c r="B16" s="846" t="s">
        <v>1934</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c r="A17" s="610" t="s">
        <v>1930</v>
      </c>
      <c r="B17" s="846" t="s">
        <v>1936</v>
      </c>
      <c r="C17" s="840" t="s">
        <v>1935</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c r="A18" s="610" t="s">
        <v>1931</v>
      </c>
      <c r="B18" s="846" t="s">
        <v>1927</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c r="A19" s="610" t="s">
        <v>1937</v>
      </c>
      <c r="B19" s="846" t="s">
        <v>1941</v>
      </c>
      <c r="C19" s="841" t="s">
        <v>1940</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c r="A20" s="610" t="s">
        <v>1938</v>
      </c>
      <c r="B20" s="846" t="s">
        <v>1942</v>
      </c>
      <c r="C20" s="841" t="s">
        <v>1940</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c r="A21" s="610" t="s">
        <v>1939</v>
      </c>
      <c r="B21" s="846" t="s">
        <v>1943</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c r="A22" s="610" t="s">
        <v>1990</v>
      </c>
      <c r="B22" s="846" t="s">
        <v>2003</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c r="A23" s="610" t="s">
        <v>2001</v>
      </c>
      <c r="B23" s="846" t="s">
        <v>2002</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c r="A24" s="610" t="s">
        <v>2005</v>
      </c>
      <c r="B24" s="846" t="s">
        <v>2006</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c r="A25" s="610" t="s">
        <v>2007</v>
      </c>
      <c r="B25" s="846" t="s">
        <v>2008</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c r="A26" s="610" t="s">
        <v>2009</v>
      </c>
      <c r="B26" s="846" t="s">
        <v>2014</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c r="A27" s="610" t="s">
        <v>2011</v>
      </c>
      <c r="B27" s="846" t="s">
        <v>2010</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c r="A28" s="610" t="s">
        <v>2013</v>
      </c>
      <c r="B28" s="846" t="s">
        <v>2012</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c r="A29" s="610" t="s">
        <v>2015</v>
      </c>
      <c r="B29" s="846" t="s">
        <v>2016</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c r="A30" s="610" t="s">
        <v>2017</v>
      </c>
      <c r="B30" s="846" t="s">
        <v>2018</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c r="A31" s="610" t="s">
        <v>2019</v>
      </c>
      <c r="B31" s="846" t="s">
        <v>2022</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c r="A32" s="610" t="s">
        <v>2020</v>
      </c>
      <c r="B32" s="846" t="s">
        <v>2031</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c r="A33" s="610" t="s">
        <v>2023</v>
      </c>
      <c r="B33" s="846" t="s">
        <v>2021</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c r="A34" s="610" t="s">
        <v>2024</v>
      </c>
      <c r="B34" s="846" t="s">
        <v>2028</v>
      </c>
      <c r="C34" s="841" t="s">
        <v>2060</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c r="A35" s="610" t="s">
        <v>2026</v>
      </c>
      <c r="B35" s="846" t="s">
        <v>2025</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c r="A36" s="610" t="s">
        <v>2029</v>
      </c>
      <c r="B36" s="846" t="s">
        <v>2027</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c r="A37" s="610" t="s">
        <v>2030</v>
      </c>
      <c r="B37" s="846" t="s">
        <v>2004</v>
      </c>
      <c r="C37" s="841" t="s">
        <v>2060</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c r="A38" s="981" t="s">
        <v>2032</v>
      </c>
      <c r="B38" s="846" t="s">
        <v>1201</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c r="A39" s="982" t="s">
        <v>2034</v>
      </c>
      <c r="B39" s="846" t="s">
        <v>1946</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c r="A40" s="982" t="s">
        <v>2035</v>
      </c>
      <c r="B40" s="846" t="s">
        <v>1947</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c r="A41" s="982" t="s">
        <v>2036</v>
      </c>
      <c r="B41" s="846" t="s">
        <v>1991</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c r="A42" s="982" t="s">
        <v>2037</v>
      </c>
      <c r="B42" s="846" t="s">
        <v>1992</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c r="A43" s="982" t="s">
        <v>2039</v>
      </c>
      <c r="B43" s="846" t="s">
        <v>1993</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c r="A44" s="982" t="s">
        <v>2040</v>
      </c>
      <c r="B44" s="846" t="s">
        <v>1994</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c r="A45" s="982" t="s">
        <v>2041</v>
      </c>
      <c r="B45" s="846" t="s">
        <v>1995</v>
      </c>
      <c r="C45" s="841" t="s">
        <v>1935</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c r="A46" s="982" t="s">
        <v>2038</v>
      </c>
      <c r="B46" s="846" t="s">
        <v>1996</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c r="A47" s="982" t="s">
        <v>2042</v>
      </c>
      <c r="B47" s="846" t="s">
        <v>1997</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c r="A48" s="982" t="s">
        <v>2043</v>
      </c>
      <c r="B48" s="846" t="s">
        <v>1998</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c r="A49" s="982" t="s">
        <v>2044</v>
      </c>
      <c r="B49" s="846" t="s">
        <v>1999</v>
      </c>
      <c r="C49" s="841" t="s">
        <v>1935</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c r="A50" s="981" t="s">
        <v>2033</v>
      </c>
      <c r="B50" s="846" t="s">
        <v>1208</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c r="A51" s="982" t="s">
        <v>2045</v>
      </c>
      <c r="B51" s="846" t="s">
        <v>1946</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c r="A52" s="982" t="s">
        <v>2047</v>
      </c>
      <c r="B52" s="846" t="s">
        <v>1947</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c r="A53" s="982" t="s">
        <v>2046</v>
      </c>
      <c r="B53" s="846" t="s">
        <v>1991</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c r="A54" s="982" t="s">
        <v>2048</v>
      </c>
      <c r="B54" s="846" t="s">
        <v>1992</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c r="A55" s="982" t="s">
        <v>2050</v>
      </c>
      <c r="B55" s="846" t="s">
        <v>1993</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c r="A56" s="982" t="s">
        <v>2051</v>
      </c>
      <c r="B56" s="846" t="s">
        <v>1994</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c r="A57" s="982" t="s">
        <v>2052</v>
      </c>
      <c r="B57" s="846" t="s">
        <v>1995</v>
      </c>
      <c r="C57" s="841" t="s">
        <v>1935</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c r="A58" s="982" t="s">
        <v>2049</v>
      </c>
      <c r="B58" s="846" t="s">
        <v>1996</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c r="A59" s="982" t="s">
        <v>2053</v>
      </c>
      <c r="B59" s="846" t="s">
        <v>1997</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c r="A60" s="982" t="s">
        <v>2054</v>
      </c>
      <c r="B60" s="846" t="s">
        <v>1998</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c r="A61" s="982" t="s">
        <v>2055</v>
      </c>
      <c r="B61" s="846" t="s">
        <v>1999</v>
      </c>
      <c r="C61" s="841" t="s">
        <v>1935</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c r="A62" s="981" t="s">
        <v>2056</v>
      </c>
      <c r="B62" s="616" t="s">
        <v>1210</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c r="A63" s="982" t="s">
        <v>2057</v>
      </c>
      <c r="B63" s="846" t="s">
        <v>1946</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c r="A64" s="982" t="s">
        <v>2058</v>
      </c>
      <c r="B64" s="846" t="s">
        <v>1947</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3.5" thickBot="1">
      <c r="A65" s="982" t="s">
        <v>2059</v>
      </c>
      <c r="B65" s="846" t="s">
        <v>2000</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5"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1800</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2578125" defaultRowHeight="12.75"/>
  <cols>
    <col min="1" max="1" width="13" style="624" customWidth="1"/>
    <col min="2" max="2" width="69.42578125" style="622" customWidth="1"/>
    <col min="3" max="3" width="5" style="565" customWidth="1"/>
    <col min="4" max="5" width="9.425781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2578125" style="566" customWidth="1"/>
    <col min="36"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0">
      <c r="A1" s="2571" t="s">
        <v>283</v>
      </c>
      <c r="B1" s="2571"/>
      <c r="C1" s="2571"/>
      <c r="D1" s="2571"/>
      <c r="E1" s="2571"/>
      <c r="F1" s="2571"/>
      <c r="G1" s="2571"/>
      <c r="H1" s="2571"/>
      <c r="I1" s="2571"/>
      <c r="J1" s="2571"/>
      <c r="K1" s="2571"/>
      <c r="L1" s="2571"/>
      <c r="M1" s="2571"/>
      <c r="N1" s="2571"/>
      <c r="O1" s="2571"/>
      <c r="P1" s="2571"/>
      <c r="Q1" s="2571"/>
      <c r="R1" s="2571"/>
      <c r="S1" s="2571"/>
      <c r="T1" s="2571"/>
      <c r="U1" s="2571"/>
      <c r="V1" s="2571"/>
      <c r="W1" s="2571"/>
      <c r="X1" s="2571"/>
    </row>
    <row r="2" spans="1:40">
      <c r="A2" s="2572" t="s">
        <v>1801</v>
      </c>
      <c r="B2" s="2572"/>
      <c r="C2" s="2572"/>
      <c r="D2" s="2572"/>
      <c r="E2" s="2572"/>
      <c r="F2" s="2572"/>
      <c r="G2" s="2572"/>
      <c r="H2" s="2572"/>
      <c r="I2" s="2572"/>
      <c r="J2" s="2572"/>
      <c r="K2" s="2572"/>
      <c r="L2" s="2572"/>
      <c r="M2" s="2572"/>
      <c r="N2" s="2572"/>
      <c r="O2" s="2572"/>
      <c r="P2" s="2572"/>
      <c r="Q2" s="2572"/>
      <c r="R2" s="2572"/>
      <c r="S2" s="2572"/>
      <c r="T2" s="2572"/>
      <c r="U2" s="2572"/>
      <c r="V2" s="2572"/>
      <c r="W2" s="2572"/>
      <c r="X2" s="2572"/>
    </row>
    <row r="3" spans="1:40">
      <c r="A3" s="621"/>
    </row>
    <row r="4" spans="1:40">
      <c r="A4" s="623"/>
      <c r="B4" s="2573" t="s">
        <v>1799</v>
      </c>
      <c r="C4" s="2573"/>
      <c r="D4" s="2573"/>
      <c r="E4" s="2573"/>
      <c r="F4" s="2573"/>
      <c r="G4" s="2573"/>
      <c r="H4" s="2573"/>
      <c r="I4" s="2573"/>
      <c r="J4" s="2573"/>
      <c r="K4" s="2573"/>
      <c r="L4" s="2573"/>
    </row>
    <row r="5" spans="1:40" ht="12.75" customHeight="1">
      <c r="A5" s="623"/>
      <c r="B5" s="2574" t="e">
        <f>#REF!</f>
        <v>#REF!</v>
      </c>
      <c r="C5" s="2575"/>
      <c r="D5" s="2575"/>
      <c r="E5" s="2575"/>
      <c r="F5" s="2575"/>
      <c r="G5" s="2575"/>
      <c r="H5" s="2575"/>
      <c r="I5" s="2575"/>
      <c r="J5" s="2575"/>
      <c r="K5" s="2575"/>
      <c r="L5" s="2575"/>
      <c r="M5" s="2575"/>
      <c r="N5" s="2575"/>
      <c r="O5" s="2575"/>
      <c r="P5" s="2575"/>
      <c r="Q5" s="2575"/>
      <c r="R5" s="2575"/>
      <c r="S5" s="2575"/>
      <c r="T5" s="2575"/>
      <c r="U5" s="2575"/>
      <c r="V5" s="2575"/>
      <c r="W5" s="2575"/>
      <c r="X5" s="2575"/>
      <c r="Y5" s="2575"/>
      <c r="Z5" s="2575"/>
      <c r="AA5" s="2575"/>
    </row>
    <row r="6" spans="1:40" ht="13.5" customHeight="1">
      <c r="B6" s="625"/>
      <c r="C6" s="567"/>
    </row>
    <row r="7" spans="1:40" ht="13.5" customHeight="1">
      <c r="B7" s="625"/>
      <c r="C7" s="567"/>
      <c r="Q7" s="2578" t="s">
        <v>284</v>
      </c>
      <c r="R7" s="2578"/>
      <c r="S7" s="2578"/>
      <c r="T7" s="2578"/>
      <c r="U7" s="2578"/>
      <c r="V7" s="2578"/>
      <c r="W7" s="2579">
        <v>42888</v>
      </c>
      <c r="X7" s="2579"/>
      <c r="Y7" s="2579"/>
      <c r="Z7" s="2579"/>
    </row>
    <row r="8" spans="1:40" ht="13.5" customHeight="1" thickBot="1">
      <c r="B8" s="625"/>
      <c r="C8" s="567"/>
      <c r="D8" s="971" t="s">
        <v>2159</v>
      </c>
      <c r="E8" s="971" t="s">
        <v>2160</v>
      </c>
      <c r="F8" s="1109" t="s">
        <v>2154</v>
      </c>
      <c r="G8" s="971" t="s">
        <v>2155</v>
      </c>
      <c r="H8" s="971" t="s">
        <v>2156</v>
      </c>
      <c r="I8" s="971" t="s">
        <v>2157</v>
      </c>
      <c r="J8" s="971" t="s">
        <v>2158</v>
      </c>
      <c r="K8" s="996" t="s">
        <v>2159</v>
      </c>
      <c r="L8" s="971" t="s">
        <v>2160</v>
      </c>
      <c r="M8" s="1109" t="s">
        <v>2154</v>
      </c>
      <c r="N8" s="971" t="s">
        <v>2155</v>
      </c>
      <c r="O8" s="971" t="s">
        <v>2156</v>
      </c>
      <c r="P8" s="971" t="s">
        <v>2157</v>
      </c>
      <c r="Q8" s="971" t="s">
        <v>2158</v>
      </c>
      <c r="R8" s="971" t="s">
        <v>2159</v>
      </c>
      <c r="S8" s="971" t="s">
        <v>2160</v>
      </c>
      <c r="T8" s="1109" t="s">
        <v>2154</v>
      </c>
      <c r="U8" s="971" t="s">
        <v>2155</v>
      </c>
      <c r="V8" s="971" t="s">
        <v>2156</v>
      </c>
      <c r="W8" s="971" t="s">
        <v>2157</v>
      </c>
      <c r="X8" s="971" t="s">
        <v>2158</v>
      </c>
      <c r="Y8" s="971" t="s">
        <v>2159</v>
      </c>
      <c r="Z8" s="971" t="s">
        <v>2160</v>
      </c>
      <c r="AA8" s="1109" t="s">
        <v>2154</v>
      </c>
      <c r="AB8" s="996" t="s">
        <v>2155</v>
      </c>
      <c r="AC8" s="971" t="s">
        <v>2156</v>
      </c>
      <c r="AD8" s="971" t="s">
        <v>2157</v>
      </c>
      <c r="AE8" s="971" t="s">
        <v>2158</v>
      </c>
      <c r="AF8" s="971" t="s">
        <v>2159</v>
      </c>
      <c r="AG8" s="971" t="s">
        <v>2158</v>
      </c>
      <c r="AH8" s="971" t="s">
        <v>2159</v>
      </c>
      <c r="AI8" s="1061"/>
    </row>
    <row r="9" spans="1:40" ht="13.5" thickBot="1">
      <c r="A9" s="2576" t="s">
        <v>285</v>
      </c>
      <c r="B9" s="2576" t="s">
        <v>20</v>
      </c>
      <c r="C9" s="568"/>
      <c r="D9" s="1191">
        <v>1</v>
      </c>
      <c r="E9" s="1191">
        <f>+D9+1</f>
        <v>2</v>
      </c>
      <c r="F9" s="830">
        <f t="shared" ref="F9:AH9" si="0">+E9+1</f>
        <v>3</v>
      </c>
      <c r="G9" s="1191">
        <f t="shared" si="0"/>
        <v>4</v>
      </c>
      <c r="H9" s="1191">
        <f t="shared" si="0"/>
        <v>5</v>
      </c>
      <c r="I9" s="1191">
        <f t="shared" si="0"/>
        <v>6</v>
      </c>
      <c r="J9" s="1191">
        <f t="shared" si="0"/>
        <v>7</v>
      </c>
      <c r="K9" s="857">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+T9+1</f>
        <v>18</v>
      </c>
      <c r="V9" s="1191">
        <f>+U9+1</f>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+AF9+1</f>
        <v>30</v>
      </c>
      <c r="AH9" s="570">
        <f t="shared" si="0"/>
        <v>31</v>
      </c>
      <c r="AI9" s="571" t="s">
        <v>358</v>
      </c>
      <c r="AJ9" s="756" t="s">
        <v>26</v>
      </c>
      <c r="AK9" s="755" t="s">
        <v>1821</v>
      </c>
      <c r="AL9" s="755" t="s">
        <v>1820</v>
      </c>
      <c r="AM9" s="572" t="s">
        <v>25</v>
      </c>
      <c r="AN9" s="563" t="s">
        <v>2</v>
      </c>
    </row>
    <row r="10" spans="1:40" ht="13.5" thickBot="1">
      <c r="A10" s="2577"/>
      <c r="B10" s="2577"/>
      <c r="C10" s="573" t="s">
        <v>286</v>
      </c>
      <c r="D10" s="574" t="s">
        <v>304</v>
      </c>
      <c r="E10" s="574" t="s">
        <v>304</v>
      </c>
      <c r="F10" s="831" t="s">
        <v>304</v>
      </c>
      <c r="G10" s="574" t="s">
        <v>304</v>
      </c>
      <c r="H10" s="574" t="s">
        <v>304</v>
      </c>
      <c r="I10" s="574" t="s">
        <v>304</v>
      </c>
      <c r="J10" s="574" t="s">
        <v>304</v>
      </c>
      <c r="K10" s="858" t="s">
        <v>304</v>
      </c>
      <c r="L10" s="574" t="s">
        <v>304</v>
      </c>
      <c r="M10" s="831" t="s">
        <v>304</v>
      </c>
      <c r="N10" s="574" t="s">
        <v>304</v>
      </c>
      <c r="O10" s="574" t="s">
        <v>304</v>
      </c>
      <c r="P10" s="574" t="s">
        <v>304</v>
      </c>
      <c r="Q10" s="574" t="s">
        <v>304</v>
      </c>
      <c r="R10" s="574" t="s">
        <v>304</v>
      </c>
      <c r="S10" s="574" t="s">
        <v>304</v>
      </c>
      <c r="T10" s="831" t="s">
        <v>304</v>
      </c>
      <c r="U10" s="574" t="s">
        <v>304</v>
      </c>
      <c r="V10" s="574" t="s">
        <v>304</v>
      </c>
      <c r="W10" s="574" t="s">
        <v>304</v>
      </c>
      <c r="X10" s="574" t="s">
        <v>304</v>
      </c>
      <c r="Y10" s="574" t="s">
        <v>304</v>
      </c>
      <c r="Z10" s="574" t="s">
        <v>304</v>
      </c>
      <c r="AA10" s="831" t="s">
        <v>304</v>
      </c>
      <c r="AB10" s="858" t="s">
        <v>304</v>
      </c>
      <c r="AC10" s="574" t="s">
        <v>304</v>
      </c>
      <c r="AD10" s="575" t="s">
        <v>304</v>
      </c>
      <c r="AE10" s="574" t="s">
        <v>304</v>
      </c>
      <c r="AF10" s="575" t="s">
        <v>304</v>
      </c>
      <c r="AG10" s="575" t="s">
        <v>304</v>
      </c>
      <c r="AH10" s="574" t="s">
        <v>304</v>
      </c>
      <c r="AI10" s="1062" t="s">
        <v>287</v>
      </c>
      <c r="AJ10" s="752" t="s">
        <v>287</v>
      </c>
      <c r="AK10" s="755"/>
      <c r="AL10" s="755"/>
      <c r="AM10" s="572"/>
    </row>
    <row r="11" spans="1:40" s="585" customFormat="1">
      <c r="A11" s="809" t="s">
        <v>33</v>
      </c>
      <c r="B11" s="810" t="s">
        <v>1131</v>
      </c>
      <c r="C11" s="631"/>
      <c r="D11" s="577"/>
      <c r="E11" s="578"/>
      <c r="F11" s="832"/>
      <c r="G11" s="578"/>
      <c r="H11" s="578"/>
      <c r="I11" s="579"/>
      <c r="J11" s="579"/>
      <c r="K11" s="1181"/>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1132</v>
      </c>
      <c r="C12" s="1190"/>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c r="A13" s="610" t="s">
        <v>536</v>
      </c>
      <c r="B13" s="325" t="s">
        <v>1133</v>
      </c>
      <c r="C13" s="1189"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1454</v>
      </c>
      <c r="AM13" s="753">
        <f>AL13-AK13</f>
        <v>1</v>
      </c>
    </row>
    <row r="14" spans="1:40" s="566" customFormat="1">
      <c r="A14" s="610" t="s">
        <v>537</v>
      </c>
      <c r="B14" s="326" t="s">
        <v>1134</v>
      </c>
      <c r="C14" s="1189"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1454</v>
      </c>
      <c r="AM14" s="753">
        <f t="shared" ref="AM14:AM17" si="3">AL14-AK14</f>
        <v>1</v>
      </c>
    </row>
    <row r="15" spans="1:40" s="566" customFormat="1">
      <c r="A15" s="610" t="s">
        <v>538</v>
      </c>
      <c r="B15" s="325" t="s">
        <v>1135</v>
      </c>
      <c r="C15" s="1190"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1454</v>
      </c>
      <c r="AM15" s="753">
        <f t="shared" si="3"/>
        <v>1</v>
      </c>
    </row>
    <row r="16" spans="1:40" s="566" customFormat="1">
      <c r="A16" s="610" t="s">
        <v>539</v>
      </c>
      <c r="B16" s="326" t="s">
        <v>1136</v>
      </c>
      <c r="C16" s="1189"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1454</v>
      </c>
      <c r="AM16" s="753">
        <f t="shared" si="3"/>
        <v>1</v>
      </c>
    </row>
    <row r="17" spans="1:45" s="566" customFormat="1">
      <c r="A17" s="610" t="s">
        <v>540</v>
      </c>
      <c r="B17" s="326" t="s">
        <v>1137</v>
      </c>
      <c r="C17" s="1189" t="s">
        <v>1449</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1454</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3"/>
      <c r="L18" s="691"/>
      <c r="M18" s="1070"/>
      <c r="N18" s="693"/>
      <c r="O18" s="694"/>
      <c r="P18" s="695"/>
      <c r="Q18" s="199"/>
      <c r="T18" s="1070"/>
      <c r="AA18" s="1070"/>
      <c r="AB18" s="986"/>
      <c r="AI18" s="1055">
        <f t="shared" si="1"/>
        <v>0</v>
      </c>
    </row>
    <row r="19" spans="1:45" s="824" customFormat="1" ht="15.75">
      <c r="A19" s="814" t="s">
        <v>542</v>
      </c>
      <c r="B19" s="743" t="s">
        <v>1139</v>
      </c>
      <c r="C19" s="744" t="s">
        <v>40</v>
      </c>
      <c r="D19" s="836"/>
      <c r="E19" s="745"/>
      <c r="F19" s="833"/>
      <c r="G19" s="745"/>
      <c r="H19" s="745"/>
      <c r="I19" s="1108"/>
      <c r="J19" s="1108"/>
      <c r="K19" s="1184"/>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1456</v>
      </c>
      <c r="AM19" s="823">
        <f>AN19-AK19</f>
        <v>60.399999999999977</v>
      </c>
      <c r="AN19" s="921">
        <v>1024</v>
      </c>
      <c r="AO19" s="835">
        <f>AL19-AN19</f>
        <v>-416.4</v>
      </c>
      <c r="AP19" s="835"/>
      <c r="AQ19" s="835"/>
      <c r="AR19" s="835"/>
      <c r="AS19" s="835"/>
    </row>
    <row r="20" spans="1:45" s="566" customFormat="1">
      <c r="A20" s="610" t="s">
        <v>543</v>
      </c>
      <c r="B20" s="616" t="s">
        <v>1140</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1457</v>
      </c>
      <c r="AM20" s="753">
        <f t="shared" ref="AM20:AM83" si="5">AL20-AK20</f>
        <v>759.49</v>
      </c>
      <c r="AO20" s="584">
        <f>AN19-AK19</f>
        <v>60.399999999999977</v>
      </c>
      <c r="AP20" s="566">
        <f>AO19/30</f>
        <v>-13.879999999999999</v>
      </c>
    </row>
    <row r="21" spans="1:45" s="566" customFormat="1">
      <c r="A21" s="498" t="s">
        <v>544</v>
      </c>
      <c r="B21" s="614" t="s">
        <v>1141</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545</v>
      </c>
      <c r="B22" s="610" t="s">
        <v>1141</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1454</v>
      </c>
      <c r="AM22" s="753">
        <f t="shared" si="5"/>
        <v>1</v>
      </c>
    </row>
    <row r="23" spans="1:45" s="566" customFormat="1">
      <c r="A23" s="610" t="s">
        <v>546</v>
      </c>
      <c r="B23" s="616" t="s">
        <v>1143</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1454</v>
      </c>
      <c r="AM23" s="753">
        <f t="shared" si="5"/>
        <v>1</v>
      </c>
    </row>
    <row r="24" spans="1:45" s="566" customFormat="1">
      <c r="A24" s="498" t="s">
        <v>547</v>
      </c>
      <c r="B24" s="614" t="s">
        <v>1144</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548</v>
      </c>
      <c r="B25" s="610" t="s">
        <v>1145</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1455</v>
      </c>
      <c r="AM25" s="753">
        <f t="shared" si="5"/>
        <v>0</v>
      </c>
    </row>
    <row r="26" spans="1:45" s="566" customFormat="1">
      <c r="A26" s="610" t="s">
        <v>549</v>
      </c>
      <c r="B26" s="610" t="s">
        <v>1818</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1455</v>
      </c>
      <c r="AM26" s="753">
        <f>AL26-AK26</f>
        <v>502.44999999999993</v>
      </c>
      <c r="AO26" s="566">
        <f>AM19/15</f>
        <v>4.0266666666666655</v>
      </c>
    </row>
    <row r="27" spans="1:45" s="585" customFormat="1">
      <c r="A27" s="498" t="s">
        <v>550</v>
      </c>
      <c r="B27" s="614" t="s">
        <v>1146</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551</v>
      </c>
      <c r="B28" s="616" t="s">
        <v>1147</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1454</v>
      </c>
      <c r="AM28" s="753">
        <f t="shared" si="5"/>
        <v>1</v>
      </c>
    </row>
    <row r="29" spans="1:45" s="566" customFormat="1">
      <c r="A29" s="610" t="s">
        <v>552</v>
      </c>
      <c r="B29" s="616" t="s">
        <v>1148</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1458</v>
      </c>
      <c r="AM29" s="753">
        <f t="shared" si="5"/>
        <v>30</v>
      </c>
    </row>
    <row r="30" spans="1:45" s="585" customFormat="1">
      <c r="A30" s="610" t="s">
        <v>553</v>
      </c>
      <c r="B30" s="616" t="s">
        <v>1149</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1454</v>
      </c>
      <c r="AM30" s="753">
        <f t="shared" si="5"/>
        <v>1</v>
      </c>
    </row>
    <row r="31" spans="1:45" s="566" customFormat="1">
      <c r="A31" s="610" t="s">
        <v>554</v>
      </c>
      <c r="B31" s="616" t="s">
        <v>1150</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1454</v>
      </c>
      <c r="AM31" s="753">
        <f t="shared" si="5"/>
        <v>1</v>
      </c>
    </row>
    <row r="32" spans="1:45" s="566" customFormat="1">
      <c r="A32" s="610" t="s">
        <v>555</v>
      </c>
      <c r="B32" s="616" t="s">
        <v>1151</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1454</v>
      </c>
      <c r="AM32" s="753">
        <f t="shared" si="5"/>
        <v>1</v>
      </c>
    </row>
    <row r="33" spans="1:39" s="566" customFormat="1" ht="13.5" thickBot="1">
      <c r="A33" s="610" t="s">
        <v>556</v>
      </c>
      <c r="B33" s="616" t="s">
        <v>1152</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1454</v>
      </c>
      <c r="AM33" s="753">
        <f t="shared" si="5"/>
        <v>1</v>
      </c>
    </row>
    <row r="34" spans="1:39" s="566" customFormat="1">
      <c r="A34" s="612" t="s">
        <v>42</v>
      </c>
      <c r="B34" s="612" t="s">
        <v>1153</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1154</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557</v>
      </c>
      <c r="B37" s="610" t="s">
        <v>1155</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558</v>
      </c>
      <c r="B38" s="610" t="s">
        <v>1156</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559</v>
      </c>
      <c r="B39" s="610" t="s">
        <v>1157</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560</v>
      </c>
      <c r="B40" s="610" t="s">
        <v>1158</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1462</v>
      </c>
      <c r="AM40" s="753">
        <f t="shared" si="5"/>
        <v>26.03</v>
      </c>
    </row>
    <row r="41" spans="1:39" s="566" customFormat="1">
      <c r="A41" s="610" t="s">
        <v>561</v>
      </c>
      <c r="B41" s="610" t="s">
        <v>1159</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1463</v>
      </c>
      <c r="AM41" s="753">
        <f t="shared" si="5"/>
        <v>27.56</v>
      </c>
    </row>
    <row r="42" spans="1:39" s="566" customFormat="1">
      <c r="A42" s="610" t="s">
        <v>562</v>
      </c>
      <c r="B42" s="610" t="s">
        <v>1160</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1463</v>
      </c>
      <c r="AM42" s="753">
        <f t="shared" si="5"/>
        <v>27.56</v>
      </c>
    </row>
    <row r="43" spans="1:39" s="566" customFormat="1">
      <c r="A43" s="613" t="s">
        <v>563</v>
      </c>
      <c r="B43" s="613" t="s">
        <v>1161</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564</v>
      </c>
      <c r="B44" s="610" t="s">
        <v>1162</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1464</v>
      </c>
      <c r="AM44" s="753">
        <f t="shared" si="5"/>
        <v>7.7</v>
      </c>
    </row>
    <row r="45" spans="1:39" s="566" customFormat="1">
      <c r="A45" s="610" t="s">
        <v>565</v>
      </c>
      <c r="B45" s="610" t="s">
        <v>1163</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1465</v>
      </c>
      <c r="AM45" s="753">
        <f t="shared" si="5"/>
        <v>13.46</v>
      </c>
    </row>
    <row r="46" spans="1:39" s="566" customFormat="1">
      <c r="A46" s="610" t="s">
        <v>566</v>
      </c>
      <c r="B46" s="610" t="s">
        <v>1164</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1466</v>
      </c>
      <c r="AM46" s="753">
        <f t="shared" si="5"/>
        <v>2.97</v>
      </c>
    </row>
    <row r="47" spans="1:39" s="566" customFormat="1">
      <c r="A47" s="610" t="s">
        <v>567</v>
      </c>
      <c r="B47" s="610" t="s">
        <v>1165</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1467</v>
      </c>
      <c r="AM47" s="753">
        <f t="shared" si="5"/>
        <v>0.84</v>
      </c>
    </row>
    <row r="48" spans="1:39" s="566" customFormat="1">
      <c r="A48" s="610" t="s">
        <v>568</v>
      </c>
      <c r="B48" s="610" t="s">
        <v>1166</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1468</v>
      </c>
      <c r="AM48" s="753">
        <f t="shared" si="5"/>
        <v>23.65</v>
      </c>
    </row>
    <row r="49" spans="1:39" s="566" customFormat="1">
      <c r="A49" s="610" t="s">
        <v>569</v>
      </c>
      <c r="B49" s="610" t="s">
        <v>1167</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1462</v>
      </c>
      <c r="AM49" s="753">
        <f t="shared" si="5"/>
        <v>26.03</v>
      </c>
    </row>
    <row r="50" spans="1:39" s="566" customFormat="1">
      <c r="A50" s="613" t="s">
        <v>570</v>
      </c>
      <c r="B50" s="613" t="s">
        <v>1168</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571</v>
      </c>
      <c r="B51" s="610" t="s">
        <v>1169</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572</v>
      </c>
      <c r="B52" s="610" t="s">
        <v>1170</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1469</v>
      </c>
      <c r="AM52" s="753">
        <f t="shared" si="5"/>
        <v>4.6100000000000003</v>
      </c>
    </row>
    <row r="53" spans="1:39" s="566" customFormat="1">
      <c r="A53" s="610" t="s">
        <v>573</v>
      </c>
      <c r="B53" s="610" t="s">
        <v>1171</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1470</v>
      </c>
      <c r="AM53" s="753">
        <f t="shared" si="5"/>
        <v>192.7</v>
      </c>
    </row>
    <row r="54" spans="1:39" s="566" customFormat="1">
      <c r="A54" s="610" t="s">
        <v>574</v>
      </c>
      <c r="B54" s="610" t="s">
        <v>1172</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575</v>
      </c>
      <c r="B55" s="610" t="s">
        <v>1173</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1471</v>
      </c>
      <c r="AM55" s="753">
        <f t="shared" si="5"/>
        <v>1.93</v>
      </c>
    </row>
    <row r="56" spans="1:39" s="566" customFormat="1">
      <c r="A56" s="610" t="s">
        <v>576</v>
      </c>
      <c r="B56" s="610" t="s">
        <v>1174</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1472</v>
      </c>
      <c r="AM56" s="753">
        <f t="shared" si="5"/>
        <v>15.42</v>
      </c>
    </row>
    <row r="57" spans="1:39" s="566" customFormat="1">
      <c r="A57" s="610" t="s">
        <v>577</v>
      </c>
      <c r="B57" s="610" t="s">
        <v>1175</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1473</v>
      </c>
      <c r="AM57" s="753">
        <f t="shared" si="5"/>
        <v>275.55</v>
      </c>
    </row>
    <row r="58" spans="1:39" s="566" customFormat="1">
      <c r="A58" s="610" t="s">
        <v>578</v>
      </c>
      <c r="B58" s="610" t="s">
        <v>1176</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579</v>
      </c>
      <c r="B59" s="610" t="s">
        <v>1177</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1474</v>
      </c>
      <c r="AM59" s="753">
        <f t="shared" si="5"/>
        <v>2.83</v>
      </c>
    </row>
    <row r="60" spans="1:39" s="566" customFormat="1">
      <c r="A60" s="610" t="s">
        <v>580</v>
      </c>
      <c r="B60" s="610" t="s">
        <v>1178</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1475</v>
      </c>
      <c r="AM60" s="753">
        <f t="shared" si="5"/>
        <v>40.020000000000003</v>
      </c>
    </row>
    <row r="61" spans="1:39" s="566" customFormat="1">
      <c r="A61" s="610" t="s">
        <v>581</v>
      </c>
      <c r="B61" s="610" t="s">
        <v>1179</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1476</v>
      </c>
      <c r="AM61" s="753">
        <f t="shared" si="5"/>
        <v>444.48</v>
      </c>
    </row>
    <row r="62" spans="1:39" s="566" customFormat="1">
      <c r="A62" s="610" t="s">
        <v>582</v>
      </c>
      <c r="B62" s="610" t="s">
        <v>1180</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583</v>
      </c>
      <c r="B63" s="610" t="s">
        <v>1181</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1477</v>
      </c>
      <c r="AM63" s="753">
        <f t="shared" si="5"/>
        <v>1.49</v>
      </c>
    </row>
    <row r="64" spans="1:39" s="566" customFormat="1">
      <c r="A64" s="610" t="s">
        <v>584</v>
      </c>
      <c r="B64" s="610" t="s">
        <v>1182</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1478</v>
      </c>
      <c r="AM64" s="753">
        <f t="shared" si="5"/>
        <v>19.71</v>
      </c>
    </row>
    <row r="65" spans="1:39" s="566" customFormat="1">
      <c r="A65" s="610" t="s">
        <v>585</v>
      </c>
      <c r="B65" s="610" t="s">
        <v>1183</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1479</v>
      </c>
      <c r="AM65" s="753">
        <f t="shared" si="5"/>
        <v>659.98</v>
      </c>
    </row>
    <row r="66" spans="1:39" s="566" customFormat="1">
      <c r="A66" s="610" t="s">
        <v>586</v>
      </c>
      <c r="B66" s="610" t="s">
        <v>1184</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587</v>
      </c>
      <c r="B67" s="610" t="s">
        <v>1185</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1480</v>
      </c>
      <c r="AM67" s="753">
        <f t="shared" si="5"/>
        <v>4.54</v>
      </c>
    </row>
    <row r="68" spans="1:39" s="566" customFormat="1">
      <c r="A68" s="610" t="s">
        <v>588</v>
      </c>
      <c r="B68" s="610" t="s">
        <v>1186</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1481</v>
      </c>
      <c r="AM68" s="753">
        <f t="shared" si="5"/>
        <v>38.93</v>
      </c>
    </row>
    <row r="69" spans="1:39" s="566" customFormat="1">
      <c r="A69" s="610" t="s">
        <v>589</v>
      </c>
      <c r="B69" s="610" t="s">
        <v>1187</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1482</v>
      </c>
      <c r="AM69" s="753">
        <f t="shared" si="5"/>
        <v>563.80999999999995</v>
      </c>
    </row>
    <row r="70" spans="1:39" s="566" customFormat="1">
      <c r="A70" s="610" t="s">
        <v>590</v>
      </c>
      <c r="B70" s="610" t="s">
        <v>1188</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591</v>
      </c>
      <c r="B71" s="610" t="s">
        <v>1189</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1483</v>
      </c>
      <c r="AM71" s="753">
        <f t="shared" si="5"/>
        <v>3.65</v>
      </c>
    </row>
    <row r="72" spans="1:39" s="566" customFormat="1">
      <c r="A72" s="610" t="s">
        <v>592</v>
      </c>
      <c r="B72" s="610" t="s">
        <v>1190</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1484</v>
      </c>
      <c r="AM72" s="753">
        <f t="shared" si="5"/>
        <v>41.77</v>
      </c>
    </row>
    <row r="73" spans="1:39" s="566" customFormat="1">
      <c r="A73" s="610" t="s">
        <v>593</v>
      </c>
      <c r="B73" s="610" t="s">
        <v>1191</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1485</v>
      </c>
      <c r="AM73" s="753">
        <f t="shared" si="5"/>
        <v>298.24</v>
      </c>
    </row>
    <row r="74" spans="1:39" s="566" customFormat="1">
      <c r="A74" s="610" t="s">
        <v>594</v>
      </c>
      <c r="B74" s="610" t="s">
        <v>1192</v>
      </c>
      <c r="C74" s="620" t="s">
        <v>1449</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1486</v>
      </c>
      <c r="AM74" s="753">
        <f t="shared" si="5"/>
        <v>347.95</v>
      </c>
    </row>
    <row r="75" spans="1:39" s="566" customFormat="1">
      <c r="A75" s="610" t="s">
        <v>595</v>
      </c>
      <c r="B75" s="610" t="s">
        <v>1193</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596</v>
      </c>
      <c r="B76" s="610" t="s">
        <v>1194</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1487</v>
      </c>
      <c r="AM76" s="753">
        <f t="shared" si="5"/>
        <v>1.2</v>
      </c>
    </row>
    <row r="77" spans="1:39" s="566" customFormat="1">
      <c r="A77" s="610" t="s">
        <v>597</v>
      </c>
      <c r="B77" s="610" t="s">
        <v>1195</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1488</v>
      </c>
      <c r="AM77" s="753">
        <f t="shared" si="5"/>
        <v>16</v>
      </c>
    </row>
    <row r="78" spans="1:39" s="566" customFormat="1">
      <c r="A78" s="610" t="s">
        <v>598</v>
      </c>
      <c r="B78" s="610" t="s">
        <v>1196</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1489</v>
      </c>
      <c r="AM78" s="753">
        <f t="shared" si="5"/>
        <v>124.05</v>
      </c>
    </row>
    <row r="79" spans="1:39" s="566" customFormat="1">
      <c r="A79" s="613" t="s">
        <v>599</v>
      </c>
      <c r="B79" s="613" t="s">
        <v>1197</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600</v>
      </c>
      <c r="B80" s="610" t="s">
        <v>1198</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1490</v>
      </c>
      <c r="AM80" s="753">
        <f t="shared" si="5"/>
        <v>59.04</v>
      </c>
    </row>
    <row r="81" spans="1:39" s="566" customFormat="1">
      <c r="A81" s="613" t="s">
        <v>601</v>
      </c>
      <c r="B81" s="613" t="s">
        <v>1199</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602</v>
      </c>
      <c r="B82" s="610" t="s">
        <v>1200</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1491</v>
      </c>
      <c r="AM82" s="753">
        <f t="shared" si="5"/>
        <v>100.3</v>
      </c>
    </row>
    <row r="83" spans="1:39" s="566" customFormat="1">
      <c r="A83" s="610" t="s">
        <v>603</v>
      </c>
      <c r="B83" s="610" t="s">
        <v>225</v>
      </c>
      <c r="C83" s="536" t="s">
        <v>1449</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1492</v>
      </c>
      <c r="AM83" s="753">
        <f t="shared" si="5"/>
        <v>15</v>
      </c>
    </row>
    <row r="84" spans="1:39" s="566" customFormat="1">
      <c r="A84" s="498" t="s">
        <v>44</v>
      </c>
      <c r="B84" s="614" t="s">
        <v>1201</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604</v>
      </c>
      <c r="B86" s="610" t="s">
        <v>1155</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1493</v>
      </c>
      <c r="AM86" s="753">
        <f t="shared" si="8"/>
        <v>34.270000000000003</v>
      </c>
    </row>
    <row r="87" spans="1:39" s="566" customFormat="1">
      <c r="A87" s="610" t="s">
        <v>605</v>
      </c>
      <c r="B87" s="610" t="s">
        <v>1156</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1494</v>
      </c>
      <c r="AM87" s="753">
        <f t="shared" si="8"/>
        <v>16.989999999999998</v>
      </c>
    </row>
    <row r="88" spans="1:39" s="566" customFormat="1">
      <c r="A88" s="610" t="s">
        <v>606</v>
      </c>
      <c r="B88" s="610" t="s">
        <v>1157</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1495</v>
      </c>
      <c r="AM88" s="753">
        <f t="shared" si="8"/>
        <v>28.37</v>
      </c>
    </row>
    <row r="89" spans="1:39" s="566" customFormat="1">
      <c r="A89" s="610" t="s">
        <v>607</v>
      </c>
      <c r="B89" s="610" t="s">
        <v>1158</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1496</v>
      </c>
      <c r="AM89" s="753">
        <f t="shared" si="8"/>
        <v>57.19</v>
      </c>
    </row>
    <row r="90" spans="1:39" s="566" customFormat="1">
      <c r="A90" s="610" t="s">
        <v>608</v>
      </c>
      <c r="B90" s="610" t="s">
        <v>1159</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1497</v>
      </c>
      <c r="AM90" s="753">
        <f t="shared" si="8"/>
        <v>28.61</v>
      </c>
    </row>
    <row r="91" spans="1:39" s="566" customFormat="1">
      <c r="A91" s="610" t="s">
        <v>609</v>
      </c>
      <c r="B91" s="610" t="s">
        <v>1160</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1497</v>
      </c>
      <c r="AM91" s="753">
        <f t="shared" si="8"/>
        <v>28.61</v>
      </c>
    </row>
    <row r="92" spans="1:39" s="566" customFormat="1">
      <c r="A92" s="613" t="s">
        <v>55</v>
      </c>
      <c r="B92" s="613" t="s">
        <v>1161</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610</v>
      </c>
      <c r="B93" s="610" t="s">
        <v>1202</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1498</v>
      </c>
      <c r="AM93" s="753">
        <f t="shared" si="8"/>
        <v>26.55</v>
      </c>
    </row>
    <row r="94" spans="1:39" s="939" customFormat="1">
      <c r="A94" s="928" t="s">
        <v>611</v>
      </c>
      <c r="B94" s="928" t="s">
        <v>1203</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1499</v>
      </c>
      <c r="AM94" s="938">
        <f t="shared" si="8"/>
        <v>12.87</v>
      </c>
    </row>
    <row r="95" spans="1:39" s="939" customFormat="1">
      <c r="A95" s="928" t="s">
        <v>612</v>
      </c>
      <c r="B95" s="928" t="s">
        <v>1204</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1500</v>
      </c>
      <c r="AM95" s="938">
        <f t="shared" si="8"/>
        <v>2.68</v>
      </c>
    </row>
    <row r="96" spans="1:39" s="939" customFormat="1">
      <c r="A96" s="928" t="s">
        <v>613</v>
      </c>
      <c r="B96" s="928" t="s">
        <v>1166</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1501</v>
      </c>
      <c r="AM96" s="938">
        <f t="shared" si="8"/>
        <v>96.66</v>
      </c>
    </row>
    <row r="97" spans="1:39" s="566" customFormat="1">
      <c r="A97" s="610" t="s">
        <v>614</v>
      </c>
      <c r="B97" s="610" t="s">
        <v>1167</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1496</v>
      </c>
      <c r="AM97" s="753">
        <f t="shared" si="8"/>
        <v>57.19</v>
      </c>
    </row>
    <row r="98" spans="1:39" s="566" customFormat="1">
      <c r="A98" s="613" t="s">
        <v>615</v>
      </c>
      <c r="B98" s="613" t="s">
        <v>1168</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616</v>
      </c>
      <c r="B99" s="610" t="s">
        <v>1169</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617</v>
      </c>
      <c r="B100" s="610" t="s">
        <v>1205</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1502</v>
      </c>
      <c r="AM100" s="753">
        <f t="shared" si="8"/>
        <v>8.06</v>
      </c>
    </row>
    <row r="101" spans="1:39" s="566" customFormat="1">
      <c r="A101" s="610" t="s">
        <v>618</v>
      </c>
      <c r="B101" s="610" t="s">
        <v>1171</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1503</v>
      </c>
      <c r="AM101" s="753">
        <f t="shared" si="8"/>
        <v>337.22</v>
      </c>
    </row>
    <row r="102" spans="1:39" s="566" customFormat="1">
      <c r="A102" s="610" t="s">
        <v>619</v>
      </c>
      <c r="B102" s="610" t="s">
        <v>1172</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620</v>
      </c>
      <c r="B103" s="610" t="s">
        <v>1206</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1504</v>
      </c>
      <c r="AM103" s="753">
        <f t="shared" si="8"/>
        <v>3.81</v>
      </c>
    </row>
    <row r="104" spans="1:39" s="566" customFormat="1">
      <c r="A104" s="610" t="s">
        <v>621</v>
      </c>
      <c r="B104" s="610" t="s">
        <v>1174</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1505</v>
      </c>
      <c r="AM104" s="753">
        <f t="shared" si="8"/>
        <v>30.45</v>
      </c>
    </row>
    <row r="105" spans="1:39" s="566" customFormat="1">
      <c r="A105" s="610" t="s">
        <v>622</v>
      </c>
      <c r="B105" s="610" t="s">
        <v>1175</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1506</v>
      </c>
      <c r="AM105" s="753">
        <f t="shared" si="8"/>
        <v>322.07</v>
      </c>
    </row>
    <row r="106" spans="1:39" s="566" customFormat="1">
      <c r="A106" s="610" t="s">
        <v>623</v>
      </c>
      <c r="B106" s="610" t="s">
        <v>1176</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624</v>
      </c>
      <c r="B107" s="610" t="s">
        <v>1207</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1507</v>
      </c>
      <c r="AM107" s="753">
        <f t="shared" si="8"/>
        <v>5.95</v>
      </c>
    </row>
    <row r="108" spans="1:39" s="566" customFormat="1">
      <c r="A108" s="610" t="s">
        <v>625</v>
      </c>
      <c r="B108" s="610" t="s">
        <v>1178</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1508</v>
      </c>
      <c r="AM108" s="753">
        <f t="shared" si="8"/>
        <v>77.91</v>
      </c>
    </row>
    <row r="109" spans="1:39" s="566" customFormat="1">
      <c r="A109" s="610" t="s">
        <v>626</v>
      </c>
      <c r="B109" s="610" t="s">
        <v>1179</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1509</v>
      </c>
      <c r="AM109" s="753">
        <f t="shared" si="8"/>
        <v>2582.91</v>
      </c>
    </row>
    <row r="110" spans="1:39" s="566" customFormat="1">
      <c r="A110" s="610" t="s">
        <v>627</v>
      </c>
      <c r="B110" s="610" t="s">
        <v>1180</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628</v>
      </c>
      <c r="B111" s="610" t="s">
        <v>1181</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1510</v>
      </c>
      <c r="AM111" s="753">
        <f t="shared" si="8"/>
        <v>2.82</v>
      </c>
    </row>
    <row r="112" spans="1:39" s="566" customFormat="1">
      <c r="A112" s="610" t="s">
        <v>629</v>
      </c>
      <c r="B112" s="610" t="s">
        <v>1182</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1511</v>
      </c>
      <c r="AM112" s="753">
        <f t="shared" si="8"/>
        <v>35.44</v>
      </c>
    </row>
    <row r="113" spans="1:39" s="566" customFormat="1">
      <c r="A113" s="610" t="s">
        <v>630</v>
      </c>
      <c r="B113" s="610" t="s">
        <v>1183</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1512</v>
      </c>
      <c r="AM113" s="753">
        <f t="shared" si="8"/>
        <v>536.94000000000005</v>
      </c>
    </row>
    <row r="114" spans="1:39" s="566" customFormat="1">
      <c r="A114" s="610" t="s">
        <v>631</v>
      </c>
      <c r="B114" s="610" t="s">
        <v>1184</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632</v>
      </c>
      <c r="B115" s="610" t="s">
        <v>1185</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1513</v>
      </c>
      <c r="AM115" s="753">
        <f t="shared" si="8"/>
        <v>10.33</v>
      </c>
    </row>
    <row r="116" spans="1:39" s="566" customFormat="1">
      <c r="A116" s="610" t="s">
        <v>633</v>
      </c>
      <c r="B116" s="610" t="s">
        <v>1186</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1514</v>
      </c>
      <c r="AM116" s="753">
        <f t="shared" si="8"/>
        <v>116.46</v>
      </c>
    </row>
    <row r="117" spans="1:39" s="566" customFormat="1">
      <c r="A117" s="610" t="s">
        <v>634</v>
      </c>
      <c r="B117" s="610" t="s">
        <v>1187</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1515</v>
      </c>
      <c r="AM117" s="753">
        <f t="shared" si="8"/>
        <v>1452.85</v>
      </c>
    </row>
    <row r="118" spans="1:39" s="566" customFormat="1">
      <c r="A118" s="610" t="s">
        <v>635</v>
      </c>
      <c r="B118" s="610" t="s">
        <v>1188</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636</v>
      </c>
      <c r="B119" s="610" t="s">
        <v>1189</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1516</v>
      </c>
      <c r="AM119" s="753">
        <f t="shared" si="8"/>
        <v>8.94</v>
      </c>
    </row>
    <row r="120" spans="1:39" s="566" customFormat="1">
      <c r="A120" s="610" t="s">
        <v>637</v>
      </c>
      <c r="B120" s="610" t="s">
        <v>1190</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1517</v>
      </c>
      <c r="AM120" s="753">
        <f t="shared" si="8"/>
        <v>102.17</v>
      </c>
    </row>
    <row r="121" spans="1:39" s="566" customFormat="1">
      <c r="A121" s="610" t="s">
        <v>638</v>
      </c>
      <c r="B121" s="610" t="s">
        <v>1191</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1518</v>
      </c>
      <c r="AM121" s="753">
        <f t="shared" si="8"/>
        <v>1062.45</v>
      </c>
    </row>
    <row r="122" spans="1:39" s="566" customFormat="1">
      <c r="A122" s="610" t="s">
        <v>639</v>
      </c>
      <c r="B122" s="610" t="s">
        <v>1192</v>
      </c>
      <c r="C122" s="536" t="s">
        <v>1449</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1519</v>
      </c>
      <c r="AM122" s="753">
        <f t="shared" si="8"/>
        <v>851.11</v>
      </c>
    </row>
    <row r="123" spans="1:39" s="566" customFormat="1">
      <c r="A123" s="610" t="s">
        <v>640</v>
      </c>
      <c r="B123" s="610" t="s">
        <v>1193</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641</v>
      </c>
      <c r="B124" s="610" t="s">
        <v>1194</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1520</v>
      </c>
      <c r="AM124" s="753">
        <f t="shared" si="8"/>
        <v>2.66</v>
      </c>
    </row>
    <row r="125" spans="1:39" s="566" customFormat="1">
      <c r="A125" s="610" t="s">
        <v>642</v>
      </c>
      <c r="B125" s="610" t="s">
        <v>1195</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1511</v>
      </c>
      <c r="AM125" s="753">
        <f t="shared" si="8"/>
        <v>35.44</v>
      </c>
    </row>
    <row r="126" spans="1:39" s="566" customFormat="1">
      <c r="A126" s="610" t="s">
        <v>643</v>
      </c>
      <c r="B126" s="610" t="s">
        <v>1196</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1521</v>
      </c>
      <c r="AM126" s="753">
        <f t="shared" si="8"/>
        <v>179.59</v>
      </c>
    </row>
    <row r="127" spans="1:39" s="566" customFormat="1">
      <c r="A127" s="613" t="s">
        <v>644</v>
      </c>
      <c r="B127" s="613" t="s">
        <v>1197</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645</v>
      </c>
      <c r="B128" s="610" t="s">
        <v>1198</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1522</v>
      </c>
      <c r="AM128" s="753">
        <f t="shared" si="8"/>
        <v>158.4</v>
      </c>
    </row>
    <row r="129" spans="1:39" s="566" customFormat="1">
      <c r="A129" s="613" t="s">
        <v>646</v>
      </c>
      <c r="B129" s="613" t="s">
        <v>1199</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647</v>
      </c>
      <c r="B130" s="610" t="s">
        <v>1200</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1523</v>
      </c>
      <c r="AM130" s="753">
        <f t="shared" si="8"/>
        <v>83.2</v>
      </c>
    </row>
    <row r="131" spans="1:39" s="566" customFormat="1">
      <c r="A131" s="610" t="s">
        <v>648</v>
      </c>
      <c r="B131" s="610" t="s">
        <v>225</v>
      </c>
      <c r="C131" s="536" t="s">
        <v>1449</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1492</v>
      </c>
      <c r="AM131" s="753">
        <f t="shared" si="8"/>
        <v>15</v>
      </c>
    </row>
    <row r="132" spans="1:39" s="566" customFormat="1">
      <c r="A132" s="498" t="s">
        <v>52</v>
      </c>
      <c r="B132" s="614" t="s">
        <v>1208</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1524</v>
      </c>
      <c r="AM133" s="753">
        <f t="shared" si="8"/>
        <v>28.51</v>
      </c>
    </row>
    <row r="134" spans="1:39" s="566" customFormat="1">
      <c r="A134" s="610" t="s">
        <v>649</v>
      </c>
      <c r="B134" s="610" t="s">
        <v>1155</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1525</v>
      </c>
      <c r="AM134" s="753">
        <f t="shared" si="8"/>
        <v>19.8</v>
      </c>
    </row>
    <row r="135" spans="1:39" s="566" customFormat="1">
      <c r="A135" s="610" t="s">
        <v>650</v>
      </c>
      <c r="B135" s="610" t="s">
        <v>1156</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1526</v>
      </c>
      <c r="AM135" s="753">
        <f t="shared" si="8"/>
        <v>34.56</v>
      </c>
    </row>
    <row r="136" spans="1:39" s="566" customFormat="1">
      <c r="A136" s="610" t="s">
        <v>651</v>
      </c>
      <c r="B136" s="610" t="s">
        <v>1157</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1527</v>
      </c>
      <c r="AM136" s="753">
        <f t="shared" si="8"/>
        <v>72.33</v>
      </c>
    </row>
    <row r="137" spans="1:39" s="566" customFormat="1">
      <c r="A137" s="610" t="s">
        <v>652</v>
      </c>
      <c r="B137" s="610" t="s">
        <v>1158</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1528</v>
      </c>
      <c r="AM137" s="753">
        <f t="shared" si="8"/>
        <v>17.190000000000001</v>
      </c>
    </row>
    <row r="138" spans="1:39" s="566" customFormat="1">
      <c r="A138" s="610" t="s">
        <v>653</v>
      </c>
      <c r="B138" s="610" t="s">
        <v>1159</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1528</v>
      </c>
      <c r="AM138" s="753">
        <f t="shared" si="8"/>
        <v>17.190000000000001</v>
      </c>
    </row>
    <row r="139" spans="1:39" s="566" customFormat="1">
      <c r="A139" s="610" t="s">
        <v>654</v>
      </c>
      <c r="B139" s="610" t="s">
        <v>1160</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1161</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1529</v>
      </c>
      <c r="AM140" s="753">
        <f t="shared" si="8"/>
        <v>23.07</v>
      </c>
    </row>
    <row r="141" spans="1:39" s="566" customFormat="1">
      <c r="A141" s="610" t="s">
        <v>655</v>
      </c>
      <c r="B141" s="610" t="s">
        <v>1202</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1530</v>
      </c>
      <c r="AM141" s="753">
        <f t="shared" si="8"/>
        <v>10.4</v>
      </c>
    </row>
    <row r="142" spans="1:39" s="939" customFormat="1">
      <c r="A142" s="928" t="s">
        <v>656</v>
      </c>
      <c r="B142" s="928" t="s">
        <v>1203</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1531</v>
      </c>
      <c r="AM142" s="938">
        <f t="shared" si="8"/>
        <v>2.1800000000000002</v>
      </c>
    </row>
    <row r="143" spans="1:39" s="939" customFormat="1">
      <c r="A143" s="928" t="s">
        <v>657</v>
      </c>
      <c r="B143" s="928" t="s">
        <v>1204</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1532</v>
      </c>
      <c r="AM143" s="938">
        <f t="shared" si="8"/>
        <v>29.03</v>
      </c>
    </row>
    <row r="144" spans="1:39" s="566" customFormat="1">
      <c r="A144" s="610" t="s">
        <v>658</v>
      </c>
      <c r="B144" s="610" t="s">
        <v>1166</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1527</v>
      </c>
      <c r="AM144" s="753">
        <f t="shared" si="8"/>
        <v>72.33</v>
      </c>
    </row>
    <row r="145" spans="1:39" s="566" customFormat="1">
      <c r="A145" s="610" t="s">
        <v>659</v>
      </c>
      <c r="B145" s="610" t="s">
        <v>1167</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660</v>
      </c>
      <c r="B146" s="613" t="s">
        <v>1168</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661</v>
      </c>
      <c r="B147" s="610" t="s">
        <v>1169</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1533</v>
      </c>
      <c r="AM147" s="753">
        <f t="shared" si="8"/>
        <v>6.34</v>
      </c>
    </row>
    <row r="148" spans="1:39" s="566" customFormat="1">
      <c r="A148" s="610" t="s">
        <v>662</v>
      </c>
      <c r="B148" s="610" t="s">
        <v>1205</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1534</v>
      </c>
      <c r="AM148" s="753">
        <f t="shared" ref="AM148:AM211" si="11">AL148-AK148</f>
        <v>264.95999999999998</v>
      </c>
    </row>
    <row r="149" spans="1:39" s="566" customFormat="1">
      <c r="A149" s="610" t="s">
        <v>663</v>
      </c>
      <c r="B149" s="610" t="s">
        <v>1171</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664</v>
      </c>
      <c r="B150" s="610" t="s">
        <v>1172</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1535</v>
      </c>
      <c r="AM150" s="753">
        <f t="shared" si="11"/>
        <v>3.77</v>
      </c>
    </row>
    <row r="151" spans="1:39" s="566" customFormat="1">
      <c r="A151" s="610" t="s">
        <v>665</v>
      </c>
      <c r="B151" s="610" t="s">
        <v>1206</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1536</v>
      </c>
      <c r="AM151" s="753">
        <f t="shared" si="11"/>
        <v>30.18</v>
      </c>
    </row>
    <row r="152" spans="1:39" s="566" customFormat="1">
      <c r="A152" s="610" t="s">
        <v>666</v>
      </c>
      <c r="B152" s="610" t="s">
        <v>1174</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1537</v>
      </c>
      <c r="AM152" s="753">
        <f t="shared" si="11"/>
        <v>365.33</v>
      </c>
    </row>
    <row r="153" spans="1:39" s="566" customFormat="1" ht="13.35" customHeight="1">
      <c r="A153" s="610" t="s">
        <v>667</v>
      </c>
      <c r="B153" s="610" t="s">
        <v>1175</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668</v>
      </c>
      <c r="B154" s="610" t="s">
        <v>1176</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1538</v>
      </c>
      <c r="AM154" s="753">
        <f t="shared" si="11"/>
        <v>6.4</v>
      </c>
    </row>
    <row r="155" spans="1:39" s="566" customFormat="1" ht="13.35" customHeight="1">
      <c r="A155" s="610" t="s">
        <v>669</v>
      </c>
      <c r="B155" s="610" t="s">
        <v>1207</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1539</v>
      </c>
      <c r="AM155" s="753">
        <f t="shared" si="11"/>
        <v>76.7</v>
      </c>
    </row>
    <row r="156" spans="1:39" s="566" customFormat="1" ht="13.35" customHeight="1">
      <c r="A156" s="610" t="s">
        <v>670</v>
      </c>
      <c r="B156" s="610" t="s">
        <v>1178</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1540</v>
      </c>
      <c r="AM156" s="753">
        <f t="shared" si="11"/>
        <v>1929.18</v>
      </c>
    </row>
    <row r="157" spans="1:39" s="566" customFormat="1" ht="13.35" customHeight="1">
      <c r="A157" s="610" t="s">
        <v>671</v>
      </c>
      <c r="B157" s="610" t="s">
        <v>1179</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672</v>
      </c>
      <c r="B158" s="610" t="s">
        <v>1180</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1541</v>
      </c>
      <c r="AM158" s="753">
        <f t="shared" si="11"/>
        <v>3.44</v>
      </c>
    </row>
    <row r="159" spans="1:39" s="566" customFormat="1" ht="13.35" customHeight="1">
      <c r="A159" s="610" t="s">
        <v>673</v>
      </c>
      <c r="B159" s="610" t="s">
        <v>1181</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1542</v>
      </c>
      <c r="AM159" s="753">
        <f t="shared" si="11"/>
        <v>21.46</v>
      </c>
    </row>
    <row r="160" spans="1:39" s="566" customFormat="1" ht="13.35" customHeight="1">
      <c r="A160" s="610" t="s">
        <v>674</v>
      </c>
      <c r="B160" s="610" t="s">
        <v>1182</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1543</v>
      </c>
      <c r="AM160" s="753">
        <f t="shared" si="11"/>
        <v>302.89999999999998</v>
      </c>
    </row>
    <row r="161" spans="1:39" s="566" customFormat="1" ht="13.35" customHeight="1">
      <c r="A161" s="610" t="s">
        <v>675</v>
      </c>
      <c r="B161" s="610" t="s">
        <v>1183</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676</v>
      </c>
      <c r="B162" s="610" t="s">
        <v>1184</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1544</v>
      </c>
      <c r="AM162" s="753">
        <f t="shared" si="11"/>
        <v>11.56</v>
      </c>
    </row>
    <row r="163" spans="1:39" s="566" customFormat="1" ht="13.35" customHeight="1">
      <c r="A163" s="610" t="s">
        <v>677</v>
      </c>
      <c r="B163" s="610" t="s">
        <v>1185</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1545</v>
      </c>
      <c r="AM163" s="753">
        <f t="shared" si="11"/>
        <v>101.84</v>
      </c>
    </row>
    <row r="164" spans="1:39" s="566" customFormat="1" ht="13.35" customHeight="1">
      <c r="A164" s="610" t="s">
        <v>678</v>
      </c>
      <c r="B164" s="610" t="s">
        <v>1186</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1546</v>
      </c>
      <c r="AM164" s="753">
        <f t="shared" si="11"/>
        <v>1333.5</v>
      </c>
    </row>
    <row r="165" spans="1:39" s="566" customFormat="1" ht="13.35" customHeight="1">
      <c r="A165" s="610" t="s">
        <v>679</v>
      </c>
      <c r="B165" s="610" t="s">
        <v>1187</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680</v>
      </c>
      <c r="B166" s="610" t="s">
        <v>1188</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1547</v>
      </c>
      <c r="AM166" s="753">
        <f t="shared" si="11"/>
        <v>13.47</v>
      </c>
    </row>
    <row r="167" spans="1:39" s="566" customFormat="1" ht="13.35" customHeight="1">
      <c r="A167" s="610" t="s">
        <v>681</v>
      </c>
      <c r="B167" s="610" t="s">
        <v>1189</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1548</v>
      </c>
      <c r="AM167" s="753">
        <f t="shared" si="11"/>
        <v>153.93</v>
      </c>
    </row>
    <row r="168" spans="1:39" s="566" customFormat="1" ht="13.35" customHeight="1">
      <c r="A168" s="610" t="s">
        <v>682</v>
      </c>
      <c r="B168" s="610" t="s">
        <v>1190</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1549</v>
      </c>
      <c r="AM168" s="753">
        <f t="shared" si="11"/>
        <v>1781.46</v>
      </c>
    </row>
    <row r="169" spans="1:39" s="566" customFormat="1" ht="13.35" customHeight="1">
      <c r="A169" s="610" t="s">
        <v>683</v>
      </c>
      <c r="B169" s="610" t="s">
        <v>1191</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1550</v>
      </c>
      <c r="AM169" s="753">
        <f t="shared" si="11"/>
        <v>1146.1400000000001</v>
      </c>
    </row>
    <row r="170" spans="1:39" s="566" customFormat="1" ht="13.35" customHeight="1">
      <c r="A170" s="610" t="s">
        <v>684</v>
      </c>
      <c r="B170" s="610" t="s">
        <v>1192</v>
      </c>
      <c r="C170" s="620" t="s">
        <v>1449</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685</v>
      </c>
      <c r="B171" s="610" t="s">
        <v>1193</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1551</v>
      </c>
      <c r="AM171" s="753">
        <f t="shared" si="11"/>
        <v>2.57</v>
      </c>
    </row>
    <row r="172" spans="1:39" s="566" customFormat="1" ht="13.35" customHeight="1">
      <c r="A172" s="610" t="s">
        <v>686</v>
      </c>
      <c r="B172" s="610" t="s">
        <v>1194</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1493</v>
      </c>
      <c r="AM172" s="753">
        <f t="shared" si="11"/>
        <v>34.270000000000003</v>
      </c>
    </row>
    <row r="173" spans="1:39" s="566" customFormat="1" ht="13.35" customHeight="1">
      <c r="A173" s="610" t="s">
        <v>687</v>
      </c>
      <c r="B173" s="610" t="s">
        <v>1195</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1552</v>
      </c>
      <c r="AM173" s="753">
        <f t="shared" si="11"/>
        <v>178.66</v>
      </c>
    </row>
    <row r="174" spans="1:39" s="566" customFormat="1" ht="13.35" customHeight="1">
      <c r="A174" s="610" t="s">
        <v>688</v>
      </c>
      <c r="B174" s="610" t="s">
        <v>1196</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689</v>
      </c>
      <c r="B175" s="613" t="s">
        <v>1197</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1553</v>
      </c>
      <c r="AM175" s="753">
        <f t="shared" si="11"/>
        <v>377.52</v>
      </c>
    </row>
    <row r="176" spans="1:39" s="566" customFormat="1" ht="13.35" customHeight="1">
      <c r="A176" s="610" t="s">
        <v>690</v>
      </c>
      <c r="B176" s="610" t="s">
        <v>1198</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691</v>
      </c>
      <c r="B177" s="613" t="s">
        <v>1199</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1554</v>
      </c>
      <c r="AM177" s="753">
        <f t="shared" si="11"/>
        <v>75.400000000000006</v>
      </c>
    </row>
    <row r="178" spans="1:39" s="566" customFormat="1" ht="13.35" customHeight="1">
      <c r="A178" s="610" t="s">
        <v>692</v>
      </c>
      <c r="B178" s="610" t="s">
        <v>1200</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1492</v>
      </c>
      <c r="AM178" s="753">
        <f t="shared" si="11"/>
        <v>15</v>
      </c>
    </row>
    <row r="179" spans="1:39" s="566" customFormat="1" ht="13.35" customHeight="1">
      <c r="A179" s="610" t="s">
        <v>693</v>
      </c>
      <c r="B179" s="610" t="s">
        <v>225</v>
      </c>
      <c r="C179" s="620" t="s">
        <v>1449</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515</v>
      </c>
      <c r="B180" s="614" t="s">
        <v>1209</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516</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1555</v>
      </c>
      <c r="AM181" s="753">
        <f t="shared" si="11"/>
        <v>39.86</v>
      </c>
    </row>
    <row r="182" spans="1:39" s="566" customFormat="1" ht="13.35" customHeight="1">
      <c r="A182" s="610" t="s">
        <v>694</v>
      </c>
      <c r="B182" s="610" t="s">
        <v>1155</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1556</v>
      </c>
      <c r="AM182" s="753">
        <f t="shared" si="11"/>
        <v>9.1</v>
      </c>
    </row>
    <row r="183" spans="1:39" s="566" customFormat="1" ht="13.35" customHeight="1">
      <c r="A183" s="610" t="s">
        <v>695</v>
      </c>
      <c r="B183" s="610" t="s">
        <v>1156</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1557</v>
      </c>
      <c r="AM183" s="753">
        <f t="shared" si="11"/>
        <v>15.72</v>
      </c>
    </row>
    <row r="184" spans="1:39" s="566" customFormat="1" ht="13.35" customHeight="1">
      <c r="A184" s="610" t="s">
        <v>696</v>
      </c>
      <c r="B184" s="610" t="s">
        <v>1157</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1558</v>
      </c>
      <c r="AM184" s="753">
        <f t="shared" si="11"/>
        <v>22.03</v>
      </c>
    </row>
    <row r="185" spans="1:39" s="566" customFormat="1" ht="13.35" customHeight="1">
      <c r="A185" s="610" t="s">
        <v>697</v>
      </c>
      <c r="B185" s="610" t="s">
        <v>1158</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1559</v>
      </c>
      <c r="AM185" s="753">
        <f t="shared" si="11"/>
        <v>41.56</v>
      </c>
    </row>
    <row r="186" spans="1:39" s="566" customFormat="1" ht="13.35" customHeight="1">
      <c r="A186" s="610" t="s">
        <v>698</v>
      </c>
      <c r="B186" s="610" t="s">
        <v>1159</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1559</v>
      </c>
      <c r="AM186" s="753">
        <f t="shared" si="11"/>
        <v>41.56</v>
      </c>
    </row>
    <row r="187" spans="1:39" s="566" customFormat="1" ht="13.35" customHeight="1">
      <c r="A187" s="610" t="s">
        <v>699</v>
      </c>
      <c r="B187" s="610" t="s">
        <v>1160</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700</v>
      </c>
      <c r="B188" s="613" t="s">
        <v>1161</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1560</v>
      </c>
      <c r="AM188" s="753">
        <f t="shared" si="11"/>
        <v>20.28</v>
      </c>
    </row>
    <row r="189" spans="1:39" s="566" customFormat="1" ht="13.35" customHeight="1">
      <c r="A189" s="610" t="s">
        <v>701</v>
      </c>
      <c r="B189" s="610" t="s">
        <v>1162</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1561</v>
      </c>
      <c r="AM189" s="753">
        <f t="shared" si="11"/>
        <v>14.79</v>
      </c>
    </row>
    <row r="190" spans="1:39" s="566" customFormat="1" ht="13.35" customHeight="1">
      <c r="A190" s="610" t="s">
        <v>702</v>
      </c>
      <c r="B190" s="610" t="s">
        <v>1202</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1562</v>
      </c>
      <c r="AM190" s="753">
        <f t="shared" si="11"/>
        <v>3.22</v>
      </c>
    </row>
    <row r="191" spans="1:39" s="566" customFormat="1" ht="13.35" customHeight="1">
      <c r="A191" s="610" t="s">
        <v>703</v>
      </c>
      <c r="B191" s="610" t="s">
        <v>1203</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1563</v>
      </c>
      <c r="AM191" s="753">
        <f t="shared" si="11"/>
        <v>1.61</v>
      </c>
    </row>
    <row r="192" spans="1:39" s="566" customFormat="1" ht="13.35" customHeight="1">
      <c r="A192" s="610" t="s">
        <v>704</v>
      </c>
      <c r="B192" s="610" t="s">
        <v>1204</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1564</v>
      </c>
      <c r="AM192" s="753">
        <f t="shared" si="11"/>
        <v>42.4</v>
      </c>
    </row>
    <row r="193" spans="1:39" s="566" customFormat="1" ht="13.35" customHeight="1">
      <c r="A193" s="610" t="s">
        <v>705</v>
      </c>
      <c r="B193" s="610" t="s">
        <v>1166</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1558</v>
      </c>
      <c r="AM193" s="753">
        <f t="shared" si="11"/>
        <v>22.03</v>
      </c>
    </row>
    <row r="194" spans="1:39" s="566" customFormat="1" ht="13.35" customHeight="1">
      <c r="A194" s="610" t="s">
        <v>706</v>
      </c>
      <c r="B194" s="610" t="s">
        <v>1167</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707</v>
      </c>
      <c r="B195" s="613" t="s">
        <v>1168</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708</v>
      </c>
      <c r="B196" s="610" t="s">
        <v>1169</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1469</v>
      </c>
      <c r="AM196" s="753">
        <f t="shared" si="11"/>
        <v>4.6100000000000003</v>
      </c>
    </row>
    <row r="197" spans="1:39" s="566" customFormat="1" ht="13.35" customHeight="1">
      <c r="A197" s="610" t="s">
        <v>709</v>
      </c>
      <c r="B197" s="610" t="s">
        <v>1205</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1470</v>
      </c>
      <c r="AM197" s="753">
        <f t="shared" si="11"/>
        <v>192.7</v>
      </c>
    </row>
    <row r="198" spans="1:39" s="566" customFormat="1" ht="13.35" customHeight="1">
      <c r="A198" s="610" t="s">
        <v>710</v>
      </c>
      <c r="B198" s="610" t="s">
        <v>1171</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711</v>
      </c>
      <c r="B199" s="610" t="s">
        <v>1172</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1565</v>
      </c>
      <c r="AM199" s="753">
        <f t="shared" si="11"/>
        <v>2.19</v>
      </c>
    </row>
    <row r="200" spans="1:39" s="566" customFormat="1" ht="13.35" customHeight="1">
      <c r="A200" s="610" t="s">
        <v>712</v>
      </c>
      <c r="B200" s="610" t="s">
        <v>1206</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1566</v>
      </c>
      <c r="AM200" s="753">
        <f t="shared" si="11"/>
        <v>17.489999999999998</v>
      </c>
    </row>
    <row r="201" spans="1:39" s="566" customFormat="1" ht="13.35" customHeight="1">
      <c r="A201" s="610" t="s">
        <v>713</v>
      </c>
      <c r="B201" s="610" t="s">
        <v>1174</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1567</v>
      </c>
      <c r="AM201" s="753">
        <f t="shared" si="11"/>
        <v>179.25</v>
      </c>
    </row>
    <row r="202" spans="1:39" s="566" customFormat="1" ht="13.35" customHeight="1">
      <c r="A202" s="610" t="s">
        <v>714</v>
      </c>
      <c r="B202" s="610" t="s">
        <v>1175</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715</v>
      </c>
      <c r="B203" s="610" t="s">
        <v>1176</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1531</v>
      </c>
      <c r="AM203" s="753">
        <f t="shared" si="11"/>
        <v>2.1800000000000002</v>
      </c>
    </row>
    <row r="204" spans="1:39" s="566" customFormat="1" ht="13.35" customHeight="1">
      <c r="A204" s="610" t="s">
        <v>716</v>
      </c>
      <c r="B204" s="610" t="s">
        <v>1207</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1568</v>
      </c>
      <c r="AM204" s="753">
        <f t="shared" si="11"/>
        <v>34.799999999999997</v>
      </c>
    </row>
    <row r="205" spans="1:39" s="566" customFormat="1" ht="13.35" customHeight="1">
      <c r="A205" s="610" t="s">
        <v>717</v>
      </c>
      <c r="B205" s="610" t="s">
        <v>1178</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1569</v>
      </c>
      <c r="AM205" s="753">
        <f t="shared" si="11"/>
        <v>314.66000000000003</v>
      </c>
    </row>
    <row r="206" spans="1:39" s="566" customFormat="1" ht="13.35" customHeight="1">
      <c r="A206" s="610" t="s">
        <v>718</v>
      </c>
      <c r="B206" s="610" t="s">
        <v>1179</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719</v>
      </c>
      <c r="B207" s="610" t="s">
        <v>1180</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1477</v>
      </c>
      <c r="AM207" s="753">
        <f t="shared" si="11"/>
        <v>1.49</v>
      </c>
    </row>
    <row r="208" spans="1:39" s="566" customFormat="1" ht="13.35" customHeight="1">
      <c r="A208" s="610" t="s">
        <v>720</v>
      </c>
      <c r="B208" s="610" t="s">
        <v>1181</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1478</v>
      </c>
      <c r="AM208" s="753">
        <f t="shared" si="11"/>
        <v>19.71</v>
      </c>
    </row>
    <row r="209" spans="1:39" s="566" customFormat="1" ht="13.35" customHeight="1">
      <c r="A209" s="610" t="s">
        <v>721</v>
      </c>
      <c r="B209" s="610" t="s">
        <v>1182</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1479</v>
      </c>
      <c r="AM209" s="753">
        <f t="shared" si="11"/>
        <v>659.98</v>
      </c>
    </row>
    <row r="210" spans="1:39" s="566" customFormat="1" ht="13.35" customHeight="1">
      <c r="A210" s="610" t="s">
        <v>722</v>
      </c>
      <c r="B210" s="610" t="s">
        <v>1183</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723</v>
      </c>
      <c r="B211" s="610" t="s">
        <v>1184</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1570</v>
      </c>
      <c r="AM211" s="753">
        <f t="shared" si="11"/>
        <v>5.6</v>
      </c>
    </row>
    <row r="212" spans="1:39" s="566" customFormat="1" ht="13.35" customHeight="1">
      <c r="A212" s="610" t="s">
        <v>724</v>
      </c>
      <c r="B212" s="610" t="s">
        <v>1185</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1571</v>
      </c>
      <c r="AM212" s="753">
        <f t="shared" ref="AM212:AM275" si="14">AL212-AK212</f>
        <v>48.75</v>
      </c>
    </row>
    <row r="213" spans="1:39" s="566" customFormat="1" ht="13.35" customHeight="1">
      <c r="A213" s="610" t="s">
        <v>725</v>
      </c>
      <c r="B213" s="610" t="s">
        <v>1186</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1572</v>
      </c>
      <c r="AM213" s="753">
        <f t="shared" si="14"/>
        <v>642.09</v>
      </c>
    </row>
    <row r="214" spans="1:39" s="566" customFormat="1" ht="13.35" customHeight="1">
      <c r="A214" s="610" t="s">
        <v>726</v>
      </c>
      <c r="B214" s="610" t="s">
        <v>1187</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727</v>
      </c>
      <c r="B215" s="610" t="s">
        <v>1188</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1573</v>
      </c>
      <c r="AM215" s="753">
        <f t="shared" si="14"/>
        <v>3.36</v>
      </c>
    </row>
    <row r="216" spans="1:39" s="566" customFormat="1" ht="13.35" customHeight="1">
      <c r="A216" s="610" t="s">
        <v>728</v>
      </c>
      <c r="B216" s="610" t="s">
        <v>1189</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1574</v>
      </c>
      <c r="AM216" s="753">
        <f t="shared" si="14"/>
        <v>38.35</v>
      </c>
    </row>
    <row r="217" spans="1:39" s="566" customFormat="1" ht="13.35" customHeight="1">
      <c r="A217" s="610" t="s">
        <v>729</v>
      </c>
      <c r="B217" s="610" t="s">
        <v>1190</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1575</v>
      </c>
      <c r="AM217" s="753">
        <f t="shared" si="14"/>
        <v>276.95999999999998</v>
      </c>
    </row>
    <row r="218" spans="1:39" s="566" customFormat="1" ht="13.35" customHeight="1">
      <c r="A218" s="610" t="s">
        <v>730</v>
      </c>
      <c r="B218" s="610" t="s">
        <v>1191</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1576</v>
      </c>
      <c r="AM218" s="753">
        <f t="shared" si="14"/>
        <v>319.48</v>
      </c>
    </row>
    <row r="219" spans="1:39" s="566" customFormat="1" ht="13.35" customHeight="1">
      <c r="A219" s="610" t="s">
        <v>731</v>
      </c>
      <c r="B219" s="610" t="s">
        <v>1192</v>
      </c>
      <c r="C219" s="620" t="s">
        <v>1449</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732</v>
      </c>
      <c r="B220" s="610" t="s">
        <v>1193</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1577</v>
      </c>
      <c r="AM220" s="753">
        <f t="shared" si="14"/>
        <v>1.03</v>
      </c>
    </row>
    <row r="221" spans="1:39" s="566" customFormat="1" ht="13.35" customHeight="1">
      <c r="A221" s="610" t="s">
        <v>733</v>
      </c>
      <c r="B221" s="610" t="s">
        <v>1194</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1578</v>
      </c>
      <c r="AM221" s="753">
        <f t="shared" si="14"/>
        <v>13.74</v>
      </c>
    </row>
    <row r="222" spans="1:39" s="566" customFormat="1" ht="13.35" customHeight="1">
      <c r="A222" s="610" t="s">
        <v>734</v>
      </c>
      <c r="B222" s="610" t="s">
        <v>1195</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1579</v>
      </c>
      <c r="AM222" s="753">
        <f t="shared" si="14"/>
        <v>65.349999999999994</v>
      </c>
    </row>
    <row r="223" spans="1:39" s="566" customFormat="1" ht="13.35" customHeight="1">
      <c r="A223" s="610" t="s">
        <v>735</v>
      </c>
      <c r="B223" s="610" t="s">
        <v>1196</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736</v>
      </c>
      <c r="B224" s="613" t="s">
        <v>1197</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1580</v>
      </c>
      <c r="AM224" s="753">
        <f t="shared" si="14"/>
        <v>110.7</v>
      </c>
    </row>
    <row r="225" spans="1:39" s="566" customFormat="1" ht="13.35" customHeight="1">
      <c r="A225" s="610" t="s">
        <v>737</v>
      </c>
      <c r="B225" s="610" t="s">
        <v>1198</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738</v>
      </c>
      <c r="B226" s="613" t="s">
        <v>1199</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1581</v>
      </c>
      <c r="AM226" s="753">
        <f t="shared" si="14"/>
        <v>46</v>
      </c>
    </row>
    <row r="227" spans="1:39" s="566" customFormat="1" ht="13.35" customHeight="1">
      <c r="A227" s="610" t="s">
        <v>739</v>
      </c>
      <c r="B227" s="610" t="s">
        <v>1200</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1492</v>
      </c>
      <c r="AM227" s="753">
        <f t="shared" si="14"/>
        <v>15</v>
      </c>
    </row>
    <row r="228" spans="1:39" s="566" customFormat="1" ht="13.35" customHeight="1">
      <c r="A228" s="610" t="s">
        <v>740</v>
      </c>
      <c r="B228" s="610" t="s">
        <v>225</v>
      </c>
      <c r="C228" s="620" t="s">
        <v>1449</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741</v>
      </c>
      <c r="B229" s="614" t="s">
        <v>1210</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742</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1582</v>
      </c>
      <c r="AM230" s="753">
        <f t="shared" si="14"/>
        <v>467.39</v>
      </c>
    </row>
    <row r="231" spans="1:39" s="566" customFormat="1" ht="13.35" customHeight="1">
      <c r="A231" s="610" t="s">
        <v>743</v>
      </c>
      <c r="B231" s="610" t="s">
        <v>1211</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1583</v>
      </c>
      <c r="AM231" s="753">
        <f t="shared" si="14"/>
        <v>560.87</v>
      </c>
    </row>
    <row r="232" spans="1:39" s="566" customFormat="1" ht="13.35" customHeight="1">
      <c r="A232" s="610" t="s">
        <v>744</v>
      </c>
      <c r="B232" s="610" t="s">
        <v>1160</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745</v>
      </c>
      <c r="B233" s="613" t="s">
        <v>1161</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1584</v>
      </c>
      <c r="AM233" s="753">
        <f t="shared" si="14"/>
        <v>13.83</v>
      </c>
    </row>
    <row r="234" spans="1:39" s="566" customFormat="1" ht="13.35" customHeight="1">
      <c r="A234" s="610" t="s">
        <v>746</v>
      </c>
      <c r="B234" s="610" t="s">
        <v>1203</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747</v>
      </c>
      <c r="B235" s="613" t="s">
        <v>1168</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748</v>
      </c>
      <c r="B236" s="610" t="s">
        <v>1176</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1585</v>
      </c>
      <c r="AM236" s="753">
        <f t="shared" si="14"/>
        <v>4.8899999999999997</v>
      </c>
    </row>
    <row r="237" spans="1:39" s="566" customFormat="1" ht="13.35" customHeight="1">
      <c r="A237" s="610" t="s">
        <v>749</v>
      </c>
      <c r="B237" s="610" t="s">
        <v>1207</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2">
        <f>2*2.8*0.35*0.15+2*2.8*0.35*0.15</f>
        <v>0.58799999999999986</v>
      </c>
      <c r="X237" s="581"/>
      <c r="Y237" s="581"/>
      <c r="Z237" s="581"/>
      <c r="AA237" s="820"/>
      <c r="AB237" s="859"/>
      <c r="AC237" s="581"/>
      <c r="AD237" s="581"/>
      <c r="AE237" s="790"/>
      <c r="AF237" s="581"/>
      <c r="AG237" s="581"/>
      <c r="AH237" s="884"/>
      <c r="AI237" s="1205">
        <f t="shared" si="12"/>
        <v>11.07</v>
      </c>
      <c r="AJ237" s="991">
        <v>0</v>
      </c>
      <c r="AK237" s="587">
        <f t="shared" si="13"/>
        <v>11.07</v>
      </c>
      <c r="AL237" s="787" t="s">
        <v>1586</v>
      </c>
      <c r="AM237" s="753">
        <f t="shared" si="14"/>
        <v>65.62</v>
      </c>
    </row>
    <row r="238" spans="1:39" s="566" customFormat="1" ht="13.35" customHeight="1">
      <c r="A238" s="610" t="s">
        <v>750</v>
      </c>
      <c r="B238" s="610" t="s">
        <v>1178</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5">
        <f t="shared" si="12"/>
        <v>5.18</v>
      </c>
      <c r="AJ238" s="991">
        <v>0</v>
      </c>
      <c r="AK238" s="587">
        <f t="shared" si="13"/>
        <v>5.18</v>
      </c>
      <c r="AL238" s="787" t="s">
        <v>1587</v>
      </c>
      <c r="AM238" s="753">
        <f t="shared" si="14"/>
        <v>942.62</v>
      </c>
    </row>
    <row r="239" spans="1:39" s="566" customFormat="1" ht="13.35" customHeight="1">
      <c r="A239" s="610" t="s">
        <v>751</v>
      </c>
      <c r="B239" s="610" t="s">
        <v>1179</v>
      </c>
      <c r="C239" s="620" t="s">
        <v>48</v>
      </c>
      <c r="D239" s="1186">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5">
        <f t="shared" si="12"/>
        <v>53.46</v>
      </c>
      <c r="AJ239" s="991">
        <v>0</v>
      </c>
      <c r="AK239" s="587">
        <f t="shared" si="13"/>
        <v>53.46</v>
      </c>
      <c r="AL239" s="787"/>
      <c r="AM239" s="753">
        <f t="shared" si="14"/>
        <v>-53.46</v>
      </c>
    </row>
    <row r="240" spans="1:39" s="566" customFormat="1" ht="13.35" customHeight="1">
      <c r="A240" s="610" t="s">
        <v>752</v>
      </c>
      <c r="B240" s="610" t="s">
        <v>1184</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1588</v>
      </c>
      <c r="AM240" s="753">
        <f t="shared" si="14"/>
        <v>4.2300000000000004</v>
      </c>
    </row>
    <row r="241" spans="1:39" s="566" customFormat="1" ht="13.35" customHeight="1">
      <c r="A241" s="610" t="s">
        <v>753</v>
      </c>
      <c r="B241" s="610" t="s">
        <v>1185</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1589</v>
      </c>
      <c r="AM241" s="753">
        <f t="shared" si="14"/>
        <v>49.66</v>
      </c>
    </row>
    <row r="242" spans="1:39" s="566" customFormat="1" ht="13.35" customHeight="1">
      <c r="A242" s="610" t="s">
        <v>754</v>
      </c>
      <c r="B242" s="610" t="s">
        <v>1186</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1590</v>
      </c>
      <c r="AM242" s="753">
        <f t="shared" si="14"/>
        <v>483.02</v>
      </c>
    </row>
    <row r="243" spans="1:39" s="566" customFormat="1" ht="13.35" customHeight="1">
      <c r="A243" s="610" t="s">
        <v>755</v>
      </c>
      <c r="B243" s="610" t="s">
        <v>1187</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756</v>
      </c>
      <c r="B244" s="610" t="s">
        <v>1212</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1591</v>
      </c>
      <c r="AM244" s="753">
        <f t="shared" si="14"/>
        <v>4.24</v>
      </c>
    </row>
    <row r="245" spans="1:39" s="566" customFormat="1" ht="13.35" customHeight="1">
      <c r="A245" s="610" t="s">
        <v>757</v>
      </c>
      <c r="B245" s="610" t="s">
        <v>1204</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1592</v>
      </c>
      <c r="AM245" s="753">
        <f t="shared" si="14"/>
        <v>56.57</v>
      </c>
    </row>
    <row r="246" spans="1:39" s="566" customFormat="1" ht="13.35" customHeight="1">
      <c r="A246" s="610" t="s">
        <v>758</v>
      </c>
      <c r="B246" s="610" t="s">
        <v>1213</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1593</v>
      </c>
      <c r="AM246" s="753">
        <f t="shared" si="14"/>
        <v>438.73</v>
      </c>
    </row>
    <row r="247" spans="1:39" s="566" customFormat="1" ht="13.35" customHeight="1">
      <c r="A247" s="610" t="s">
        <v>759</v>
      </c>
      <c r="B247" s="610" t="s">
        <v>1214</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760</v>
      </c>
      <c r="B248" s="613" t="s">
        <v>1199</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1594</v>
      </c>
      <c r="AM248" s="753">
        <f t="shared" si="14"/>
        <v>36</v>
      </c>
    </row>
    <row r="249" spans="1:39" s="566" customFormat="1" ht="13.35" customHeight="1">
      <c r="A249" s="610" t="s">
        <v>761</v>
      </c>
      <c r="B249" s="610" t="s">
        <v>1215</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762</v>
      </c>
      <c r="B250" s="614" t="s">
        <v>1216</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763</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1595</v>
      </c>
      <c r="AM251" s="753">
        <f t="shared" si="14"/>
        <v>441.64</v>
      </c>
    </row>
    <row r="252" spans="1:39" s="566" customFormat="1" ht="13.35" customHeight="1">
      <c r="A252" s="610" t="s">
        <v>764</v>
      </c>
      <c r="B252" s="610" t="s">
        <v>1211</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1596</v>
      </c>
      <c r="AM252" s="753">
        <f t="shared" si="14"/>
        <v>574.13</v>
      </c>
    </row>
    <row r="253" spans="1:39" s="566" customFormat="1" ht="13.35" customHeight="1">
      <c r="A253" s="610" t="s">
        <v>765</v>
      </c>
      <c r="B253" s="610" t="s">
        <v>1160</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766</v>
      </c>
      <c r="B254" s="613" t="s">
        <v>1217</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1597</v>
      </c>
      <c r="AM254" s="753">
        <f t="shared" si="14"/>
        <v>204.01</v>
      </c>
    </row>
    <row r="255" spans="1:39" s="566" customFormat="1" ht="13.35" customHeight="1">
      <c r="A255" s="610" t="s">
        <v>767</v>
      </c>
      <c r="B255" s="610" t="s">
        <v>1218</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1598</v>
      </c>
      <c r="AM255" s="753">
        <f t="shared" si="14"/>
        <v>550.44000000000005</v>
      </c>
    </row>
    <row r="256" spans="1:39" s="566" customFormat="1" ht="13.35" customHeight="1">
      <c r="A256" s="610" t="s">
        <v>768</v>
      </c>
      <c r="B256" s="610" t="s">
        <v>1219</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1599</v>
      </c>
      <c r="AM256" s="753">
        <f t="shared" si="14"/>
        <v>15448.74</v>
      </c>
    </row>
    <row r="257" spans="1:39" s="566" customFormat="1" ht="13.35" customHeight="1">
      <c r="A257" s="610" t="s">
        <v>769</v>
      </c>
      <c r="B257" s="610" t="s">
        <v>1220</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770</v>
      </c>
      <c r="B258" s="613" t="s">
        <v>1199</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1600</v>
      </c>
      <c r="AM258" s="753">
        <f t="shared" si="14"/>
        <v>111.93</v>
      </c>
    </row>
    <row r="259" spans="1:39" s="566" customFormat="1" ht="13.35" customHeight="1">
      <c r="A259" s="610" t="s">
        <v>771</v>
      </c>
      <c r="B259" s="610" t="s">
        <v>1221</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1601</v>
      </c>
      <c r="AM259" s="753">
        <f t="shared" si="14"/>
        <v>24</v>
      </c>
    </row>
    <row r="260" spans="1:39" s="566" customFormat="1" ht="13.35" customHeight="1">
      <c r="A260" s="610" t="s">
        <v>772</v>
      </c>
      <c r="B260" s="610" t="s">
        <v>225</v>
      </c>
      <c r="C260" s="620" t="s">
        <v>1449</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773</v>
      </c>
      <c r="B261" s="614" t="s">
        <v>1222</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774</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1602</v>
      </c>
      <c r="AM262" s="753">
        <f t="shared" si="14"/>
        <v>95.88</v>
      </c>
    </row>
    <row r="263" spans="1:39" s="566" customFormat="1" ht="13.35" customHeight="1">
      <c r="A263" s="610" t="s">
        <v>775</v>
      </c>
      <c r="B263" s="610" t="s">
        <v>1211</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1603</v>
      </c>
      <c r="AM263" s="753">
        <f t="shared" si="14"/>
        <v>124.65</v>
      </c>
    </row>
    <row r="264" spans="1:39" s="566" customFormat="1" ht="13.35" customHeight="1">
      <c r="A264" s="610" t="s">
        <v>776</v>
      </c>
      <c r="B264" s="610" t="s">
        <v>1160</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777</v>
      </c>
      <c r="B265" s="613" t="s">
        <v>1161</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1604</v>
      </c>
      <c r="AM265" s="753">
        <f t="shared" si="14"/>
        <v>81.67</v>
      </c>
    </row>
    <row r="266" spans="1:39" s="566" customFormat="1" ht="13.35" customHeight="1">
      <c r="A266" s="610" t="s">
        <v>778</v>
      </c>
      <c r="B266" s="610" t="s">
        <v>1203</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1605</v>
      </c>
      <c r="AM266" s="753">
        <f t="shared" si="14"/>
        <v>221.37</v>
      </c>
    </row>
    <row r="267" spans="1:39" s="566" customFormat="1" ht="13.35" customHeight="1">
      <c r="A267" s="610" t="s">
        <v>779</v>
      </c>
      <c r="B267" s="610" t="s">
        <v>1223</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780</v>
      </c>
      <c r="B268" s="614" t="s">
        <v>1224</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781</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1606</v>
      </c>
      <c r="AM269" s="753">
        <f t="shared" si="14"/>
        <v>2.81</v>
      </c>
    </row>
    <row r="270" spans="1:39" s="566" customFormat="1" ht="13.35" customHeight="1">
      <c r="A270" s="610" t="s">
        <v>782</v>
      </c>
      <c r="B270" s="610" t="s">
        <v>1225</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1607</v>
      </c>
      <c r="AM270" s="753">
        <f t="shared" si="14"/>
        <v>60</v>
      </c>
    </row>
    <row r="271" spans="1:39" s="566" customFormat="1" ht="13.35" customHeight="1">
      <c r="A271" s="610" t="s">
        <v>783</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1608</v>
      </c>
      <c r="AM271" s="753">
        <f t="shared" si="14"/>
        <v>3.51</v>
      </c>
    </row>
    <row r="272" spans="1:39" s="566" customFormat="1" ht="13.35" customHeight="1">
      <c r="A272" s="610" t="s">
        <v>784</v>
      </c>
      <c r="B272" s="610" t="s">
        <v>1160</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785</v>
      </c>
      <c r="B273" s="613" t="s">
        <v>1161</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1609</v>
      </c>
      <c r="AM273" s="753">
        <f t="shared" si="14"/>
        <v>2.16</v>
      </c>
    </row>
    <row r="274" spans="1:39" s="566" customFormat="1" ht="13.35" customHeight="1">
      <c r="A274" s="610" t="s">
        <v>786</v>
      </c>
      <c r="B274" s="610" t="s">
        <v>1202</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1607</v>
      </c>
      <c r="AM274" s="753">
        <f t="shared" si="14"/>
        <v>60</v>
      </c>
    </row>
    <row r="275" spans="1:39" s="566" customFormat="1" ht="13.35" customHeight="1">
      <c r="A275" s="610" t="s">
        <v>787</v>
      </c>
      <c r="B275" s="610" t="s">
        <v>1226</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788</v>
      </c>
      <c r="B276" s="613" t="s">
        <v>1168</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789</v>
      </c>
      <c r="B277" s="610" t="s">
        <v>1169</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1610</v>
      </c>
      <c r="AM277" s="753">
        <f t="shared" si="17"/>
        <v>2.52</v>
      </c>
    </row>
    <row r="278" spans="1:39" s="566" customFormat="1" ht="13.35" customHeight="1">
      <c r="A278" s="610" t="s">
        <v>790</v>
      </c>
      <c r="B278" s="610" t="s">
        <v>1205</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1611</v>
      </c>
      <c r="AM278" s="753">
        <f t="shared" si="17"/>
        <v>186.08</v>
      </c>
    </row>
    <row r="279" spans="1:39" s="566" customFormat="1" ht="13.35" customHeight="1">
      <c r="A279" s="610" t="s">
        <v>791</v>
      </c>
      <c r="B279" s="610" t="s">
        <v>1171</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792</v>
      </c>
      <c r="B280" s="613" t="s">
        <v>1227</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1612</v>
      </c>
      <c r="AM280" s="753">
        <f t="shared" si="17"/>
        <v>899.99</v>
      </c>
    </row>
    <row r="281" spans="1:39" s="566" customFormat="1" ht="13.35" customHeight="1">
      <c r="A281" s="610" t="s">
        <v>793</v>
      </c>
      <c r="B281" s="610" t="s">
        <v>1228</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1613</v>
      </c>
      <c r="AM281" s="753">
        <f t="shared" si="17"/>
        <v>394.52</v>
      </c>
    </row>
    <row r="282" spans="1:39" s="566" customFormat="1" ht="13.35" customHeight="1">
      <c r="A282" s="610" t="s">
        <v>794</v>
      </c>
      <c r="B282" s="610" t="s">
        <v>1229</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1614</v>
      </c>
      <c r="AM282" s="753">
        <f t="shared" si="17"/>
        <v>271.91000000000003</v>
      </c>
    </row>
    <row r="283" spans="1:39" s="566" customFormat="1" ht="13.35" customHeight="1">
      <c r="A283" s="610" t="s">
        <v>795</v>
      </c>
      <c r="B283" s="610" t="s">
        <v>1230</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1615</v>
      </c>
      <c r="AM283" s="753">
        <f t="shared" si="17"/>
        <v>80.92</v>
      </c>
    </row>
    <row r="284" spans="1:39" s="566" customFormat="1" ht="13.35" customHeight="1">
      <c r="A284" s="610" t="s">
        <v>796</v>
      </c>
      <c r="B284" s="610" t="s">
        <v>1231</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1616</v>
      </c>
      <c r="AM284" s="753">
        <f t="shared" si="17"/>
        <v>6</v>
      </c>
    </row>
    <row r="285" spans="1:39" s="566" customFormat="1" ht="13.35" customHeight="1">
      <c r="A285" s="610" t="s">
        <v>797</v>
      </c>
      <c r="B285" s="610" t="s">
        <v>1232</v>
      </c>
      <c r="C285" s="620" t="s">
        <v>1449</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798</v>
      </c>
      <c r="B286" s="613" t="s">
        <v>1199</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1617</v>
      </c>
      <c r="AM286" s="753">
        <f t="shared" si="17"/>
        <v>3</v>
      </c>
    </row>
    <row r="287" spans="1:39" s="566" customFormat="1" ht="14.1" customHeight="1" thickBot="1">
      <c r="A287" s="610" t="s">
        <v>799</v>
      </c>
      <c r="B287" s="610" t="s">
        <v>225</v>
      </c>
      <c r="C287" s="620" t="s">
        <v>1449</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1233</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1234</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1235</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1618</v>
      </c>
      <c r="AM290" s="753">
        <f t="shared" si="17"/>
        <v>72.27</v>
      </c>
    </row>
    <row r="291" spans="1:39" s="566" customFormat="1" ht="13.35" customHeight="1">
      <c r="A291" s="610" t="s">
        <v>800</v>
      </c>
      <c r="B291" s="610" t="s">
        <v>1236</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1619</v>
      </c>
      <c r="AM291" s="753">
        <f t="shared" si="17"/>
        <v>15.22</v>
      </c>
    </row>
    <row r="292" spans="1:39" s="566" customFormat="1" ht="13.35" customHeight="1">
      <c r="A292" s="610" t="s">
        <v>801</v>
      </c>
      <c r="B292" s="610" t="s">
        <v>1237</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1238</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1620</v>
      </c>
      <c r="AM293" s="753">
        <f t="shared" si="17"/>
        <v>123.1</v>
      </c>
    </row>
    <row r="294" spans="1:39" s="566" customFormat="1" ht="13.35" customHeight="1">
      <c r="A294" s="610" t="s">
        <v>802</v>
      </c>
      <c r="B294" s="610" t="s">
        <v>1239</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1621</v>
      </c>
      <c r="AM294" s="753">
        <f t="shared" si="17"/>
        <v>54.38</v>
      </c>
    </row>
    <row r="295" spans="1:39" s="566" customFormat="1" ht="13.35" customHeight="1">
      <c r="A295" s="610" t="s">
        <v>803</v>
      </c>
      <c r="B295" s="610" t="s">
        <v>1240</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1622</v>
      </c>
      <c r="AM295" s="753">
        <f t="shared" si="17"/>
        <v>34.44</v>
      </c>
    </row>
    <row r="296" spans="1:39" s="566" customFormat="1" ht="13.35" customHeight="1">
      <c r="A296" s="610" t="s">
        <v>804</v>
      </c>
      <c r="B296" s="610" t="s">
        <v>1241</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1623</v>
      </c>
      <c r="AM296" s="753">
        <f t="shared" si="17"/>
        <v>30.39</v>
      </c>
    </row>
    <row r="297" spans="1:39" s="566" customFormat="1" ht="13.35" customHeight="1">
      <c r="A297" s="610" t="s">
        <v>805</v>
      </c>
      <c r="B297" s="610" t="s">
        <v>1242</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1624</v>
      </c>
      <c r="AM297" s="753">
        <f t="shared" si="17"/>
        <v>39.17</v>
      </c>
    </row>
    <row r="298" spans="1:39" s="566" customFormat="1" ht="13.35" customHeight="1">
      <c r="A298" s="610" t="s">
        <v>806</v>
      </c>
      <c r="B298" s="610" t="s">
        <v>1243</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1625</v>
      </c>
      <c r="AM298" s="753">
        <f t="shared" si="17"/>
        <v>68.38</v>
      </c>
    </row>
    <row r="299" spans="1:39" s="566" customFormat="1" ht="13.35" customHeight="1">
      <c r="A299" s="610" t="s">
        <v>807</v>
      </c>
      <c r="B299" s="610" t="s">
        <v>1244</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1626</v>
      </c>
      <c r="AM299" s="753">
        <f t="shared" si="17"/>
        <v>228.32</v>
      </c>
    </row>
    <row r="300" spans="1:39" s="566" customFormat="1" ht="13.35" customHeight="1">
      <c r="A300" s="610" t="s">
        <v>808</v>
      </c>
      <c r="B300" s="610" t="s">
        <v>1245</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1246</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1627</v>
      </c>
      <c r="AM301" s="753">
        <f t="shared" si="17"/>
        <v>90.62</v>
      </c>
    </row>
    <row r="302" spans="1:39" s="566" customFormat="1" ht="13.35" customHeight="1">
      <c r="A302" s="610" t="s">
        <v>809</v>
      </c>
      <c r="B302" s="610" t="s">
        <v>1247</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1248</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1628</v>
      </c>
      <c r="AM303" s="753">
        <f t="shared" si="17"/>
        <v>72.22</v>
      </c>
    </row>
    <row r="304" spans="1:39" s="566" customFormat="1" ht="13.35" customHeight="1">
      <c r="A304" s="610" t="s">
        <v>810</v>
      </c>
      <c r="B304" s="610" t="s">
        <v>1249</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1629</v>
      </c>
      <c r="AM304" s="753">
        <f t="shared" si="17"/>
        <v>56.44</v>
      </c>
    </row>
    <row r="305" spans="1:39" s="566" customFormat="1" ht="13.35" customHeight="1">
      <c r="A305" s="610" t="s">
        <v>811</v>
      </c>
      <c r="B305" s="610" t="s">
        <v>1250</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1630</v>
      </c>
      <c r="AM305" s="753">
        <f t="shared" si="17"/>
        <v>15.78</v>
      </c>
    </row>
    <row r="306" spans="1:39" s="566" customFormat="1" ht="13.35" customHeight="1">
      <c r="A306" s="610" t="s">
        <v>812</v>
      </c>
      <c r="B306" s="610" t="s">
        <v>1251</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1252</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1631</v>
      </c>
      <c r="AM307" s="753">
        <f t="shared" si="17"/>
        <v>11.52</v>
      </c>
    </row>
    <row r="308" spans="1:39" s="566" customFormat="1" ht="13.35" customHeight="1">
      <c r="A308" s="610" t="s">
        <v>813</v>
      </c>
      <c r="B308" s="610" t="s">
        <v>1253</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1632</v>
      </c>
      <c r="AM308" s="753">
        <f t="shared" si="17"/>
        <v>5.18</v>
      </c>
    </row>
    <row r="309" spans="1:39" s="566" customFormat="1" ht="13.35" customHeight="1">
      <c r="A309" s="610" t="s">
        <v>814</v>
      </c>
      <c r="B309" s="610" t="s">
        <v>1254</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1255</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1633</v>
      </c>
      <c r="AM310" s="753">
        <f t="shared" si="17"/>
        <v>73.5</v>
      </c>
    </row>
    <row r="311" spans="1:39" s="566" customFormat="1" ht="13.35" customHeight="1">
      <c r="A311" s="610" t="s">
        <v>815</v>
      </c>
      <c r="B311" s="610" t="s">
        <v>1256</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1257</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1634</v>
      </c>
      <c r="AM312" s="753">
        <f t="shared" si="17"/>
        <v>15.8</v>
      </c>
    </row>
    <row r="313" spans="1:39" s="566" customFormat="1" ht="13.35" customHeight="1">
      <c r="A313" s="610" t="s">
        <v>816</v>
      </c>
      <c r="B313" s="610" t="s">
        <v>1258</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1635</v>
      </c>
      <c r="AM313" s="753">
        <f t="shared" si="17"/>
        <v>27.62</v>
      </c>
    </row>
    <row r="314" spans="1:39" s="566" customFormat="1" ht="13.35" customHeight="1">
      <c r="A314" s="610" t="s">
        <v>817</v>
      </c>
      <c r="B314" s="610" t="s">
        <v>1259</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1636</v>
      </c>
      <c r="AM314" s="753">
        <f t="shared" si="17"/>
        <v>30.2</v>
      </c>
    </row>
    <row r="315" spans="1:39" s="566" customFormat="1" ht="13.35" customHeight="1">
      <c r="A315" s="610" t="s">
        <v>818</v>
      </c>
      <c r="B315" s="610" t="s">
        <v>1260</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1197</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1637</v>
      </c>
      <c r="AM316" s="753">
        <f t="shared" si="17"/>
        <v>90.78</v>
      </c>
    </row>
    <row r="317" spans="1:39" s="566" customFormat="1" ht="13.35" customHeight="1">
      <c r="A317" s="610" t="s">
        <v>819</v>
      </c>
      <c r="B317" s="610" t="s">
        <v>1261</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1638</v>
      </c>
      <c r="AM317" s="753">
        <f t="shared" si="17"/>
        <v>29.18</v>
      </c>
    </row>
    <row r="318" spans="1:39" s="566" customFormat="1" ht="13.35" customHeight="1">
      <c r="A318" s="610" t="s">
        <v>820</v>
      </c>
      <c r="B318" s="610" t="s">
        <v>1262</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821</v>
      </c>
      <c r="B319" s="613" t="s">
        <v>1263</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1639</v>
      </c>
      <c r="AM319" s="753">
        <f t="shared" si="17"/>
        <v>6.3</v>
      </c>
    </row>
    <row r="320" spans="1:39" s="566" customFormat="1" ht="13.35" customHeight="1">
      <c r="A320" s="610" t="s">
        <v>822</v>
      </c>
      <c r="B320" s="610" t="s">
        <v>1264</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823</v>
      </c>
      <c r="B321" s="613" t="s">
        <v>1265</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1640</v>
      </c>
      <c r="AM321" s="753">
        <f t="shared" si="17"/>
        <v>9</v>
      </c>
    </row>
    <row r="322" spans="1:39" s="566" customFormat="1" ht="13.35" customHeight="1">
      <c r="A322" s="610" t="s">
        <v>824</v>
      </c>
      <c r="B322" s="610" t="s">
        <v>1266</v>
      </c>
      <c r="C322" s="620" t="s">
        <v>1450</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1617</v>
      </c>
      <c r="AM322" s="753">
        <f t="shared" si="17"/>
        <v>3</v>
      </c>
    </row>
    <row r="323" spans="1:39" s="566" customFormat="1" ht="13.35" customHeight="1">
      <c r="A323" s="610" t="s">
        <v>825</v>
      </c>
      <c r="B323" s="610" t="s">
        <v>1267</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826</v>
      </c>
      <c r="B324" s="613" t="s">
        <v>1268</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1641</v>
      </c>
      <c r="AM324" s="753">
        <f t="shared" si="17"/>
        <v>19.149999999999999</v>
      </c>
    </row>
    <row r="325" spans="1:39" s="566" customFormat="1" ht="13.35" customHeight="1">
      <c r="A325" s="610" t="s">
        <v>827</v>
      </c>
      <c r="B325" s="610" t="s">
        <v>1269</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1642</v>
      </c>
      <c r="AM325" s="753">
        <f t="shared" si="17"/>
        <v>1.5</v>
      </c>
    </row>
    <row r="326" spans="1:39" s="566" customFormat="1" ht="13.35" customHeight="1">
      <c r="A326" s="610" t="s">
        <v>828</v>
      </c>
      <c r="B326" s="610" t="s">
        <v>1270</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829</v>
      </c>
      <c r="B327" s="613" t="s">
        <v>1271</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1627</v>
      </c>
      <c r="AM327" s="753">
        <f t="shared" si="17"/>
        <v>90.62</v>
      </c>
    </row>
    <row r="328" spans="1:39" s="566" customFormat="1" ht="13.35" customHeight="1">
      <c r="A328" s="610" t="s">
        <v>830</v>
      </c>
      <c r="B328" s="610" t="s">
        <v>1272</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1620</v>
      </c>
      <c r="AM328" s="753">
        <f t="shared" si="17"/>
        <v>123.1</v>
      </c>
    </row>
    <row r="329" spans="1:39" s="566" customFormat="1" ht="13.35" customHeight="1">
      <c r="A329" s="610" t="s">
        <v>831</v>
      </c>
      <c r="B329" s="610" t="s">
        <v>1273</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1621</v>
      </c>
      <c r="AM329" s="753">
        <f t="shared" si="17"/>
        <v>54.38</v>
      </c>
    </row>
    <row r="330" spans="1:39" s="566" customFormat="1" ht="13.35" customHeight="1">
      <c r="A330" s="610" t="s">
        <v>832</v>
      </c>
      <c r="B330" s="610" t="s">
        <v>1274</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1622</v>
      </c>
      <c r="AM330" s="753">
        <f t="shared" si="17"/>
        <v>34.44</v>
      </c>
    </row>
    <row r="331" spans="1:39" s="566" customFormat="1" ht="13.35" customHeight="1">
      <c r="A331" s="610" t="s">
        <v>833</v>
      </c>
      <c r="B331" s="610" t="s">
        <v>1275</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1623</v>
      </c>
      <c r="AM331" s="753">
        <f t="shared" si="17"/>
        <v>30.39</v>
      </c>
    </row>
    <row r="332" spans="1:39" s="566" customFormat="1" ht="13.35" customHeight="1">
      <c r="A332" s="610" t="s">
        <v>834</v>
      </c>
      <c r="B332" s="610" t="s">
        <v>1276</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1634</v>
      </c>
      <c r="AM332" s="753">
        <f t="shared" si="17"/>
        <v>15.8</v>
      </c>
    </row>
    <row r="333" spans="1:39" s="566" customFormat="1" ht="13.35" customHeight="1">
      <c r="A333" s="610" t="s">
        <v>835</v>
      </c>
      <c r="B333" s="610" t="s">
        <v>1277</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1643</v>
      </c>
      <c r="AM333" s="753">
        <f t="shared" si="17"/>
        <v>12.6</v>
      </c>
    </row>
    <row r="334" spans="1:39" s="566" customFormat="1" ht="13.35" customHeight="1">
      <c r="A334" s="610" t="s">
        <v>836</v>
      </c>
      <c r="B334" s="610" t="s">
        <v>1278</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837</v>
      </c>
      <c r="B335" s="613" t="s">
        <v>1279</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1640</v>
      </c>
      <c r="AM335" s="753">
        <f t="shared" si="17"/>
        <v>9</v>
      </c>
    </row>
    <row r="336" spans="1:39" s="566" customFormat="1" ht="13.35" customHeight="1">
      <c r="A336" s="610" t="s">
        <v>838</v>
      </c>
      <c r="B336" s="610" t="s">
        <v>1280</v>
      </c>
      <c r="C336" s="620" t="s">
        <v>1449</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1454</v>
      </c>
      <c r="AM336" s="753">
        <f t="shared" si="17"/>
        <v>1</v>
      </c>
    </row>
    <row r="337" spans="1:39" s="566" customFormat="1" ht="13.35" customHeight="1">
      <c r="A337" s="610" t="s">
        <v>839</v>
      </c>
      <c r="B337" s="610" t="s">
        <v>1281</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1644</v>
      </c>
      <c r="AM337" s="753">
        <f t="shared" si="17"/>
        <v>21.02</v>
      </c>
    </row>
    <row r="338" spans="1:39" s="566" customFormat="1" ht="13.35" customHeight="1">
      <c r="A338" s="610" t="s">
        <v>840</v>
      </c>
      <c r="B338" s="610" t="s">
        <v>1282</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474</v>
      </c>
      <c r="B339" s="614" t="s">
        <v>1283</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475</v>
      </c>
      <c r="B340" s="613" t="s">
        <v>1235</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1645</v>
      </c>
      <c r="AM340" s="753">
        <f t="shared" ref="AM340:AM403" si="20">AL340-AK340</f>
        <v>73.59</v>
      </c>
    </row>
    <row r="341" spans="1:39" s="566" customFormat="1" ht="13.35" customHeight="1">
      <c r="A341" s="610" t="s">
        <v>841</v>
      </c>
      <c r="B341" s="610" t="s">
        <v>1236</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1646</v>
      </c>
      <c r="AM341" s="753">
        <f t="shared" si="20"/>
        <v>6.44</v>
      </c>
    </row>
    <row r="342" spans="1:39" s="566" customFormat="1" ht="13.35" customHeight="1">
      <c r="A342" s="610" t="s">
        <v>842</v>
      </c>
      <c r="B342" s="610" t="s">
        <v>1237</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476</v>
      </c>
      <c r="B343" s="613" t="s">
        <v>1238</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1647</v>
      </c>
      <c r="AM343" s="753">
        <f t="shared" si="20"/>
        <v>99.99</v>
      </c>
    </row>
    <row r="344" spans="1:39" s="566" customFormat="1" ht="13.35" customHeight="1">
      <c r="A344" s="610" t="s">
        <v>843</v>
      </c>
      <c r="B344" s="610" t="s">
        <v>1239</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1648</v>
      </c>
      <c r="AM344" s="753">
        <f t="shared" si="20"/>
        <v>60.07</v>
      </c>
    </row>
    <row r="345" spans="1:39" s="566" customFormat="1" ht="13.35" customHeight="1">
      <c r="A345" s="610" t="s">
        <v>844</v>
      </c>
      <c r="B345" s="610" t="s">
        <v>1240</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1649</v>
      </c>
      <c r="AM345" s="753">
        <f t="shared" si="20"/>
        <v>33.6</v>
      </c>
    </row>
    <row r="346" spans="1:39" s="566" customFormat="1" ht="13.35" customHeight="1">
      <c r="A346" s="610" t="s">
        <v>845</v>
      </c>
      <c r="B346" s="610" t="s">
        <v>1241</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1650</v>
      </c>
      <c r="AM346" s="753">
        <f t="shared" si="20"/>
        <v>27.42</v>
      </c>
    </row>
    <row r="347" spans="1:39" s="566" customFormat="1" ht="13.35" customHeight="1">
      <c r="A347" s="610" t="s">
        <v>846</v>
      </c>
      <c r="B347" s="610" t="s">
        <v>1242</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1651</v>
      </c>
      <c r="AM347" s="753">
        <f t="shared" si="20"/>
        <v>79.459999999999994</v>
      </c>
    </row>
    <row r="348" spans="1:39" s="566" customFormat="1" ht="13.35" customHeight="1">
      <c r="A348" s="610" t="s">
        <v>847</v>
      </c>
      <c r="B348" s="610" t="s">
        <v>1243</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1652</v>
      </c>
      <c r="AM348" s="753">
        <f t="shared" si="20"/>
        <v>80.02</v>
      </c>
    </row>
    <row r="349" spans="1:39" s="566" customFormat="1" ht="13.35" customHeight="1">
      <c r="A349" s="610" t="s">
        <v>848</v>
      </c>
      <c r="B349" s="610" t="s">
        <v>1244</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1653</v>
      </c>
      <c r="AM349" s="753">
        <f t="shared" si="20"/>
        <v>245.52</v>
      </c>
    </row>
    <row r="350" spans="1:39" s="566" customFormat="1" ht="13.35" customHeight="1">
      <c r="A350" s="610" t="s">
        <v>849</v>
      </c>
      <c r="B350" s="610" t="s">
        <v>1245</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477</v>
      </c>
      <c r="B351" s="613" t="s">
        <v>1246</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1654</v>
      </c>
      <c r="AM351" s="753">
        <f t="shared" si="20"/>
        <v>65.92</v>
      </c>
    </row>
    <row r="352" spans="1:39" s="566" customFormat="1" ht="13.35" customHeight="1">
      <c r="A352" s="610" t="s">
        <v>850</v>
      </c>
      <c r="B352" s="610" t="s">
        <v>1247</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478</v>
      </c>
      <c r="B353" s="613" t="s">
        <v>1248</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1655</v>
      </c>
      <c r="AM353" s="753">
        <f t="shared" si="20"/>
        <v>57.88</v>
      </c>
    </row>
    <row r="354" spans="1:39" s="566" customFormat="1" ht="13.35" customHeight="1">
      <c r="A354" s="610" t="s">
        <v>851</v>
      </c>
      <c r="B354" s="610" t="s">
        <v>1249</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1656</v>
      </c>
      <c r="AM354" s="753">
        <f t="shared" si="20"/>
        <v>40.200000000000003</v>
      </c>
    </row>
    <row r="355" spans="1:39" s="566" customFormat="1" ht="13.35" customHeight="1">
      <c r="A355" s="610" t="s">
        <v>852</v>
      </c>
      <c r="B355" s="610" t="s">
        <v>1284</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1657</v>
      </c>
      <c r="AM355" s="753">
        <f t="shared" si="20"/>
        <v>5.72</v>
      </c>
    </row>
    <row r="356" spans="1:39" s="566" customFormat="1" ht="13.35" customHeight="1">
      <c r="A356" s="610" t="s">
        <v>853</v>
      </c>
      <c r="B356" s="610" t="s">
        <v>1250</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1658</v>
      </c>
      <c r="AM356" s="753">
        <f t="shared" si="20"/>
        <v>11.96</v>
      </c>
    </row>
    <row r="357" spans="1:39" s="566" customFormat="1" ht="13.35" customHeight="1">
      <c r="A357" s="610" t="s">
        <v>854</v>
      </c>
      <c r="B357" s="610" t="s">
        <v>1251</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479</v>
      </c>
      <c r="B358" s="613" t="s">
        <v>1255</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1659</v>
      </c>
      <c r="AM358" s="753">
        <f t="shared" si="20"/>
        <v>55.35</v>
      </c>
    </row>
    <row r="359" spans="1:39" s="566" customFormat="1" ht="13.35" customHeight="1">
      <c r="A359" s="610" t="s">
        <v>855</v>
      </c>
      <c r="B359" s="610" t="s">
        <v>1256</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480</v>
      </c>
      <c r="B360" s="613" t="s">
        <v>1257</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1634</v>
      </c>
      <c r="AM360" s="753">
        <f t="shared" si="20"/>
        <v>15.8</v>
      </c>
    </row>
    <row r="361" spans="1:39" s="566" customFormat="1" ht="13.35" customHeight="1">
      <c r="A361" s="610" t="s">
        <v>856</v>
      </c>
      <c r="B361" s="610" t="s">
        <v>1258</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1660</v>
      </c>
      <c r="AM361" s="753">
        <f t="shared" si="20"/>
        <v>29.4</v>
      </c>
    </row>
    <row r="362" spans="1:39" s="566" customFormat="1" ht="13.35" customHeight="1">
      <c r="A362" s="610" t="s">
        <v>857</v>
      </c>
      <c r="B362" s="610" t="s">
        <v>1285</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1661</v>
      </c>
      <c r="AM362" s="753">
        <f t="shared" si="20"/>
        <v>9.6</v>
      </c>
    </row>
    <row r="363" spans="1:39" s="566" customFormat="1" ht="13.35" customHeight="1">
      <c r="A363" s="610" t="s">
        <v>858</v>
      </c>
      <c r="B363" s="610" t="s">
        <v>1260</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1662</v>
      </c>
      <c r="AM363" s="753">
        <f t="shared" si="20"/>
        <v>23.08</v>
      </c>
    </row>
    <row r="364" spans="1:39" s="566" customFormat="1" ht="13.35" customHeight="1">
      <c r="A364" s="610" t="s">
        <v>859</v>
      </c>
      <c r="B364" s="610" t="s">
        <v>1286</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481</v>
      </c>
      <c r="B365" s="613" t="s">
        <v>1197</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1663</v>
      </c>
      <c r="AM365" s="753">
        <f t="shared" si="20"/>
        <v>48.24</v>
      </c>
    </row>
    <row r="366" spans="1:39" s="566" customFormat="1" ht="13.35" customHeight="1">
      <c r="A366" s="610" t="s">
        <v>860</v>
      </c>
      <c r="B366" s="610" t="s">
        <v>1261</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1664</v>
      </c>
      <c r="AM366" s="753">
        <f t="shared" si="20"/>
        <v>34.880000000000003</v>
      </c>
    </row>
    <row r="367" spans="1:39" s="566" customFormat="1" ht="13.35" customHeight="1">
      <c r="A367" s="610" t="s">
        <v>861</v>
      </c>
      <c r="B367" s="610" t="s">
        <v>1262</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1665</v>
      </c>
      <c r="AM367" s="753">
        <f t="shared" si="20"/>
        <v>22.97</v>
      </c>
    </row>
    <row r="368" spans="1:39" s="566" customFormat="1" ht="13.35" customHeight="1">
      <c r="A368" s="610" t="s">
        <v>862</v>
      </c>
      <c r="B368" s="610" t="s">
        <v>1287</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482</v>
      </c>
      <c r="B369" s="613" t="s">
        <v>1263</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1666</v>
      </c>
      <c r="AM369" s="753">
        <f t="shared" si="20"/>
        <v>5.88</v>
      </c>
    </row>
    <row r="370" spans="1:39" s="566" customFormat="1" ht="13.35" customHeight="1">
      <c r="A370" s="610" t="s">
        <v>863</v>
      </c>
      <c r="B370" s="610" t="s">
        <v>1288</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1667</v>
      </c>
      <c r="AM370" s="753">
        <f t="shared" si="20"/>
        <v>1.68</v>
      </c>
    </row>
    <row r="371" spans="1:39" s="566" customFormat="1" ht="13.35" customHeight="1">
      <c r="A371" s="610" t="s">
        <v>864</v>
      </c>
      <c r="B371" s="610" t="s">
        <v>1289</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865</v>
      </c>
      <c r="B372" s="613" t="s">
        <v>1290</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1668</v>
      </c>
      <c r="AM372" s="753">
        <f t="shared" si="20"/>
        <v>9.24</v>
      </c>
    </row>
    <row r="373" spans="1:39" s="566" customFormat="1" ht="13.35" customHeight="1">
      <c r="A373" s="610" t="s">
        <v>866</v>
      </c>
      <c r="B373" s="610" t="s">
        <v>1291</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867</v>
      </c>
      <c r="B374" s="613" t="s">
        <v>1265</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1669</v>
      </c>
      <c r="AM374" s="753">
        <f t="shared" si="20"/>
        <v>20</v>
      </c>
    </row>
    <row r="375" spans="1:39" s="566" customFormat="1" ht="13.35" customHeight="1">
      <c r="A375" s="610" t="s">
        <v>868</v>
      </c>
      <c r="B375" s="610" t="s">
        <v>1266</v>
      </c>
      <c r="C375" s="620" t="s">
        <v>1450</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1670</v>
      </c>
      <c r="AM375" s="753">
        <f t="shared" si="20"/>
        <v>4</v>
      </c>
    </row>
    <row r="376" spans="1:39" s="566" customFormat="1" ht="13.35" customHeight="1">
      <c r="A376" s="610" t="s">
        <v>869</v>
      </c>
      <c r="B376" s="610" t="s">
        <v>1267</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1670</v>
      </c>
      <c r="AM376" s="753">
        <f t="shared" si="20"/>
        <v>4</v>
      </c>
    </row>
    <row r="377" spans="1:39" s="566" customFormat="1" ht="13.35" customHeight="1">
      <c r="A377" s="610" t="s">
        <v>870</v>
      </c>
      <c r="B377" s="610" t="s">
        <v>1292</v>
      </c>
      <c r="C377" s="620" t="s">
        <v>1450</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871</v>
      </c>
      <c r="B378" s="613" t="s">
        <v>1268</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1671</v>
      </c>
      <c r="AM378" s="753">
        <f t="shared" si="20"/>
        <v>18.09</v>
      </c>
    </row>
    <row r="379" spans="1:39" s="566" customFormat="1" ht="13.35" customHeight="1">
      <c r="A379" s="610" t="s">
        <v>872</v>
      </c>
      <c r="B379" s="610" t="s">
        <v>1269</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1672</v>
      </c>
      <c r="AM379" s="753">
        <f t="shared" si="20"/>
        <v>1.75</v>
      </c>
    </row>
    <row r="380" spans="1:39" s="566" customFormat="1" ht="13.35" customHeight="1">
      <c r="A380" s="610" t="s">
        <v>873</v>
      </c>
      <c r="B380" s="610" t="s">
        <v>1270</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874</v>
      </c>
      <c r="B381" s="613" t="s">
        <v>1271</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1654</v>
      </c>
      <c r="AM381" s="753">
        <f t="shared" si="20"/>
        <v>65.92</v>
      </c>
    </row>
    <row r="382" spans="1:39" s="566" customFormat="1" ht="13.35" customHeight="1">
      <c r="A382" s="610" t="s">
        <v>875</v>
      </c>
      <c r="B382" s="610" t="s">
        <v>1272</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1647</v>
      </c>
      <c r="AM382" s="753">
        <f t="shared" si="20"/>
        <v>99.99</v>
      </c>
    </row>
    <row r="383" spans="1:39" s="566" customFormat="1" ht="13.35" customHeight="1">
      <c r="A383" s="610" t="s">
        <v>876</v>
      </c>
      <c r="B383" s="610" t="s">
        <v>1273</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1648</v>
      </c>
      <c r="AM383" s="753">
        <f t="shared" si="20"/>
        <v>60.07</v>
      </c>
    </row>
    <row r="384" spans="1:39" s="566" customFormat="1" ht="13.35" customHeight="1">
      <c r="A384" s="610" t="s">
        <v>877</v>
      </c>
      <c r="B384" s="610" t="s">
        <v>1274</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1649</v>
      </c>
      <c r="AM384" s="753">
        <f t="shared" si="20"/>
        <v>33.6</v>
      </c>
    </row>
    <row r="385" spans="1:39" s="566" customFormat="1" ht="13.35" customHeight="1">
      <c r="A385" s="610" t="s">
        <v>878</v>
      </c>
      <c r="B385" s="610" t="s">
        <v>1275</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1650</v>
      </c>
      <c r="AM385" s="753">
        <f t="shared" si="20"/>
        <v>27.42</v>
      </c>
    </row>
    <row r="386" spans="1:39" s="566" customFormat="1" ht="13.35" customHeight="1">
      <c r="A386" s="610" t="s">
        <v>879</v>
      </c>
      <c r="B386" s="610" t="s">
        <v>1276</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1634</v>
      </c>
      <c r="AM386" s="753">
        <f t="shared" si="20"/>
        <v>15.8</v>
      </c>
    </row>
    <row r="387" spans="1:39" s="566" customFormat="1" ht="13.35" customHeight="1">
      <c r="A387" s="610" t="s">
        <v>880</v>
      </c>
      <c r="B387" s="610" t="s">
        <v>1277</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1673</v>
      </c>
      <c r="AM387" s="753">
        <f t="shared" si="20"/>
        <v>14.7</v>
      </c>
    </row>
    <row r="388" spans="1:39" s="566" customFormat="1" ht="13.35" customHeight="1">
      <c r="A388" s="610" t="s">
        <v>881</v>
      </c>
      <c r="B388" s="610" t="s">
        <v>1278</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882</v>
      </c>
      <c r="B389" s="613" t="s">
        <v>1279</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1674</v>
      </c>
      <c r="AM389" s="753">
        <f t="shared" si="20"/>
        <v>8</v>
      </c>
    </row>
    <row r="390" spans="1:39" s="566" customFormat="1" ht="13.35" customHeight="1">
      <c r="A390" s="610" t="s">
        <v>883</v>
      </c>
      <c r="B390" s="610" t="s">
        <v>1280</v>
      </c>
      <c r="C390" s="620" t="s">
        <v>1449</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1454</v>
      </c>
      <c r="AM390" s="753">
        <f t="shared" si="20"/>
        <v>1</v>
      </c>
    </row>
    <row r="391" spans="1:39" s="566" customFormat="1" ht="13.35" customHeight="1">
      <c r="A391" s="610" t="s">
        <v>884</v>
      </c>
      <c r="B391" s="610" t="s">
        <v>1281</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1675</v>
      </c>
      <c r="AM391" s="753">
        <f t="shared" si="20"/>
        <v>19.84</v>
      </c>
    </row>
    <row r="392" spans="1:39" s="566" customFormat="1" ht="13.35" customHeight="1">
      <c r="A392" s="610" t="s">
        <v>885</v>
      </c>
      <c r="B392" s="610" t="s">
        <v>1282</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483</v>
      </c>
      <c r="B393" s="614" t="s">
        <v>1154</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484</v>
      </c>
      <c r="B394" s="613" t="s">
        <v>1235</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1676</v>
      </c>
      <c r="AM394" s="753">
        <f t="shared" si="20"/>
        <v>45.75</v>
      </c>
    </row>
    <row r="395" spans="1:39" s="566" customFormat="1" ht="13.35" customHeight="1">
      <c r="A395" s="610" t="s">
        <v>886</v>
      </c>
      <c r="B395" s="610" t="s">
        <v>1236</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1677</v>
      </c>
      <c r="AM395" s="753">
        <f t="shared" si="20"/>
        <v>18.920000000000002</v>
      </c>
    </row>
    <row r="396" spans="1:39" s="566" customFormat="1" ht="13.35" customHeight="1">
      <c r="A396" s="610" t="s">
        <v>887</v>
      </c>
      <c r="B396" s="610" t="s">
        <v>1237</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485</v>
      </c>
      <c r="B397" s="613" t="s">
        <v>1238</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1678</v>
      </c>
      <c r="AM397" s="753">
        <f t="shared" si="20"/>
        <v>83.58</v>
      </c>
    </row>
    <row r="398" spans="1:39" s="566" customFormat="1" ht="13.35" customHeight="1">
      <c r="A398" s="610" t="s">
        <v>888</v>
      </c>
      <c r="B398" s="610" t="s">
        <v>1239</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1676</v>
      </c>
      <c r="AM398" s="753">
        <f t="shared" si="20"/>
        <v>45.75</v>
      </c>
    </row>
    <row r="399" spans="1:39" s="566" customFormat="1" ht="13.35" customHeight="1">
      <c r="A399" s="610" t="s">
        <v>889</v>
      </c>
      <c r="B399" s="610" t="s">
        <v>1240</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1679</v>
      </c>
      <c r="AM399" s="753">
        <f t="shared" si="20"/>
        <v>12.95</v>
      </c>
    </row>
    <row r="400" spans="1:39" s="566" customFormat="1" ht="13.35" customHeight="1">
      <c r="A400" s="610" t="s">
        <v>890</v>
      </c>
      <c r="B400" s="610" t="s">
        <v>1241</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1680</v>
      </c>
      <c r="AM400" s="753">
        <f t="shared" si="20"/>
        <v>24.87</v>
      </c>
    </row>
    <row r="401" spans="1:39" s="566" customFormat="1" ht="13.35" customHeight="1">
      <c r="A401" s="610" t="s">
        <v>891</v>
      </c>
      <c r="B401" s="610" t="s">
        <v>1242</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1681</v>
      </c>
      <c r="AM401" s="753">
        <f t="shared" si="20"/>
        <v>17.22</v>
      </c>
    </row>
    <row r="402" spans="1:39" s="566" customFormat="1" ht="13.35" customHeight="1">
      <c r="A402" s="610" t="s">
        <v>892</v>
      </c>
      <c r="B402" s="610" t="s">
        <v>1243</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1682</v>
      </c>
      <c r="AM402" s="753">
        <f t="shared" si="20"/>
        <v>48.7</v>
      </c>
    </row>
    <row r="403" spans="1:39" s="566" customFormat="1" ht="13.35" customHeight="1">
      <c r="A403" s="610" t="s">
        <v>893</v>
      </c>
      <c r="B403" s="610" t="s">
        <v>1244</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1683</v>
      </c>
      <c r="AM403" s="753">
        <f t="shared" si="20"/>
        <v>172.48</v>
      </c>
    </row>
    <row r="404" spans="1:39" s="566" customFormat="1" ht="13.35" customHeight="1">
      <c r="A404" s="610" t="s">
        <v>894</v>
      </c>
      <c r="B404" s="610" t="s">
        <v>1245</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486</v>
      </c>
      <c r="B405" s="613" t="s">
        <v>1246</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1684</v>
      </c>
      <c r="AM405" s="753">
        <f t="shared" si="23"/>
        <v>38.24</v>
      </c>
    </row>
    <row r="406" spans="1:39" s="566" customFormat="1" ht="13.35" customHeight="1">
      <c r="A406" s="610" t="s">
        <v>895</v>
      </c>
      <c r="B406" s="610" t="s">
        <v>1247</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896</v>
      </c>
      <c r="B407" s="613" t="s">
        <v>1248</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1685</v>
      </c>
      <c r="AM407" s="753">
        <f t="shared" si="23"/>
        <v>33.03</v>
      </c>
    </row>
    <row r="408" spans="1:39" s="566" customFormat="1" ht="13.35" customHeight="1">
      <c r="A408" s="610" t="s">
        <v>897</v>
      </c>
      <c r="B408" s="610" t="s">
        <v>1249</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1686</v>
      </c>
      <c r="AM408" s="753">
        <f t="shared" si="23"/>
        <v>30.08</v>
      </c>
    </row>
    <row r="409" spans="1:39" s="566" customFormat="1" ht="13.35" customHeight="1">
      <c r="A409" s="610" t="s">
        <v>898</v>
      </c>
      <c r="B409" s="610" t="s">
        <v>1250</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1687</v>
      </c>
      <c r="AM409" s="753">
        <f t="shared" si="23"/>
        <v>2.95</v>
      </c>
    </row>
    <row r="410" spans="1:39" s="566" customFormat="1" ht="13.35" customHeight="1">
      <c r="A410" s="610" t="s">
        <v>899</v>
      </c>
      <c r="B410" s="610" t="s">
        <v>1251</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900</v>
      </c>
      <c r="B411" s="613" t="s">
        <v>1252</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1688</v>
      </c>
      <c r="AM411" s="753">
        <f t="shared" si="23"/>
        <v>6.15</v>
      </c>
    </row>
    <row r="412" spans="1:39" s="566" customFormat="1" ht="13.35" customHeight="1">
      <c r="A412" s="610" t="s">
        <v>901</v>
      </c>
      <c r="B412" s="610" t="s">
        <v>1293</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1689</v>
      </c>
      <c r="AM412" s="753">
        <f t="shared" si="23"/>
        <v>2.77</v>
      </c>
    </row>
    <row r="413" spans="1:39" s="566" customFormat="1" ht="13.35" customHeight="1">
      <c r="A413" s="610" t="s">
        <v>902</v>
      </c>
      <c r="B413" s="610" t="s">
        <v>1254</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903</v>
      </c>
      <c r="B414" s="613" t="s">
        <v>1255</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1690</v>
      </c>
      <c r="AM414" s="753">
        <f t="shared" si="23"/>
        <v>8.3000000000000007</v>
      </c>
    </row>
    <row r="415" spans="1:39" s="566" customFormat="1" ht="13.35" customHeight="1">
      <c r="A415" s="610" t="s">
        <v>904</v>
      </c>
      <c r="B415" s="610" t="s">
        <v>1256</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2">
        <v>4.1900000000000004</v>
      </c>
      <c r="AE415" s="790"/>
      <c r="AF415" s="581"/>
      <c r="AG415" s="581"/>
      <c r="AH415" s="884"/>
      <c r="AI415" s="1205">
        <f t="shared" si="21"/>
        <v>4.1900000000000004</v>
      </c>
      <c r="AJ415" s="991">
        <v>0</v>
      </c>
      <c r="AK415" s="587">
        <f t="shared" si="22"/>
        <v>4.1900000000000004</v>
      </c>
      <c r="AL415" s="787"/>
      <c r="AM415" s="753">
        <f t="shared" si="23"/>
        <v>-4.1900000000000004</v>
      </c>
    </row>
    <row r="416" spans="1:39" s="566" customFormat="1" ht="13.35" customHeight="1">
      <c r="A416" s="610" t="s">
        <v>905</v>
      </c>
      <c r="B416" s="610" t="s">
        <v>1257</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1691</v>
      </c>
      <c r="AM416" s="753">
        <f t="shared" si="23"/>
        <v>6.66</v>
      </c>
    </row>
    <row r="417" spans="1:39" s="566" customFormat="1" ht="13.35" customHeight="1">
      <c r="A417" s="610" t="s">
        <v>906</v>
      </c>
      <c r="B417" s="610" t="s">
        <v>1258</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1692</v>
      </c>
      <c r="AM417" s="753">
        <f t="shared" si="23"/>
        <v>7.76</v>
      </c>
    </row>
    <row r="418" spans="1:39" s="566" customFormat="1" ht="13.35" customHeight="1">
      <c r="A418" s="610" t="s">
        <v>907</v>
      </c>
      <c r="B418" s="610" t="s">
        <v>1285</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1693</v>
      </c>
      <c r="AM418" s="753">
        <f t="shared" si="23"/>
        <v>25.31</v>
      </c>
    </row>
    <row r="419" spans="1:39" s="566" customFormat="1" ht="13.35" customHeight="1">
      <c r="A419" s="610" t="s">
        <v>908</v>
      </c>
      <c r="B419" s="610" t="s">
        <v>1260</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909</v>
      </c>
      <c r="B420" s="613" t="s">
        <v>1197</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1694</v>
      </c>
      <c r="AM420" s="753">
        <f t="shared" si="23"/>
        <v>34.93</v>
      </c>
    </row>
    <row r="421" spans="1:39" s="566" customFormat="1" ht="13.35" customHeight="1">
      <c r="A421" s="610" t="s">
        <v>910</v>
      </c>
      <c r="B421" s="610" t="s">
        <v>1261</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1688</v>
      </c>
      <c r="AM421" s="753">
        <f t="shared" si="23"/>
        <v>6.15</v>
      </c>
    </row>
    <row r="422" spans="1:39" s="566" customFormat="1" ht="13.35" customHeight="1">
      <c r="A422" s="610" t="s">
        <v>911</v>
      </c>
      <c r="B422" s="610" t="s">
        <v>1262</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912</v>
      </c>
      <c r="B423" s="613" t="s">
        <v>1263</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1695</v>
      </c>
      <c r="AM423" s="753">
        <f t="shared" si="23"/>
        <v>3.78</v>
      </c>
    </row>
    <row r="424" spans="1:39" s="566" customFormat="1" ht="13.35" customHeight="1">
      <c r="A424" s="610" t="s">
        <v>913</v>
      </c>
      <c r="B424" s="610" t="s">
        <v>1264</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1696</v>
      </c>
      <c r="AM424" s="753">
        <f t="shared" si="23"/>
        <v>1.47</v>
      </c>
    </row>
    <row r="425" spans="1:39" s="566" customFormat="1" ht="13.35" customHeight="1">
      <c r="A425" s="610" t="s">
        <v>914</v>
      </c>
      <c r="B425" s="610" t="s">
        <v>1294</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915</v>
      </c>
      <c r="B426" s="613" t="s">
        <v>1265</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1640</v>
      </c>
      <c r="AM426" s="753">
        <f t="shared" si="23"/>
        <v>9</v>
      </c>
    </row>
    <row r="427" spans="1:39" s="566" customFormat="1" ht="13.35" customHeight="1">
      <c r="A427" s="610" t="s">
        <v>916</v>
      </c>
      <c r="B427" s="610" t="s">
        <v>1266</v>
      </c>
      <c r="C427" s="620" t="s">
        <v>1450</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1697</v>
      </c>
      <c r="AM427" s="753">
        <f t="shared" si="23"/>
        <v>2</v>
      </c>
    </row>
    <row r="428" spans="1:39" s="566" customFormat="1" ht="13.35" customHeight="1">
      <c r="A428" s="610" t="s">
        <v>917</v>
      </c>
      <c r="B428" s="610" t="s">
        <v>1267</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1454</v>
      </c>
      <c r="AM428" s="753">
        <f t="shared" si="23"/>
        <v>1</v>
      </c>
    </row>
    <row r="429" spans="1:39" s="566" customFormat="1" ht="13.35" customHeight="1">
      <c r="A429" s="610" t="s">
        <v>918</v>
      </c>
      <c r="B429" s="610" t="s">
        <v>1295</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919</v>
      </c>
      <c r="B430" s="613" t="s">
        <v>1268</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1698</v>
      </c>
      <c r="AM430" s="753">
        <f t="shared" si="23"/>
        <v>7.54</v>
      </c>
    </row>
    <row r="431" spans="1:39" s="566" customFormat="1" ht="13.35" customHeight="1">
      <c r="A431" s="610" t="s">
        <v>920</v>
      </c>
      <c r="B431" s="610" t="s">
        <v>1269</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1699</v>
      </c>
      <c r="AM431" s="753">
        <f t="shared" si="23"/>
        <v>1.25</v>
      </c>
    </row>
    <row r="432" spans="1:39" s="566" customFormat="1" ht="13.35" customHeight="1">
      <c r="A432" s="610" t="s">
        <v>921</v>
      </c>
      <c r="B432" s="610" t="s">
        <v>1270</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922</v>
      </c>
      <c r="B433" s="613" t="s">
        <v>1271</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1684</v>
      </c>
      <c r="AM433" s="753">
        <f t="shared" si="23"/>
        <v>38.24</v>
      </c>
    </row>
    <row r="434" spans="1:39" s="566" customFormat="1" ht="13.35" customHeight="1">
      <c r="A434" s="610" t="s">
        <v>923</v>
      </c>
      <c r="B434" s="610" t="s">
        <v>1272</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1678</v>
      </c>
      <c r="AM434" s="753">
        <f t="shared" si="23"/>
        <v>83.58</v>
      </c>
    </row>
    <row r="435" spans="1:39" s="566" customFormat="1" ht="13.35" customHeight="1">
      <c r="A435" s="610" t="s">
        <v>924</v>
      </c>
      <c r="B435" s="610" t="s">
        <v>1273</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1676</v>
      </c>
      <c r="AM435" s="753">
        <f t="shared" si="23"/>
        <v>45.75</v>
      </c>
    </row>
    <row r="436" spans="1:39" s="566" customFormat="1" ht="13.35" customHeight="1">
      <c r="A436" s="610" t="s">
        <v>925</v>
      </c>
      <c r="B436" s="610" t="s">
        <v>1274</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1679</v>
      </c>
      <c r="AM436" s="753">
        <f t="shared" si="23"/>
        <v>12.95</v>
      </c>
    </row>
    <row r="437" spans="1:39" s="566" customFormat="1" ht="13.35" customHeight="1">
      <c r="A437" s="610" t="s">
        <v>926</v>
      </c>
      <c r="B437" s="610" t="s">
        <v>1275</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1680</v>
      </c>
      <c r="AM437" s="753">
        <f t="shared" si="23"/>
        <v>24.87</v>
      </c>
    </row>
    <row r="438" spans="1:39" s="566" customFormat="1" ht="13.35" customHeight="1">
      <c r="A438" s="610" t="s">
        <v>927</v>
      </c>
      <c r="B438" s="610" t="s">
        <v>1276</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1691</v>
      </c>
      <c r="AM438" s="753">
        <f t="shared" si="23"/>
        <v>6.66</v>
      </c>
    </row>
    <row r="439" spans="1:39" s="566" customFormat="1" ht="13.35" customHeight="1">
      <c r="A439" s="610" t="s">
        <v>928</v>
      </c>
      <c r="B439" s="610" t="s">
        <v>1277</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1700</v>
      </c>
      <c r="AM439" s="753">
        <f t="shared" si="23"/>
        <v>12.48</v>
      </c>
    </row>
    <row r="440" spans="1:39" s="566" customFormat="1" ht="13.35" customHeight="1">
      <c r="A440" s="610" t="s">
        <v>929</v>
      </c>
      <c r="B440" s="610" t="s">
        <v>1278</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930</v>
      </c>
      <c r="B441" s="613" t="s">
        <v>1279</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1454</v>
      </c>
      <c r="AM441" s="753">
        <f t="shared" si="23"/>
        <v>1</v>
      </c>
    </row>
    <row r="442" spans="1:39" s="566" customFormat="1" ht="13.35" customHeight="1">
      <c r="A442" s="610" t="s">
        <v>931</v>
      </c>
      <c r="B442" s="610" t="s">
        <v>1280</v>
      </c>
      <c r="C442" s="620" t="s">
        <v>1449</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1454</v>
      </c>
      <c r="AM442" s="753">
        <f t="shared" si="23"/>
        <v>1</v>
      </c>
    </row>
    <row r="443" spans="1:39" s="566" customFormat="1" ht="13.35" customHeight="1">
      <c r="A443" s="610" t="s">
        <v>932</v>
      </c>
      <c r="B443" s="610" t="s">
        <v>1281</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1701</v>
      </c>
      <c r="AM443" s="753">
        <f t="shared" si="23"/>
        <v>6.79</v>
      </c>
    </row>
    <row r="444" spans="1:39" s="566" customFormat="1" ht="13.35" customHeight="1">
      <c r="A444" s="610" t="s">
        <v>933</v>
      </c>
      <c r="B444" s="610" t="s">
        <v>1282</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517</v>
      </c>
      <c r="B445" s="614" t="s">
        <v>1296</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518</v>
      </c>
      <c r="B446" s="613" t="s">
        <v>1235</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1702</v>
      </c>
      <c r="AM446" s="753">
        <f t="shared" si="23"/>
        <v>56.66</v>
      </c>
    </row>
    <row r="447" spans="1:39" s="566" customFormat="1" ht="13.35" customHeight="1">
      <c r="A447" s="610" t="s">
        <v>519</v>
      </c>
      <c r="B447" s="610" t="s">
        <v>1236</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1703</v>
      </c>
      <c r="AM447" s="753">
        <f t="shared" si="23"/>
        <v>8.17</v>
      </c>
    </row>
    <row r="448" spans="1:39" s="566" customFormat="1" ht="13.35" customHeight="1">
      <c r="A448" s="610" t="s">
        <v>520</v>
      </c>
      <c r="B448" s="610" t="s">
        <v>1237</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521</v>
      </c>
      <c r="B449" s="613" t="s">
        <v>1238</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1704</v>
      </c>
      <c r="AM449" s="753">
        <f t="shared" si="23"/>
        <v>77.680000000000007</v>
      </c>
    </row>
    <row r="450" spans="1:39" s="566" customFormat="1" ht="13.35" customHeight="1">
      <c r="A450" s="610" t="s">
        <v>522</v>
      </c>
      <c r="B450" s="610" t="s">
        <v>1239</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1705</v>
      </c>
      <c r="AM450" s="753">
        <f t="shared" si="23"/>
        <v>51.98</v>
      </c>
    </row>
    <row r="451" spans="1:39" s="566" customFormat="1" ht="13.35" customHeight="1">
      <c r="A451" s="610" t="s">
        <v>934</v>
      </c>
      <c r="B451" s="610" t="s">
        <v>1240</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1706</v>
      </c>
      <c r="AM451" s="753">
        <f t="shared" si="23"/>
        <v>12</v>
      </c>
    </row>
    <row r="452" spans="1:39" s="566" customFormat="1" ht="13.35" customHeight="1">
      <c r="A452" s="610" t="s">
        <v>935</v>
      </c>
      <c r="B452" s="610" t="s">
        <v>1241</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1707</v>
      </c>
      <c r="AM452" s="753">
        <f t="shared" si="23"/>
        <v>19.97</v>
      </c>
    </row>
    <row r="453" spans="1:39" s="566" customFormat="1" ht="13.35" customHeight="1">
      <c r="A453" s="610" t="s">
        <v>936</v>
      </c>
      <c r="B453" s="610" t="s">
        <v>1242</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1708</v>
      </c>
      <c r="AM453" s="753">
        <f t="shared" si="23"/>
        <v>35.729999999999997</v>
      </c>
    </row>
    <row r="454" spans="1:39" s="566" customFormat="1" ht="13.35" customHeight="1">
      <c r="A454" s="610" t="s">
        <v>937</v>
      </c>
      <c r="B454" s="610" t="s">
        <v>1243</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1709</v>
      </c>
      <c r="AM454" s="753">
        <f t="shared" si="23"/>
        <v>35.9</v>
      </c>
    </row>
    <row r="455" spans="1:39" s="566" customFormat="1" ht="13.35" customHeight="1">
      <c r="A455" s="610" t="s">
        <v>938</v>
      </c>
      <c r="B455" s="610" t="s">
        <v>1244</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1710</v>
      </c>
      <c r="AM455" s="753">
        <f t="shared" si="23"/>
        <v>151.28</v>
      </c>
    </row>
    <row r="456" spans="1:39" s="566" customFormat="1" ht="13.35" customHeight="1">
      <c r="A456" s="610" t="s">
        <v>939</v>
      </c>
      <c r="B456" s="610" t="s">
        <v>1245</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523</v>
      </c>
      <c r="B457" s="613" t="s">
        <v>1246</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1711</v>
      </c>
      <c r="AM457" s="753">
        <f t="shared" si="23"/>
        <v>33.950000000000003</v>
      </c>
    </row>
    <row r="458" spans="1:39" s="566" customFormat="1" ht="13.35" customHeight="1">
      <c r="A458" s="610" t="s">
        <v>524</v>
      </c>
      <c r="B458" s="610" t="s">
        <v>1247</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940</v>
      </c>
      <c r="B459" s="613" t="s">
        <v>1248</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1712</v>
      </c>
      <c r="AM459" s="753">
        <f t="shared" si="23"/>
        <v>22.08</v>
      </c>
    </row>
    <row r="460" spans="1:39" s="566" customFormat="1" ht="13.35" customHeight="1">
      <c r="A460" s="610" t="s">
        <v>941</v>
      </c>
      <c r="B460" s="610" t="s">
        <v>1249</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1713</v>
      </c>
      <c r="AM460" s="753">
        <f t="shared" si="23"/>
        <v>12.13</v>
      </c>
    </row>
    <row r="461" spans="1:39" s="566" customFormat="1" ht="13.35" customHeight="1">
      <c r="A461" s="610" t="s">
        <v>942</v>
      </c>
      <c r="B461" s="610" t="s">
        <v>1250</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1714</v>
      </c>
      <c r="AM461" s="753">
        <f t="shared" si="23"/>
        <v>9.9499999999999993</v>
      </c>
    </row>
    <row r="462" spans="1:39" s="566" customFormat="1" ht="13.35" customHeight="1">
      <c r="A462" s="610" t="s">
        <v>943</v>
      </c>
      <c r="B462" s="610" t="s">
        <v>1251</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944</v>
      </c>
      <c r="B463" s="613" t="s">
        <v>1255</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1715</v>
      </c>
      <c r="AM463" s="753">
        <f t="shared" si="23"/>
        <v>8.93</v>
      </c>
    </row>
    <row r="464" spans="1:39" s="566" customFormat="1" ht="13.35" customHeight="1">
      <c r="A464" s="610" t="s">
        <v>945</v>
      </c>
      <c r="B464" s="610" t="s">
        <v>1256</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946</v>
      </c>
      <c r="B465" s="613" t="s">
        <v>1257</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1716</v>
      </c>
      <c r="AM465" s="753">
        <f t="shared" si="23"/>
        <v>6.91</v>
      </c>
    </row>
    <row r="466" spans="1:39" s="566" customFormat="1" ht="13.35" customHeight="1">
      <c r="A466" s="610" t="s">
        <v>947</v>
      </c>
      <c r="B466" s="610" t="s">
        <v>1258</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1717</v>
      </c>
      <c r="AM466" s="753">
        <f t="shared" si="23"/>
        <v>8.86</v>
      </c>
    </row>
    <row r="467" spans="1:39" s="566" customFormat="1" ht="13.35" customHeight="1">
      <c r="A467" s="610" t="s">
        <v>948</v>
      </c>
      <c r="B467" s="610" t="s">
        <v>1285</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1718</v>
      </c>
      <c r="AM467" s="753">
        <f t="shared" si="23"/>
        <v>10.78</v>
      </c>
    </row>
    <row r="468" spans="1:39" s="566" customFormat="1" ht="13.35" customHeight="1">
      <c r="A468" s="610" t="s">
        <v>949</v>
      </c>
      <c r="B468" s="610" t="s">
        <v>1259</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1719</v>
      </c>
      <c r="AM468" s="753">
        <f t="shared" ref="AM468:AM531" si="26">AL468-AK468</f>
        <v>14.4</v>
      </c>
    </row>
    <row r="469" spans="1:39" s="566" customFormat="1" ht="13.35" customHeight="1">
      <c r="A469" s="610" t="s">
        <v>950</v>
      </c>
      <c r="B469" s="610" t="s">
        <v>1260</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951</v>
      </c>
      <c r="B470" s="613" t="s">
        <v>1197</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1720</v>
      </c>
      <c r="AM470" s="753">
        <f t="shared" si="26"/>
        <v>21.28</v>
      </c>
    </row>
    <row r="471" spans="1:39" s="566" customFormat="1" ht="13.35" customHeight="1">
      <c r="A471" s="610" t="s">
        <v>952</v>
      </c>
      <c r="B471" s="610" t="s">
        <v>1261</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1688</v>
      </c>
      <c r="AM471" s="753">
        <f t="shared" si="26"/>
        <v>6.15</v>
      </c>
    </row>
    <row r="472" spans="1:39" s="566" customFormat="1" ht="13.35" customHeight="1">
      <c r="A472" s="610" t="s">
        <v>953</v>
      </c>
      <c r="B472" s="610" t="s">
        <v>1262</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954</v>
      </c>
      <c r="B473" s="613" t="s">
        <v>1263</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1721</v>
      </c>
      <c r="AM473" s="753">
        <f t="shared" si="26"/>
        <v>1.89</v>
      </c>
    </row>
    <row r="474" spans="1:39" s="566" customFormat="1" ht="13.35" customHeight="1">
      <c r="A474" s="610" t="s">
        <v>955</v>
      </c>
      <c r="B474" s="610" t="s">
        <v>1264</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1722</v>
      </c>
      <c r="AM474" s="753">
        <f t="shared" si="26"/>
        <v>3.15</v>
      </c>
    </row>
    <row r="475" spans="1:39" s="566" customFormat="1" ht="13.35" customHeight="1">
      <c r="A475" s="610" t="s">
        <v>956</v>
      </c>
      <c r="B475" s="610" t="s">
        <v>1294</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957</v>
      </c>
      <c r="B476" s="613" t="s">
        <v>1265</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1640</v>
      </c>
      <c r="AM476" s="753">
        <f t="shared" si="26"/>
        <v>9</v>
      </c>
    </row>
    <row r="477" spans="1:39" s="566" customFormat="1" ht="13.35" customHeight="1">
      <c r="A477" s="610" t="s">
        <v>958</v>
      </c>
      <c r="B477" s="610" t="s">
        <v>1266</v>
      </c>
      <c r="C477" s="620" t="s">
        <v>1450</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1454</v>
      </c>
      <c r="AM477" s="753">
        <f t="shared" si="26"/>
        <v>1</v>
      </c>
    </row>
    <row r="478" spans="1:39" s="566" customFormat="1" ht="13.35" customHeight="1">
      <c r="A478" s="610" t="s">
        <v>959</v>
      </c>
      <c r="B478" s="610" t="s">
        <v>1267</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1697</v>
      </c>
      <c r="AM478" s="753">
        <f t="shared" si="26"/>
        <v>2</v>
      </c>
    </row>
    <row r="479" spans="1:39" s="566" customFormat="1" ht="13.35" customHeight="1">
      <c r="A479" s="610" t="s">
        <v>960</v>
      </c>
      <c r="B479" s="610" t="s">
        <v>1295</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961</v>
      </c>
      <c r="B480" s="613" t="s">
        <v>1268</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1723</v>
      </c>
      <c r="AM480" s="753">
        <f t="shared" si="26"/>
        <v>4.96</v>
      </c>
    </row>
    <row r="481" spans="1:39" s="566" customFormat="1" ht="13.35" customHeight="1">
      <c r="A481" s="610" t="s">
        <v>962</v>
      </c>
      <c r="B481" s="610" t="s">
        <v>1269</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1487</v>
      </c>
      <c r="AM481" s="753">
        <f t="shared" si="26"/>
        <v>1.2</v>
      </c>
    </row>
    <row r="482" spans="1:39" s="566" customFormat="1" ht="13.35" customHeight="1">
      <c r="A482" s="610" t="s">
        <v>963</v>
      </c>
      <c r="B482" s="610" t="s">
        <v>1270</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964</v>
      </c>
      <c r="B483" s="613" t="s">
        <v>1271</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1711</v>
      </c>
      <c r="AM483" s="753">
        <f t="shared" si="26"/>
        <v>33.950000000000003</v>
      </c>
    </row>
    <row r="484" spans="1:39" s="566" customFormat="1" ht="13.35" customHeight="1">
      <c r="A484" s="610" t="s">
        <v>965</v>
      </c>
      <c r="B484" s="610" t="s">
        <v>1272</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1704</v>
      </c>
      <c r="AM484" s="753">
        <f t="shared" si="26"/>
        <v>77.680000000000007</v>
      </c>
    </row>
    <row r="485" spans="1:39" s="566" customFormat="1" ht="13.35" customHeight="1">
      <c r="A485" s="610" t="s">
        <v>966</v>
      </c>
      <c r="B485" s="610" t="s">
        <v>1273</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1705</v>
      </c>
      <c r="AM485" s="753">
        <f t="shared" si="26"/>
        <v>51.98</v>
      </c>
    </row>
    <row r="486" spans="1:39" s="566" customFormat="1" ht="13.35" customHeight="1">
      <c r="A486" s="610" t="s">
        <v>967</v>
      </c>
      <c r="B486" s="610" t="s">
        <v>1274</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1706</v>
      </c>
      <c r="AM486" s="753">
        <f t="shared" si="26"/>
        <v>12</v>
      </c>
    </row>
    <row r="487" spans="1:39" s="566" customFormat="1" ht="13.35" customHeight="1">
      <c r="A487" s="610" t="s">
        <v>968</v>
      </c>
      <c r="B487" s="610" t="s">
        <v>1275</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1707</v>
      </c>
      <c r="AM487" s="753">
        <f t="shared" si="26"/>
        <v>19.97</v>
      </c>
    </row>
    <row r="488" spans="1:39" s="566" customFormat="1" ht="13.35" customHeight="1">
      <c r="A488" s="610" t="s">
        <v>969</v>
      </c>
      <c r="B488" s="610" t="s">
        <v>1276</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1716</v>
      </c>
      <c r="AM488" s="753">
        <f t="shared" si="26"/>
        <v>6.91</v>
      </c>
    </row>
    <row r="489" spans="1:39" s="566" customFormat="1" ht="13.35" customHeight="1">
      <c r="A489" s="610" t="s">
        <v>970</v>
      </c>
      <c r="B489" s="610" t="s">
        <v>1277</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1724</v>
      </c>
      <c r="AM489" s="753">
        <f t="shared" si="26"/>
        <v>10.5</v>
      </c>
    </row>
    <row r="490" spans="1:39" s="566" customFormat="1" ht="13.35" customHeight="1">
      <c r="A490" s="610" t="s">
        <v>971</v>
      </c>
      <c r="B490" s="610" t="s">
        <v>1278</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972</v>
      </c>
      <c r="B491" s="613" t="s">
        <v>1279</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1725</v>
      </c>
      <c r="AM491" s="753">
        <f t="shared" si="26"/>
        <v>11</v>
      </c>
    </row>
    <row r="492" spans="1:39" s="566" customFormat="1" ht="13.35" customHeight="1">
      <c r="A492" s="610" t="s">
        <v>973</v>
      </c>
      <c r="B492" s="610" t="s">
        <v>1280</v>
      </c>
      <c r="C492" s="620" t="s">
        <v>1449</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1454</v>
      </c>
      <c r="AM492" s="753">
        <f t="shared" si="26"/>
        <v>1</v>
      </c>
    </row>
    <row r="493" spans="1:39" s="566" customFormat="1" ht="13.35" customHeight="1">
      <c r="A493" s="610" t="s">
        <v>974</v>
      </c>
      <c r="B493" s="610" t="s">
        <v>1281</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1726</v>
      </c>
      <c r="AM493" s="753">
        <f t="shared" si="26"/>
        <v>8.15</v>
      </c>
    </row>
    <row r="494" spans="1:39" s="566" customFormat="1" ht="13.35" customHeight="1">
      <c r="A494" s="610" t="s">
        <v>975</v>
      </c>
      <c r="B494" s="610" t="s">
        <v>1282</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525</v>
      </c>
      <c r="B495" s="614" t="s">
        <v>1297</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526</v>
      </c>
      <c r="B496" s="613" t="s">
        <v>1235</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1727</v>
      </c>
      <c r="AM496" s="753">
        <f t="shared" si="26"/>
        <v>239.98</v>
      </c>
    </row>
    <row r="497" spans="1:39" s="566" customFormat="1" ht="13.35" customHeight="1">
      <c r="A497" s="610" t="s">
        <v>527</v>
      </c>
      <c r="B497" s="610" t="s">
        <v>1298</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976</v>
      </c>
      <c r="B498" s="613" t="s">
        <v>1238</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1728</v>
      </c>
      <c r="AM498" s="753">
        <f t="shared" si="26"/>
        <v>117.85</v>
      </c>
    </row>
    <row r="499" spans="1:39" s="566" customFormat="1" ht="13.35" customHeight="1">
      <c r="A499" s="610" t="s">
        <v>977</v>
      </c>
      <c r="B499" s="610" t="s">
        <v>1299</v>
      </c>
      <c r="C499" s="620" t="s">
        <v>37</v>
      </c>
      <c r="D499" s="586"/>
      <c r="E499" s="587"/>
      <c r="F499" s="820"/>
      <c r="G499" s="587"/>
      <c r="H499" s="587"/>
      <c r="I499" s="991"/>
      <c r="J499" s="991"/>
      <c r="K499" s="867"/>
      <c r="L499" s="581"/>
      <c r="M499" s="851"/>
      <c r="N499" s="581"/>
      <c r="O499" s="581"/>
      <c r="P499" s="581"/>
      <c r="Q499" s="1192">
        <f>2.9*3.2</f>
        <v>9.2799999999999994</v>
      </c>
      <c r="R499" s="1138">
        <f>1.7*2.7</f>
        <v>4.59</v>
      </c>
      <c r="S499" s="1192">
        <f>2*2.7</f>
        <v>5.4</v>
      </c>
      <c r="T499" s="851"/>
      <c r="U499" s="1192">
        <f>3.5*0.56</f>
        <v>1.9600000000000002</v>
      </c>
      <c r="V499" s="1192">
        <f>3.5*2.25</f>
        <v>7.875</v>
      </c>
      <c r="W499" s="581"/>
      <c r="X499" s="581"/>
      <c r="Z499" s="1169">
        <f>2.95*3.3</f>
        <v>9.7349999999999994</v>
      </c>
      <c r="AA499" s="851"/>
      <c r="AB499" s="859"/>
      <c r="AC499" s="1194">
        <f>2.65*2.35</f>
        <v>6.2275</v>
      </c>
      <c r="AD499" s="581"/>
      <c r="AE499" s="790"/>
      <c r="AF499" s="581"/>
      <c r="AG499" s="581"/>
      <c r="AH499" s="884"/>
      <c r="AI499" s="1205">
        <f t="shared" si="24"/>
        <v>45.07</v>
      </c>
      <c r="AJ499" s="991">
        <v>0</v>
      </c>
      <c r="AK499" s="587">
        <f t="shared" si="25"/>
        <v>45.07</v>
      </c>
      <c r="AL499" s="787" t="s">
        <v>1729</v>
      </c>
      <c r="AM499" s="753">
        <f t="shared" si="26"/>
        <v>20.869999999999997</v>
      </c>
    </row>
    <row r="500" spans="1:39" s="566" customFormat="1" ht="13.35" customHeight="1">
      <c r="A500" s="610" t="s">
        <v>978</v>
      </c>
      <c r="B500" s="610" t="s">
        <v>1300</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1589</v>
      </c>
      <c r="AM500" s="753">
        <f t="shared" si="26"/>
        <v>49.66</v>
      </c>
    </row>
    <row r="501" spans="1:39" s="566" customFormat="1" ht="13.35" customHeight="1">
      <c r="A501" s="610" t="s">
        <v>979</v>
      </c>
      <c r="B501" s="610" t="s">
        <v>1301</v>
      </c>
      <c r="C501" s="620" t="s">
        <v>37</v>
      </c>
      <c r="D501" s="586"/>
      <c r="E501" s="587"/>
      <c r="F501" s="820"/>
      <c r="G501" s="587"/>
      <c r="H501" s="587"/>
      <c r="I501" s="991"/>
      <c r="J501" s="991"/>
      <c r="K501" s="867"/>
      <c r="L501" s="581"/>
      <c r="M501" s="851"/>
      <c r="N501" s="581"/>
      <c r="O501" s="581"/>
      <c r="P501" s="1138">
        <f>3.2*0.5</f>
        <v>1.6</v>
      </c>
      <c r="Q501" s="581"/>
      <c r="R501" s="1138">
        <f>4.2*0.5+2*0.5</f>
        <v>3.1</v>
      </c>
      <c r="S501" s="1192">
        <f>2.2*0.5+2.45*0.5+2.8*0.5</f>
        <v>3.7250000000000001</v>
      </c>
      <c r="T501" s="851"/>
      <c r="U501" s="581"/>
      <c r="V501" s="1192">
        <f>3.1*0.27+8.75*0.27+2.6*0.6</f>
        <v>4.759500000000001</v>
      </c>
      <c r="W501" s="581"/>
      <c r="X501" s="589"/>
      <c r="Y501" s="1138">
        <f>11.5*0.45</f>
        <v>5.1749999999999998</v>
      </c>
      <c r="Z501" s="589"/>
      <c r="AA501" s="851"/>
      <c r="AB501" s="859"/>
      <c r="AC501" s="581"/>
      <c r="AD501" s="581"/>
      <c r="AE501" s="790"/>
      <c r="AF501" s="581"/>
      <c r="AG501" s="581"/>
      <c r="AH501" s="884"/>
      <c r="AI501" s="1205">
        <f t="shared" si="24"/>
        <v>18.36</v>
      </c>
      <c r="AJ501" s="991">
        <v>0</v>
      </c>
      <c r="AK501" s="587">
        <f t="shared" si="25"/>
        <v>18.36</v>
      </c>
      <c r="AL501" s="787"/>
      <c r="AM501" s="753">
        <f t="shared" si="26"/>
        <v>-18.36</v>
      </c>
    </row>
    <row r="502" spans="1:39" s="566" customFormat="1" ht="13.35" customHeight="1">
      <c r="A502" s="613" t="s">
        <v>980</v>
      </c>
      <c r="B502" s="613" t="s">
        <v>1290</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1730</v>
      </c>
      <c r="AM502" s="753">
        <f t="shared" si="26"/>
        <v>7.98</v>
      </c>
    </row>
    <row r="503" spans="1:39" s="566" customFormat="1" ht="13.35" customHeight="1">
      <c r="A503" s="610" t="s">
        <v>981</v>
      </c>
      <c r="B503" s="610" t="s">
        <v>1302</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982</v>
      </c>
      <c r="B504" s="613" t="s">
        <v>1271</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1728</v>
      </c>
      <c r="AM504" s="753">
        <f t="shared" si="26"/>
        <v>117.85</v>
      </c>
    </row>
    <row r="505" spans="1:39" s="566" customFormat="1" ht="13.35" customHeight="1">
      <c r="A505" s="610" t="s">
        <v>983</v>
      </c>
      <c r="B505" s="610" t="s">
        <v>1303</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1729</v>
      </c>
      <c r="AM505" s="753">
        <f t="shared" si="26"/>
        <v>65.94</v>
      </c>
    </row>
    <row r="506" spans="1:39" s="566" customFormat="1" ht="13.35" customHeight="1">
      <c r="A506" s="610" t="s">
        <v>984</v>
      </c>
      <c r="B506" s="610" t="s">
        <v>1275</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1589</v>
      </c>
      <c r="AM506" s="753">
        <f t="shared" si="26"/>
        <v>49.66</v>
      </c>
    </row>
    <row r="507" spans="1:39" s="566" customFormat="1" ht="13.35" customHeight="1">
      <c r="A507" s="610" t="s">
        <v>985</v>
      </c>
      <c r="B507" s="610" t="s">
        <v>1276</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986</v>
      </c>
      <c r="B508" s="614" t="s">
        <v>1304</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1731</v>
      </c>
      <c r="AM508" s="753">
        <f t="shared" si="26"/>
        <v>154.19</v>
      </c>
    </row>
    <row r="509" spans="1:39" s="566" customFormat="1" ht="13.35" customHeight="1">
      <c r="A509" s="613" t="s">
        <v>987</v>
      </c>
      <c r="B509" s="613" t="s">
        <v>1305</v>
      </c>
      <c r="C509" s="620" t="s">
        <v>37</v>
      </c>
      <c r="D509" s="586"/>
      <c r="E509" s="587"/>
      <c r="F509" s="820"/>
      <c r="G509" s="587"/>
      <c r="H509" s="587"/>
      <c r="I509" s="991"/>
      <c r="J509" s="991"/>
      <c r="K509" s="867"/>
      <c r="L509" s="581"/>
      <c r="M509" s="851"/>
      <c r="N509" s="581"/>
      <c r="O509" s="581"/>
      <c r="P509" s="581"/>
      <c r="Q509" s="581"/>
      <c r="R509" s="1138">
        <f>5*3.8+3.2*0.28</f>
        <v>19.896000000000001</v>
      </c>
      <c r="S509" s="1192">
        <f>3.5*1.8</f>
        <v>6.3</v>
      </c>
      <c r="T509" s="851"/>
      <c r="U509" s="1192">
        <f>3.5*0.56+2.25*0.26+3.3*2.95</f>
        <v>12.28</v>
      </c>
      <c r="V509" s="1192">
        <f>3.5*2.25+3.2*0.8+2.45*2.4</f>
        <v>16.315000000000001</v>
      </c>
      <c r="W509" s="581"/>
      <c r="X509" s="581"/>
      <c r="Z509" s="1169">
        <f>2.95*3.3</f>
        <v>9.7349999999999994</v>
      </c>
      <c r="AA509" s="851"/>
      <c r="AB509" s="859"/>
      <c r="AC509" s="1194">
        <f>2.65*2.35</f>
        <v>6.2275</v>
      </c>
      <c r="AD509" s="581"/>
      <c r="AE509" s="790"/>
      <c r="AF509" s="581"/>
      <c r="AG509" s="581"/>
      <c r="AH509" s="884"/>
      <c r="AI509" s="1205">
        <f t="shared" si="24"/>
        <v>70.75</v>
      </c>
      <c r="AJ509" s="991">
        <v>0</v>
      </c>
      <c r="AK509" s="587">
        <f t="shared" si="25"/>
        <v>70.75</v>
      </c>
      <c r="AL509" s="787" t="s">
        <v>1732</v>
      </c>
      <c r="AM509" s="753">
        <f t="shared" si="26"/>
        <v>-21.939999999999998</v>
      </c>
    </row>
    <row r="510" spans="1:39" s="566" customFormat="1" ht="13.35" customHeight="1">
      <c r="A510" s="613" t="s">
        <v>988</v>
      </c>
      <c r="B510" s="613" t="s">
        <v>1306</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989</v>
      </c>
      <c r="B511" s="614" t="s">
        <v>1307</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990</v>
      </c>
      <c r="B512" s="613" t="s">
        <v>1248</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1607</v>
      </c>
      <c r="AM512" s="753">
        <f t="shared" si="26"/>
        <v>60</v>
      </c>
    </row>
    <row r="513" spans="1:39" s="566" customFormat="1" ht="13.35" customHeight="1">
      <c r="A513" s="610" t="s">
        <v>991</v>
      </c>
      <c r="B513" s="610" t="s">
        <v>1308</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1632</v>
      </c>
      <c r="AM513" s="753">
        <f t="shared" si="26"/>
        <v>5.18</v>
      </c>
    </row>
    <row r="514" spans="1:39" s="566" customFormat="1" ht="13.35" customHeight="1">
      <c r="A514" s="610" t="s">
        <v>992</v>
      </c>
      <c r="B514" s="610" t="s">
        <v>1309</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993</v>
      </c>
      <c r="B515" s="613" t="s">
        <v>1252</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1733</v>
      </c>
      <c r="AM515" s="753">
        <f t="shared" si="26"/>
        <v>73.98</v>
      </c>
    </row>
    <row r="516" spans="1:39" s="566" customFormat="1" ht="13.35" customHeight="1">
      <c r="A516" s="610" t="s">
        <v>994</v>
      </c>
      <c r="B516" s="610" t="s">
        <v>1310</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1734</v>
      </c>
      <c r="AM516" s="753">
        <f t="shared" si="26"/>
        <v>44.39</v>
      </c>
    </row>
    <row r="517" spans="1:39" s="566" customFormat="1" ht="13.35" customHeight="1">
      <c r="A517" s="610" t="s">
        <v>995</v>
      </c>
      <c r="B517" s="610" t="s">
        <v>1254</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996</v>
      </c>
      <c r="B518" s="613" t="s">
        <v>1311</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1735</v>
      </c>
      <c r="AM518" s="753">
        <f t="shared" si="26"/>
        <v>64</v>
      </c>
    </row>
    <row r="519" spans="1:39" s="566" customFormat="1" ht="13.35" customHeight="1">
      <c r="A519" s="610" t="s">
        <v>997</v>
      </c>
      <c r="B519" s="610" t="s">
        <v>1312</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998</v>
      </c>
      <c r="B520" s="613" t="s">
        <v>1199</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1736</v>
      </c>
      <c r="AM520" s="753">
        <f t="shared" si="26"/>
        <v>22</v>
      </c>
    </row>
    <row r="521" spans="1:39" s="566" customFormat="1" ht="13.35" customHeight="1">
      <c r="A521" s="610" t="s">
        <v>999</v>
      </c>
      <c r="B521" s="610" t="s">
        <v>1313</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1454</v>
      </c>
      <c r="AM521" s="753">
        <f t="shared" si="26"/>
        <v>1</v>
      </c>
    </row>
    <row r="522" spans="1:39" s="566" customFormat="1" ht="13.35" customHeight="1">
      <c r="A522" s="610" t="s">
        <v>1000</v>
      </c>
      <c r="B522" s="610" t="s">
        <v>1314</v>
      </c>
      <c r="C522" s="620" t="s">
        <v>1449</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1001</v>
      </c>
      <c r="B523" s="614" t="s">
        <v>1315</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1002</v>
      </c>
      <c r="B524" s="613" t="s">
        <v>1248</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1737</v>
      </c>
      <c r="AM524" s="753">
        <f t="shared" si="26"/>
        <v>28.21</v>
      </c>
    </row>
    <row r="525" spans="1:39" s="566" customFormat="1" ht="13.35" customHeight="1">
      <c r="A525" s="610" t="s">
        <v>1003</v>
      </c>
      <c r="B525" s="610" t="s">
        <v>1316</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1004</v>
      </c>
      <c r="B526" s="613" t="s">
        <v>1317</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1738</v>
      </c>
      <c r="AM526" s="753">
        <f t="shared" si="26"/>
        <v>5.9</v>
      </c>
    </row>
    <row r="527" spans="1:39" s="566" customFormat="1" ht="13.35" customHeight="1">
      <c r="A527" s="610" t="s">
        <v>1005</v>
      </c>
      <c r="B527" s="610" t="s">
        <v>1318</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1677</v>
      </c>
      <c r="AM527" s="753">
        <f t="shared" si="26"/>
        <v>18.920000000000002</v>
      </c>
    </row>
    <row r="528" spans="1:39" s="566" customFormat="1" ht="13.35" customHeight="1">
      <c r="A528" s="610" t="s">
        <v>1006</v>
      </c>
      <c r="B528" s="610" t="s">
        <v>1195</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1007</v>
      </c>
      <c r="B529" s="613" t="s">
        <v>1290</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1627</v>
      </c>
      <c r="AM529" s="753">
        <f t="shared" si="26"/>
        <v>90.62</v>
      </c>
    </row>
    <row r="530" spans="1:39" s="566" customFormat="1" ht="13.35" customHeight="1">
      <c r="A530" s="610" t="s">
        <v>1008</v>
      </c>
      <c r="B530" s="610" t="s">
        <v>1319</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1009</v>
      </c>
      <c r="B531" s="613" t="s">
        <v>1320</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1739</v>
      </c>
      <c r="AM531" s="753">
        <f t="shared" si="26"/>
        <v>36.799999999999997</v>
      </c>
    </row>
    <row r="532" spans="1:39" s="566" customFormat="1" ht="13.35" customHeight="1">
      <c r="A532" s="610" t="s">
        <v>1010</v>
      </c>
      <c r="B532" s="610" t="s">
        <v>1313</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1011</v>
      </c>
      <c r="B533" s="614" t="s">
        <v>1321</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1012</v>
      </c>
      <c r="B534" s="613" t="s">
        <v>1322</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1740</v>
      </c>
      <c r="AM534" s="753">
        <f t="shared" si="29"/>
        <v>42.32</v>
      </c>
    </row>
    <row r="535" spans="1:39" s="566" customFormat="1" ht="13.35" customHeight="1">
      <c r="A535" s="610" t="s">
        <v>1013</v>
      </c>
      <c r="B535" s="610" t="s">
        <v>1323</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1740</v>
      </c>
      <c r="AM535" s="753">
        <f t="shared" si="29"/>
        <v>42.32</v>
      </c>
    </row>
    <row r="536" spans="1:39" s="566" customFormat="1" ht="13.35" customHeight="1">
      <c r="A536" s="610" t="s">
        <v>1014</v>
      </c>
      <c r="B536" s="610" t="s">
        <v>1324</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1741</v>
      </c>
      <c r="AM536" s="753">
        <f t="shared" si="29"/>
        <v>10</v>
      </c>
    </row>
    <row r="537" spans="1:39" s="566" customFormat="1" ht="14.1" customHeight="1" thickBot="1">
      <c r="A537" s="610" t="s">
        <v>1015</v>
      </c>
      <c r="B537" s="610" t="s">
        <v>1325</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487</v>
      </c>
      <c r="B538" s="1058" t="s">
        <v>1326</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488</v>
      </c>
      <c r="B539" s="614" t="s">
        <v>1327</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1670</v>
      </c>
      <c r="AM539" s="753">
        <f t="shared" si="29"/>
        <v>4</v>
      </c>
    </row>
    <row r="540" spans="1:39" s="566" customFormat="1" ht="13.35" customHeight="1">
      <c r="A540" s="613" t="s">
        <v>489</v>
      </c>
      <c r="B540" s="613" t="s">
        <v>1328</v>
      </c>
      <c r="C540" s="620" t="s">
        <v>1449</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1697</v>
      </c>
      <c r="AM540" s="753">
        <f t="shared" si="29"/>
        <v>2</v>
      </c>
    </row>
    <row r="541" spans="1:39" s="566" customFormat="1" ht="13.35" customHeight="1">
      <c r="A541" s="613" t="s">
        <v>490</v>
      </c>
      <c r="B541" s="613" t="s">
        <v>1329</v>
      </c>
      <c r="C541" s="620" t="s">
        <v>1449</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1670</v>
      </c>
      <c r="AM541" s="753">
        <f t="shared" si="29"/>
        <v>4</v>
      </c>
    </row>
    <row r="542" spans="1:39" s="566" customFormat="1" ht="13.35" customHeight="1">
      <c r="A542" s="613" t="s">
        <v>491</v>
      </c>
      <c r="B542" s="613" t="s">
        <v>1330</v>
      </c>
      <c r="C542" s="620" t="s">
        <v>1449</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1697</v>
      </c>
      <c r="AM542" s="753">
        <f t="shared" si="29"/>
        <v>2</v>
      </c>
    </row>
    <row r="543" spans="1:39" s="566" customFormat="1" ht="13.35" customHeight="1">
      <c r="A543" s="613" t="s">
        <v>1016</v>
      </c>
      <c r="B543" s="613" t="s">
        <v>1331</v>
      </c>
      <c r="C543" s="620" t="s">
        <v>1449</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1454</v>
      </c>
      <c r="AM543" s="753">
        <f t="shared" si="29"/>
        <v>1</v>
      </c>
    </row>
    <row r="544" spans="1:39" s="566" customFormat="1" ht="13.35" customHeight="1">
      <c r="A544" s="613" t="s">
        <v>1017</v>
      </c>
      <c r="B544" s="613" t="s">
        <v>1332</v>
      </c>
      <c r="C544" s="620" t="s">
        <v>1449</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1616</v>
      </c>
      <c r="AM544" s="753">
        <f t="shared" si="29"/>
        <v>6</v>
      </c>
    </row>
    <row r="545" spans="1:39" s="566" customFormat="1" ht="13.35" customHeight="1">
      <c r="A545" s="613" t="s">
        <v>1018</v>
      </c>
      <c r="B545" s="613" t="s">
        <v>1333</v>
      </c>
      <c r="C545" s="620" t="s">
        <v>1449</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1670</v>
      </c>
      <c r="AM545" s="753">
        <f t="shared" si="29"/>
        <v>4</v>
      </c>
    </row>
    <row r="546" spans="1:39" s="566" customFormat="1" ht="13.35" customHeight="1">
      <c r="A546" s="613" t="s">
        <v>1019</v>
      </c>
      <c r="B546" s="613" t="s">
        <v>1334</v>
      </c>
      <c r="C546" s="620" t="s">
        <v>1449</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1454</v>
      </c>
      <c r="AM546" s="753">
        <f t="shared" si="29"/>
        <v>1</v>
      </c>
    </row>
    <row r="547" spans="1:39" s="566" customFormat="1" ht="13.35" customHeight="1">
      <c r="A547" s="613" t="s">
        <v>1020</v>
      </c>
      <c r="B547" s="613" t="s">
        <v>1335</v>
      </c>
      <c r="C547" s="620" t="s">
        <v>1450</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1454</v>
      </c>
      <c r="AM547" s="753">
        <f t="shared" si="29"/>
        <v>1</v>
      </c>
    </row>
    <row r="548" spans="1:39" s="566" customFormat="1" ht="13.35" customHeight="1">
      <c r="A548" s="613" t="s">
        <v>1021</v>
      </c>
      <c r="B548" s="613" t="s">
        <v>1336</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1454</v>
      </c>
      <c r="AM548" s="753">
        <f t="shared" si="29"/>
        <v>1</v>
      </c>
    </row>
    <row r="549" spans="1:39" s="566" customFormat="1" ht="13.35" customHeight="1">
      <c r="A549" s="613" t="s">
        <v>1022</v>
      </c>
      <c r="B549" s="613" t="s">
        <v>1337</v>
      </c>
      <c r="C549" s="620" t="s">
        <v>1449</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1742</v>
      </c>
      <c r="AM549" s="753">
        <f t="shared" si="29"/>
        <v>19</v>
      </c>
    </row>
    <row r="550" spans="1:39" s="566" customFormat="1" ht="13.35" customHeight="1">
      <c r="A550" s="613" t="s">
        <v>1023</v>
      </c>
      <c r="B550" s="613" t="s">
        <v>1338</v>
      </c>
      <c r="C550" s="620" t="s">
        <v>1450</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492</v>
      </c>
      <c r="B551" s="614" t="s">
        <v>1339</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1670</v>
      </c>
      <c r="AM551" s="753">
        <f t="shared" si="29"/>
        <v>4</v>
      </c>
    </row>
    <row r="552" spans="1:39" s="566" customFormat="1" ht="13.35" customHeight="1">
      <c r="A552" s="613" t="s">
        <v>493</v>
      </c>
      <c r="B552" s="613" t="s">
        <v>1340</v>
      </c>
      <c r="C552" s="620" t="s">
        <v>1451</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1616</v>
      </c>
      <c r="AM552" s="753">
        <f t="shared" si="29"/>
        <v>6</v>
      </c>
    </row>
    <row r="553" spans="1:39" s="566" customFormat="1" ht="13.35" customHeight="1">
      <c r="A553" s="613" t="s">
        <v>494</v>
      </c>
      <c r="B553" s="613" t="s">
        <v>1341</v>
      </c>
      <c r="C553" s="620" t="s">
        <v>1451</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1741</v>
      </c>
      <c r="AM553" s="753">
        <f t="shared" si="29"/>
        <v>10</v>
      </c>
    </row>
    <row r="554" spans="1:39" s="566" customFormat="1" ht="13.35" customHeight="1">
      <c r="A554" s="613" t="s">
        <v>495</v>
      </c>
      <c r="B554" s="613" t="s">
        <v>1342</v>
      </c>
      <c r="C554" s="620" t="s">
        <v>1451</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1743</v>
      </c>
      <c r="AM554" s="753">
        <f t="shared" si="29"/>
        <v>32.450000000000003</v>
      </c>
    </row>
    <row r="555" spans="1:39" s="566" customFormat="1" ht="13.35" customHeight="1">
      <c r="A555" s="613" t="s">
        <v>1024</v>
      </c>
      <c r="B555" s="613" t="s">
        <v>1343</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1744</v>
      </c>
      <c r="AM555" s="753">
        <f t="shared" si="29"/>
        <v>45.55</v>
      </c>
    </row>
    <row r="556" spans="1:39" s="566" customFormat="1" ht="13.35" customHeight="1">
      <c r="A556" s="613" t="s">
        <v>1025</v>
      </c>
      <c r="B556" s="613" t="s">
        <v>1344</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1670</v>
      </c>
      <c r="AM556" s="753">
        <f t="shared" si="29"/>
        <v>4</v>
      </c>
    </row>
    <row r="557" spans="1:39" s="566" customFormat="1" ht="13.35" customHeight="1">
      <c r="A557" s="613" t="s">
        <v>1026</v>
      </c>
      <c r="B557" s="613" t="s">
        <v>1345</v>
      </c>
      <c r="C557" s="620" t="s">
        <v>1449</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1697</v>
      </c>
      <c r="AM557" s="753">
        <f t="shared" si="29"/>
        <v>2</v>
      </c>
    </row>
    <row r="558" spans="1:39" s="566" customFormat="1" ht="13.35" customHeight="1">
      <c r="A558" s="613" t="s">
        <v>1027</v>
      </c>
      <c r="B558" s="613" t="s">
        <v>1346</v>
      </c>
      <c r="C558" s="620" t="s">
        <v>1449</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1616</v>
      </c>
      <c r="AM558" s="753">
        <f t="shared" si="29"/>
        <v>6</v>
      </c>
    </row>
    <row r="559" spans="1:39" s="566" customFormat="1" ht="13.35" customHeight="1">
      <c r="A559" s="613" t="s">
        <v>1028</v>
      </c>
      <c r="B559" s="613" t="s">
        <v>1347</v>
      </c>
      <c r="C559" s="620" t="s">
        <v>1449</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1616</v>
      </c>
      <c r="AM559" s="753">
        <f t="shared" si="29"/>
        <v>6</v>
      </c>
    </row>
    <row r="560" spans="1:39" s="566" customFormat="1" ht="13.35" customHeight="1">
      <c r="A560" s="613" t="s">
        <v>1029</v>
      </c>
      <c r="B560" s="613" t="s">
        <v>1348</v>
      </c>
      <c r="C560" s="620" t="s">
        <v>1449</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1616</v>
      </c>
      <c r="AM560" s="753">
        <f t="shared" si="29"/>
        <v>6</v>
      </c>
    </row>
    <row r="561" spans="1:39" s="566" customFormat="1" ht="13.35" customHeight="1" thickBot="1">
      <c r="A561" s="613" t="s">
        <v>1030</v>
      </c>
      <c r="B561" s="613" t="s">
        <v>1349</v>
      </c>
      <c r="C561" s="620" t="s">
        <v>1450</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496</v>
      </c>
      <c r="B562" s="614" t="s">
        <v>1350</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1745</v>
      </c>
      <c r="AM562" s="753">
        <f t="shared" si="29"/>
        <v>18.04</v>
      </c>
    </row>
    <row r="563" spans="1:39" s="566" customFormat="1" ht="13.35" hidden="1" customHeight="1">
      <c r="A563" s="613" t="s">
        <v>497</v>
      </c>
      <c r="B563" s="613" t="s">
        <v>1351</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1745</v>
      </c>
      <c r="AM563" s="753">
        <f t="shared" si="29"/>
        <v>18.04</v>
      </c>
    </row>
    <row r="564" spans="1:39" s="566" customFormat="1" ht="13.35" hidden="1" customHeight="1">
      <c r="A564" s="613" t="s">
        <v>498</v>
      </c>
      <c r="B564" s="613" t="s">
        <v>1352</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1454</v>
      </c>
      <c r="AM564" s="753">
        <f t="shared" si="29"/>
        <v>1</v>
      </c>
    </row>
    <row r="565" spans="1:39" s="566" customFormat="1" ht="13.35" hidden="1" customHeight="1">
      <c r="A565" s="613" t="s">
        <v>1031</v>
      </c>
      <c r="B565" s="613" t="s">
        <v>1353</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1454</v>
      </c>
      <c r="AM565" s="753">
        <f t="shared" si="29"/>
        <v>1</v>
      </c>
    </row>
    <row r="566" spans="1:39" s="566" customFormat="1" ht="13.35" hidden="1" customHeight="1">
      <c r="A566" s="613" t="s">
        <v>1032</v>
      </c>
      <c r="B566" s="613" t="s">
        <v>1354</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499</v>
      </c>
      <c r="B567" s="614" t="s">
        <v>1355</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1746</v>
      </c>
      <c r="AM567" s="753">
        <f t="shared" si="29"/>
        <v>10.08</v>
      </c>
    </row>
    <row r="568" spans="1:39" s="566" customFormat="1" ht="13.35" hidden="1" customHeight="1">
      <c r="A568" s="613" t="s">
        <v>500</v>
      </c>
      <c r="B568" s="613" t="s">
        <v>1351</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1746</v>
      </c>
      <c r="AM568" s="753">
        <f t="shared" si="29"/>
        <v>10.08</v>
      </c>
    </row>
    <row r="569" spans="1:39" s="566" customFormat="1" ht="13.35" hidden="1" customHeight="1">
      <c r="A569" s="613" t="s">
        <v>501</v>
      </c>
      <c r="B569" s="613" t="s">
        <v>1352</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1747</v>
      </c>
      <c r="AM569" s="753">
        <f t="shared" si="29"/>
        <v>5.04</v>
      </c>
    </row>
    <row r="570" spans="1:39" s="566" customFormat="1" ht="13.35" hidden="1" customHeight="1">
      <c r="A570" s="613" t="s">
        <v>502</v>
      </c>
      <c r="B570" s="613" t="s">
        <v>1356</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1454</v>
      </c>
      <c r="AM570" s="753">
        <f t="shared" si="29"/>
        <v>1</v>
      </c>
    </row>
    <row r="571" spans="1:39" s="566" customFormat="1" ht="13.35" hidden="1" customHeight="1">
      <c r="A571" s="613" t="s">
        <v>503</v>
      </c>
      <c r="B571" s="613" t="s">
        <v>1357</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1601</v>
      </c>
      <c r="AM571" s="753">
        <f t="shared" si="29"/>
        <v>24</v>
      </c>
    </row>
    <row r="572" spans="1:39" s="566" customFormat="1" ht="13.35" hidden="1" customHeight="1">
      <c r="A572" s="613" t="s">
        <v>1033</v>
      </c>
      <c r="B572" s="613" t="s">
        <v>1358</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504</v>
      </c>
      <c r="B573" s="614" t="s">
        <v>1359</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1492</v>
      </c>
      <c r="AM573" s="753">
        <f t="shared" si="29"/>
        <v>15</v>
      </c>
    </row>
    <row r="574" spans="1:39" ht="13.35" hidden="1" customHeight="1">
      <c r="A574" s="613" t="s">
        <v>505</v>
      </c>
      <c r="B574" s="613" t="s">
        <v>1360</v>
      </c>
      <c r="C574" s="620" t="s">
        <v>1451</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1748</v>
      </c>
      <c r="AM574" s="753">
        <f t="shared" si="29"/>
        <v>31.6</v>
      </c>
    </row>
    <row r="575" spans="1:39" ht="13.35" hidden="1" customHeight="1">
      <c r="A575" s="613" t="s">
        <v>506</v>
      </c>
      <c r="B575" s="613" t="s">
        <v>1361</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1749</v>
      </c>
      <c r="AM575" s="753">
        <f t="shared" si="29"/>
        <v>46.35</v>
      </c>
    </row>
    <row r="576" spans="1:39" ht="13.35" hidden="1" customHeight="1">
      <c r="A576" s="613" t="s">
        <v>507</v>
      </c>
      <c r="B576" s="613" t="s">
        <v>1362</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1616</v>
      </c>
      <c r="AM576" s="753">
        <f t="shared" si="29"/>
        <v>6</v>
      </c>
    </row>
    <row r="577" spans="1:39" ht="13.35" hidden="1" customHeight="1">
      <c r="A577" s="613" t="s">
        <v>1034</v>
      </c>
      <c r="B577" s="613" t="s">
        <v>1363</v>
      </c>
      <c r="C577" s="620" t="s">
        <v>1449</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1454</v>
      </c>
      <c r="AM577" s="753">
        <f t="shared" si="29"/>
        <v>1</v>
      </c>
    </row>
    <row r="578" spans="1:39" ht="13.35" hidden="1" customHeight="1">
      <c r="A578" s="613" t="s">
        <v>1035</v>
      </c>
      <c r="B578" s="613" t="s">
        <v>1364</v>
      </c>
      <c r="C578" s="620" t="s">
        <v>1450</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1697</v>
      </c>
      <c r="AM578" s="753">
        <f t="shared" si="29"/>
        <v>2</v>
      </c>
    </row>
    <row r="579" spans="1:39" ht="13.35" hidden="1" customHeight="1">
      <c r="A579" s="613" t="s">
        <v>1036</v>
      </c>
      <c r="B579" s="613" t="s">
        <v>1365</v>
      </c>
      <c r="C579" s="620" t="s">
        <v>1449</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1037</v>
      </c>
      <c r="B580" s="614" t="s">
        <v>1366</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1454</v>
      </c>
      <c r="AM580" s="753">
        <f t="shared" si="29"/>
        <v>1</v>
      </c>
    </row>
    <row r="581" spans="1:39" ht="13.35" hidden="1" customHeight="1">
      <c r="A581" s="613" t="s">
        <v>508</v>
      </c>
      <c r="B581" s="613" t="s">
        <v>1367</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1750</v>
      </c>
      <c r="AM581" s="753">
        <f t="shared" si="29"/>
        <v>77.95</v>
      </c>
    </row>
    <row r="582" spans="1:39" ht="13.35" hidden="1" customHeight="1">
      <c r="A582" s="613" t="s">
        <v>509</v>
      </c>
      <c r="B582" s="613" t="s">
        <v>1368</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1038</v>
      </c>
      <c r="B583" s="614" t="s">
        <v>1369</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1751</v>
      </c>
      <c r="AM583" s="753">
        <f t="shared" si="29"/>
        <v>110.78</v>
      </c>
    </row>
    <row r="584" spans="1:39" ht="13.35" hidden="1" customHeight="1">
      <c r="A584" s="613" t="s">
        <v>1039</v>
      </c>
      <c r="B584" s="613" t="s">
        <v>1370</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1752</v>
      </c>
      <c r="AM584" s="753">
        <f t="shared" si="29"/>
        <v>34</v>
      </c>
    </row>
    <row r="585" spans="1:39" ht="13.35" hidden="1" customHeight="1">
      <c r="A585" s="613" t="s">
        <v>1040</v>
      </c>
      <c r="B585" s="613" t="s">
        <v>1371</v>
      </c>
      <c r="C585" s="620" t="s">
        <v>1449</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1753</v>
      </c>
      <c r="AM585" s="753">
        <f t="shared" si="29"/>
        <v>35.200000000000003</v>
      </c>
    </row>
    <row r="586" spans="1:39" ht="13.35" hidden="1" customHeight="1">
      <c r="A586" s="613" t="s">
        <v>1041</v>
      </c>
      <c r="B586" s="613" t="s">
        <v>1372</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1754</v>
      </c>
      <c r="AM586" s="753">
        <f t="shared" si="29"/>
        <v>1.32</v>
      </c>
    </row>
    <row r="587" spans="1:39" ht="13.35" hidden="1" customHeight="1">
      <c r="A587" s="613" t="s">
        <v>1042</v>
      </c>
      <c r="B587" s="613" t="s">
        <v>1373</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1755</v>
      </c>
      <c r="AM587" s="753">
        <f t="shared" si="29"/>
        <v>114.4</v>
      </c>
    </row>
    <row r="588" spans="1:39" ht="13.35" hidden="1" customHeight="1">
      <c r="A588" s="613" t="s">
        <v>1043</v>
      </c>
      <c r="B588" s="613" t="s">
        <v>1374</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1756</v>
      </c>
      <c r="AM588" s="753">
        <f t="shared" si="29"/>
        <v>89.98</v>
      </c>
    </row>
    <row r="589" spans="1:39" ht="13.35" hidden="1" customHeight="1">
      <c r="A589" s="613" t="s">
        <v>1044</v>
      </c>
      <c r="B589" s="613" t="s">
        <v>1375</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1757</v>
      </c>
      <c r="AM589" s="753">
        <f t="shared" si="29"/>
        <v>33.78</v>
      </c>
    </row>
    <row r="590" spans="1:39" ht="13.35" hidden="1" customHeight="1">
      <c r="A590" s="613" t="s">
        <v>1045</v>
      </c>
      <c r="B590" s="613" t="s">
        <v>1376</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1758</v>
      </c>
      <c r="AM590" s="753">
        <f t="shared" si="29"/>
        <v>18</v>
      </c>
    </row>
    <row r="591" spans="1:39" ht="13.35" hidden="1" customHeight="1">
      <c r="A591" s="613" t="s">
        <v>1046</v>
      </c>
      <c r="B591" s="613" t="s">
        <v>1352</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1759</v>
      </c>
      <c r="AM591" s="753">
        <f t="shared" si="29"/>
        <v>56.2</v>
      </c>
    </row>
    <row r="592" spans="1:39" ht="13.35" hidden="1" customHeight="1">
      <c r="A592" s="613" t="s">
        <v>1047</v>
      </c>
      <c r="B592" s="613" t="s">
        <v>1377</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1759</v>
      </c>
      <c r="AM592" s="753">
        <f t="shared" si="29"/>
        <v>56.2</v>
      </c>
    </row>
    <row r="593" spans="1:39" ht="13.35" hidden="1" customHeight="1">
      <c r="A593" s="613" t="s">
        <v>1048</v>
      </c>
      <c r="B593" s="613" t="s">
        <v>1378</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1760</v>
      </c>
      <c r="AM593" s="753">
        <f t="shared" si="29"/>
        <v>59.01</v>
      </c>
    </row>
    <row r="594" spans="1:39" s="565" customFormat="1" ht="13.35" hidden="1" customHeight="1">
      <c r="A594" s="613" t="s">
        <v>1049</v>
      </c>
      <c r="B594" s="613" t="s">
        <v>1379</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1761</v>
      </c>
      <c r="AM594" s="753">
        <f t="shared" si="29"/>
        <v>36.119999999999997</v>
      </c>
    </row>
    <row r="595" spans="1:39" ht="13.35" hidden="1" customHeight="1">
      <c r="A595" s="613" t="s">
        <v>1050</v>
      </c>
      <c r="B595" s="613" t="s">
        <v>1380</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1669</v>
      </c>
      <c r="AM595" s="753">
        <f t="shared" si="29"/>
        <v>20</v>
      </c>
    </row>
    <row r="596" spans="1:39" ht="14.1" hidden="1" customHeight="1">
      <c r="A596" s="613" t="s">
        <v>1051</v>
      </c>
      <c r="B596" s="613" t="s">
        <v>1381</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510</v>
      </c>
      <c r="B597" s="1058" t="s">
        <v>1382</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511</v>
      </c>
      <c r="B598" s="614" t="s">
        <v>1383</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1052</v>
      </c>
      <c r="B599" s="613" t="s">
        <v>1384</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1454</v>
      </c>
      <c r="AM599" s="753">
        <f t="shared" si="32"/>
        <v>1</v>
      </c>
    </row>
    <row r="600" spans="1:39" ht="13.35" hidden="1" customHeight="1">
      <c r="A600" s="610" t="s">
        <v>1053</v>
      </c>
      <c r="B600" s="610" t="s">
        <v>1385</v>
      </c>
      <c r="C600" s="620" t="s">
        <v>1452</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1454</v>
      </c>
      <c r="AM600" s="753">
        <f t="shared" si="32"/>
        <v>1</v>
      </c>
    </row>
    <row r="601" spans="1:39" ht="13.35" hidden="1" customHeight="1">
      <c r="A601" s="610" t="s">
        <v>1054</v>
      </c>
      <c r="B601" s="610" t="s">
        <v>1386</v>
      </c>
      <c r="C601" s="620" t="s">
        <v>1452</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1454</v>
      </c>
      <c r="AM601" s="753">
        <f t="shared" si="32"/>
        <v>1</v>
      </c>
    </row>
    <row r="602" spans="1:39" ht="13.35" hidden="1" customHeight="1">
      <c r="A602" s="610" t="s">
        <v>1055</v>
      </c>
      <c r="B602" s="610" t="s">
        <v>1387</v>
      </c>
      <c r="C602" s="620" t="s">
        <v>1452</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1454</v>
      </c>
      <c r="AM602" s="753">
        <f t="shared" si="32"/>
        <v>1</v>
      </c>
    </row>
    <row r="603" spans="1:39" ht="13.35" hidden="1" customHeight="1">
      <c r="A603" s="610" t="s">
        <v>1056</v>
      </c>
      <c r="B603" s="610" t="s">
        <v>1388</v>
      </c>
      <c r="C603" s="620" t="s">
        <v>1452</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1057</v>
      </c>
      <c r="B604" s="613" t="s">
        <v>1389</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1762</v>
      </c>
      <c r="AM604" s="753">
        <f t="shared" si="32"/>
        <v>43</v>
      </c>
    </row>
    <row r="605" spans="1:39" ht="13.35" hidden="1" customHeight="1">
      <c r="A605" s="610" t="s">
        <v>1058</v>
      </c>
      <c r="B605" s="610" t="s">
        <v>1389</v>
      </c>
      <c r="C605" s="620" t="s">
        <v>1451</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1763</v>
      </c>
      <c r="AM605" s="753">
        <f t="shared" si="32"/>
        <v>7</v>
      </c>
    </row>
    <row r="606" spans="1:39" ht="13.35" hidden="1" customHeight="1">
      <c r="A606" s="610" t="s">
        <v>1059</v>
      </c>
      <c r="B606" s="610" t="s">
        <v>1390</v>
      </c>
      <c r="C606" s="620" t="s">
        <v>1451</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1060</v>
      </c>
      <c r="B607" s="613" t="s">
        <v>1391</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1764</v>
      </c>
      <c r="AM607" s="753">
        <f t="shared" si="32"/>
        <v>17</v>
      </c>
    </row>
    <row r="608" spans="1:39" ht="13.35" hidden="1" customHeight="1">
      <c r="A608" s="610" t="s">
        <v>1061</v>
      </c>
      <c r="B608" s="610" t="s">
        <v>1392</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1765</v>
      </c>
      <c r="AM608" s="753">
        <f t="shared" si="32"/>
        <v>23</v>
      </c>
    </row>
    <row r="609" spans="1:39" ht="13.35" hidden="1" customHeight="1">
      <c r="A609" s="610" t="s">
        <v>1062</v>
      </c>
      <c r="B609" s="610" t="s">
        <v>1393</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1697</v>
      </c>
      <c r="AM609" s="753">
        <f t="shared" si="32"/>
        <v>2</v>
      </c>
    </row>
    <row r="610" spans="1:39" ht="13.35" hidden="1" customHeight="1">
      <c r="A610" s="610" t="s">
        <v>1063</v>
      </c>
      <c r="B610" s="610" t="s">
        <v>1394</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1454</v>
      </c>
      <c r="AM610" s="753">
        <f t="shared" si="32"/>
        <v>1</v>
      </c>
    </row>
    <row r="611" spans="1:39" ht="13.35" hidden="1" customHeight="1">
      <c r="A611" s="610" t="s">
        <v>1064</v>
      </c>
      <c r="B611" s="610" t="s">
        <v>1395</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1763</v>
      </c>
      <c r="AM611" s="753">
        <f t="shared" si="32"/>
        <v>7</v>
      </c>
    </row>
    <row r="612" spans="1:39" ht="13.35" hidden="1" customHeight="1">
      <c r="A612" s="610" t="s">
        <v>1065</v>
      </c>
      <c r="B612" s="610" t="s">
        <v>1396</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1066</v>
      </c>
      <c r="B613" s="613" t="s">
        <v>1397</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1488</v>
      </c>
      <c r="AM613" s="753">
        <f t="shared" si="32"/>
        <v>16</v>
      </c>
    </row>
    <row r="614" spans="1:39" ht="13.35" hidden="1" customHeight="1">
      <c r="A614" s="610" t="s">
        <v>1067</v>
      </c>
      <c r="B614" s="610" t="s">
        <v>1398</v>
      </c>
      <c r="C614" s="620" t="s">
        <v>1451</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1697</v>
      </c>
      <c r="AM614" s="753">
        <f t="shared" si="32"/>
        <v>2</v>
      </c>
    </row>
    <row r="615" spans="1:39" ht="13.35" hidden="1" customHeight="1">
      <c r="A615" s="610" t="s">
        <v>1068</v>
      </c>
      <c r="B615" s="610" t="s">
        <v>1399</v>
      </c>
      <c r="C615" s="620" t="s">
        <v>1451</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1697</v>
      </c>
      <c r="AM615" s="753">
        <f t="shared" si="32"/>
        <v>2</v>
      </c>
    </row>
    <row r="616" spans="1:39" ht="13.35" hidden="1" customHeight="1">
      <c r="A616" s="610" t="s">
        <v>1069</v>
      </c>
      <c r="B616" s="610" t="s">
        <v>1400</v>
      </c>
      <c r="C616" s="620" t="s">
        <v>1451</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1070</v>
      </c>
      <c r="B617" s="613" t="s">
        <v>1401</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1766</v>
      </c>
      <c r="AM617" s="753">
        <f t="shared" si="32"/>
        <v>14</v>
      </c>
    </row>
    <row r="618" spans="1:39" ht="13.35" hidden="1" customHeight="1">
      <c r="A618" s="610" t="s">
        <v>1071</v>
      </c>
      <c r="B618" s="610" t="s">
        <v>1402</v>
      </c>
      <c r="C618" s="620" t="s">
        <v>1451</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1454</v>
      </c>
      <c r="AM618" s="753">
        <f t="shared" si="32"/>
        <v>1</v>
      </c>
    </row>
    <row r="619" spans="1:39" ht="13.35" hidden="1" customHeight="1">
      <c r="A619" s="610" t="s">
        <v>1072</v>
      </c>
      <c r="B619" s="610" t="s">
        <v>1403</v>
      </c>
      <c r="C619" s="620" t="s">
        <v>1451</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1617</v>
      </c>
      <c r="AM619" s="753">
        <f t="shared" si="32"/>
        <v>3</v>
      </c>
    </row>
    <row r="620" spans="1:39" ht="13.35" hidden="1" customHeight="1">
      <c r="A620" s="610" t="s">
        <v>1073</v>
      </c>
      <c r="B620" s="610" t="s">
        <v>1404</v>
      </c>
      <c r="C620" s="620" t="s">
        <v>1451</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1640</v>
      </c>
      <c r="AM620" s="753">
        <f t="shared" si="32"/>
        <v>9</v>
      </c>
    </row>
    <row r="621" spans="1:39" ht="13.35" hidden="1" customHeight="1">
      <c r="A621" s="610" t="s">
        <v>1074</v>
      </c>
      <c r="B621" s="610" t="s">
        <v>1405</v>
      </c>
      <c r="C621" s="620" t="s">
        <v>1451</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1454</v>
      </c>
      <c r="AM621" s="753">
        <f t="shared" si="32"/>
        <v>1</v>
      </c>
    </row>
    <row r="622" spans="1:39" ht="13.35" hidden="1" customHeight="1">
      <c r="A622" s="610" t="s">
        <v>1075</v>
      </c>
      <c r="B622" s="610" t="s">
        <v>1406</v>
      </c>
      <c r="C622" s="620" t="s">
        <v>1451</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1076</v>
      </c>
      <c r="B623" s="613" t="s">
        <v>1407</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1454</v>
      </c>
      <c r="AM623" s="753">
        <f t="shared" si="32"/>
        <v>1</v>
      </c>
    </row>
    <row r="624" spans="1:39" ht="13.35" hidden="1" customHeight="1">
      <c r="A624" s="610" t="s">
        <v>1077</v>
      </c>
      <c r="B624" s="610" t="s">
        <v>1408</v>
      </c>
      <c r="C624" s="620" t="s">
        <v>1451</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1454</v>
      </c>
      <c r="AM624" s="753">
        <f t="shared" si="32"/>
        <v>1</v>
      </c>
    </row>
    <row r="625" spans="1:39" ht="13.35" hidden="1" customHeight="1">
      <c r="A625" s="610" t="s">
        <v>1078</v>
      </c>
      <c r="B625" s="610" t="s">
        <v>1409</v>
      </c>
      <c r="C625" s="620" t="s">
        <v>1451</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1725</v>
      </c>
      <c r="AM625" s="753">
        <f t="shared" si="32"/>
        <v>11</v>
      </c>
    </row>
    <row r="626" spans="1:39" ht="13.35" hidden="1" customHeight="1">
      <c r="A626" s="610" t="s">
        <v>1079</v>
      </c>
      <c r="B626" s="610" t="s">
        <v>1410</v>
      </c>
      <c r="C626" s="620" t="s">
        <v>1451</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1697</v>
      </c>
      <c r="AM626" s="753">
        <f t="shared" si="32"/>
        <v>2</v>
      </c>
    </row>
    <row r="627" spans="1:39" ht="13.35" hidden="1" customHeight="1">
      <c r="A627" s="610" t="s">
        <v>1080</v>
      </c>
      <c r="B627" s="610" t="s">
        <v>1411</v>
      </c>
      <c r="C627" s="620" t="s">
        <v>1451</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1697</v>
      </c>
      <c r="AM627" s="753">
        <f t="shared" si="32"/>
        <v>2</v>
      </c>
    </row>
    <row r="628" spans="1:39" ht="13.35" hidden="1" customHeight="1">
      <c r="A628" s="610" t="s">
        <v>1081</v>
      </c>
      <c r="B628" s="610" t="s">
        <v>1412</v>
      </c>
      <c r="C628" s="620" t="s">
        <v>1451</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1082</v>
      </c>
      <c r="B629" s="613" t="s">
        <v>1413</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1454</v>
      </c>
      <c r="AM629" s="753">
        <f t="shared" si="32"/>
        <v>1</v>
      </c>
    </row>
    <row r="630" spans="1:39" ht="13.35" hidden="1" customHeight="1">
      <c r="A630" s="610" t="s">
        <v>1083</v>
      </c>
      <c r="B630" s="610" t="s">
        <v>1414</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1084</v>
      </c>
      <c r="B631" s="613" t="s">
        <v>1415</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1454</v>
      </c>
      <c r="AM631" s="753">
        <f t="shared" si="32"/>
        <v>1</v>
      </c>
    </row>
    <row r="632" spans="1:39" ht="13.35" hidden="1" customHeight="1">
      <c r="A632" s="610" t="s">
        <v>1085</v>
      </c>
      <c r="B632" s="610" t="s">
        <v>1416</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512</v>
      </c>
      <c r="B633" s="614" t="s">
        <v>1417</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1086</v>
      </c>
      <c r="B634" s="613" t="s">
        <v>1418</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1767</v>
      </c>
      <c r="AM634" s="753">
        <f t="shared" si="32"/>
        <v>29</v>
      </c>
    </row>
    <row r="635" spans="1:39" ht="13.35" hidden="1" customHeight="1">
      <c r="A635" s="610" t="s">
        <v>1087</v>
      </c>
      <c r="B635" s="610" t="s">
        <v>1419</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1088</v>
      </c>
      <c r="B636" s="613" t="s">
        <v>1420</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1735</v>
      </c>
      <c r="AM636" s="753">
        <f t="shared" si="32"/>
        <v>64</v>
      </c>
    </row>
    <row r="637" spans="1:39" ht="13.35" hidden="1" customHeight="1">
      <c r="A637" s="610" t="s">
        <v>1089</v>
      </c>
      <c r="B637" s="610" t="s">
        <v>1421</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1090</v>
      </c>
      <c r="B638" s="613" t="s">
        <v>1422</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1735</v>
      </c>
      <c r="AM638" s="753">
        <f t="shared" si="32"/>
        <v>64</v>
      </c>
    </row>
    <row r="639" spans="1:39" ht="13.35" hidden="1" customHeight="1">
      <c r="A639" s="610" t="s">
        <v>1091</v>
      </c>
      <c r="B639" s="610" t="s">
        <v>1423</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1092</v>
      </c>
      <c r="B640" s="613" t="s">
        <v>1424</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1616</v>
      </c>
      <c r="AM640" s="753">
        <f t="shared" si="32"/>
        <v>6</v>
      </c>
    </row>
    <row r="641" spans="1:39" ht="13.35" hidden="1" customHeight="1">
      <c r="A641" s="610" t="s">
        <v>1093</v>
      </c>
      <c r="B641" s="610" t="s">
        <v>1425</v>
      </c>
      <c r="C641" s="620" t="s">
        <v>1451</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1094</v>
      </c>
      <c r="B642" s="613" t="s">
        <v>1391</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1616</v>
      </c>
      <c r="AM642" s="753">
        <f t="shared" si="32"/>
        <v>6</v>
      </c>
    </row>
    <row r="643" spans="1:39" ht="13.35" hidden="1" customHeight="1">
      <c r="A643" s="610" t="s">
        <v>1095</v>
      </c>
      <c r="B643" s="610" t="s">
        <v>1426</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1096</v>
      </c>
      <c r="B644" s="614" t="s">
        <v>1427</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1097</v>
      </c>
      <c r="B645" s="613" t="s">
        <v>1418</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1768</v>
      </c>
      <c r="AM645" s="753">
        <f t="shared" si="32"/>
        <v>56</v>
      </c>
    </row>
    <row r="646" spans="1:39" ht="13.35" hidden="1" customHeight="1">
      <c r="A646" s="610" t="s">
        <v>1098</v>
      </c>
      <c r="B646" s="610" t="s">
        <v>1419</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1099</v>
      </c>
      <c r="B647" s="613" t="s">
        <v>1420</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1769</v>
      </c>
      <c r="AM647" s="753">
        <f t="shared" si="32"/>
        <v>80</v>
      </c>
    </row>
    <row r="648" spans="1:39" ht="13.35" hidden="1" customHeight="1">
      <c r="A648" s="610" t="s">
        <v>1100</v>
      </c>
      <c r="B648" s="610" t="s">
        <v>1428</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1101</v>
      </c>
      <c r="B649" s="613" t="s">
        <v>1422</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1768</v>
      </c>
      <c r="AM649" s="753">
        <f t="shared" si="32"/>
        <v>56</v>
      </c>
    </row>
    <row r="650" spans="1:39" ht="13.35" hidden="1" customHeight="1">
      <c r="A650" s="610" t="s">
        <v>1102</v>
      </c>
      <c r="B650" s="610" t="s">
        <v>1429</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1103</v>
      </c>
      <c r="B651" s="613" t="s">
        <v>1430</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1616</v>
      </c>
      <c r="AM651" s="753">
        <f t="shared" si="32"/>
        <v>6</v>
      </c>
    </row>
    <row r="652" spans="1:39" ht="13.35" hidden="1" customHeight="1">
      <c r="A652" s="610" t="s">
        <v>1104</v>
      </c>
      <c r="B652" s="610" t="s">
        <v>1431</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1105</v>
      </c>
      <c r="B653" s="613" t="s">
        <v>1432</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1616</v>
      </c>
      <c r="AM653" s="753">
        <f t="shared" si="32"/>
        <v>6</v>
      </c>
    </row>
    <row r="654" spans="1:39" ht="13.35" hidden="1" customHeight="1">
      <c r="A654" s="610" t="s">
        <v>1106</v>
      </c>
      <c r="B654" s="610" t="s">
        <v>1433</v>
      </c>
      <c r="C654" s="620" t="s">
        <v>1451</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1107</v>
      </c>
      <c r="B655" s="613" t="s">
        <v>1415</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1616</v>
      </c>
      <c r="AM655" s="753">
        <f t="shared" si="32"/>
        <v>6</v>
      </c>
    </row>
    <row r="656" spans="1:39" ht="13.35" hidden="1" customHeight="1">
      <c r="A656" s="610" t="s">
        <v>1108</v>
      </c>
      <c r="B656" s="610" t="s">
        <v>1434</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1109</v>
      </c>
      <c r="B657" s="613" t="s">
        <v>1424</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1616</v>
      </c>
      <c r="AM657" s="753">
        <f t="shared" si="32"/>
        <v>6</v>
      </c>
    </row>
    <row r="658" spans="1:39" ht="13.35" hidden="1" customHeight="1">
      <c r="A658" s="610" t="s">
        <v>1110</v>
      </c>
      <c r="B658" s="610" t="s">
        <v>1435</v>
      </c>
      <c r="C658" s="620" t="s">
        <v>1451</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1111</v>
      </c>
      <c r="B659" s="613" t="s">
        <v>1391</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1616</v>
      </c>
      <c r="AM659" s="753">
        <f t="shared" si="32"/>
        <v>6</v>
      </c>
    </row>
    <row r="660" spans="1:39" ht="13.35" hidden="1" customHeight="1">
      <c r="A660" s="610" t="s">
        <v>1112</v>
      </c>
      <c r="B660" s="610" t="s">
        <v>1436</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1113</v>
      </c>
      <c r="B661" s="614" t="s">
        <v>1437</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1114</v>
      </c>
      <c r="B662" s="613" t="s">
        <v>1438</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1454</v>
      </c>
      <c r="AM662" s="753">
        <f t="shared" si="35"/>
        <v>1</v>
      </c>
    </row>
    <row r="663" spans="1:39" ht="13.35" hidden="1" customHeight="1">
      <c r="A663" s="610" t="s">
        <v>1115</v>
      </c>
      <c r="B663" s="610" t="s">
        <v>1439</v>
      </c>
      <c r="C663" s="620" t="s">
        <v>1452</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1116</v>
      </c>
      <c r="B664" s="613" t="s">
        <v>1440</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1697</v>
      </c>
      <c r="AM664" s="753">
        <f t="shared" si="35"/>
        <v>2</v>
      </c>
    </row>
    <row r="665" spans="1:39" ht="13.35" hidden="1" customHeight="1">
      <c r="A665" s="610" t="s">
        <v>1117</v>
      </c>
      <c r="B665" s="610" t="s">
        <v>1441</v>
      </c>
      <c r="C665" s="620" t="s">
        <v>1453</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1118</v>
      </c>
      <c r="B666" s="613" t="s">
        <v>1418</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1770</v>
      </c>
      <c r="AM666" s="753">
        <f t="shared" si="35"/>
        <v>90</v>
      </c>
    </row>
    <row r="667" spans="1:39" ht="13.35" hidden="1" customHeight="1">
      <c r="A667" s="610" t="s">
        <v>1119</v>
      </c>
      <c r="B667" s="610" t="s">
        <v>1419</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1120</v>
      </c>
      <c r="B668" s="613" t="s">
        <v>1420</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1121</v>
      </c>
      <c r="B669" s="610" t="s">
        <v>1442</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1122</v>
      </c>
      <c r="B670" s="610" t="s">
        <v>1443</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1123</v>
      </c>
      <c r="B671" s="613" t="s">
        <v>1422</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1124</v>
      </c>
      <c r="B672" s="610" t="s">
        <v>1444</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1125</v>
      </c>
      <c r="B673" s="613" t="s">
        <v>1415</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1126</v>
      </c>
      <c r="B674" s="610" t="s">
        <v>1416</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1127</v>
      </c>
      <c r="B675" s="613" t="s">
        <v>1445</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1128</v>
      </c>
      <c r="B676" s="610" t="s">
        <v>1446</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1129</v>
      </c>
      <c r="B677" s="613" t="s">
        <v>1447</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1130</v>
      </c>
      <c r="B678" s="626" t="s">
        <v>1448</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2"/>
      <c r="L679" s="886"/>
      <c r="M679" s="893"/>
      <c r="N679" s="886"/>
      <c r="O679" s="886"/>
      <c r="P679" s="886"/>
      <c r="Q679" s="886"/>
      <c r="R679" s="886"/>
      <c r="S679" s="886"/>
      <c r="T679" s="893"/>
      <c r="U679" s="886"/>
      <c r="V679" s="886"/>
      <c r="W679" s="886"/>
      <c r="X679" s="886"/>
      <c r="Y679" s="886"/>
      <c r="Z679" s="886"/>
      <c r="AA679" s="893"/>
      <c r="AB679" s="1195"/>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2578125" defaultRowHeight="12.75"/>
  <cols>
    <col min="1" max="1" width="14.42578125" style="624" customWidth="1"/>
    <col min="2" max="2" width="69.425781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2578125" style="563" customWidth="1"/>
    <col min="26" max="26" width="7" style="563" customWidth="1"/>
    <col min="27" max="27" width="7" style="829" customWidth="1"/>
    <col min="28" max="28" width="7" style="1167" customWidth="1"/>
    <col min="29" max="29" width="7" style="563" customWidth="1"/>
    <col min="30" max="30" width="7" style="564" customWidth="1"/>
    <col min="31" max="31" width="10.42578125" style="564" customWidth="1"/>
    <col min="32" max="32" width="7" style="564" customWidth="1"/>
    <col min="33" max="34" width="7" style="564" hidden="1"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571" t="s">
        <v>283</v>
      </c>
      <c r="B1" s="2571"/>
      <c r="C1" s="2571"/>
      <c r="D1" s="2571"/>
      <c r="E1" s="2571"/>
      <c r="F1" s="2571"/>
      <c r="G1" s="2571"/>
      <c r="H1" s="2571"/>
      <c r="I1" s="2571"/>
      <c r="J1" s="2571"/>
      <c r="K1" s="2571"/>
      <c r="L1" s="2571"/>
      <c r="M1" s="2571"/>
      <c r="N1" s="2571"/>
      <c r="O1" s="2571"/>
      <c r="P1" s="2571"/>
      <c r="Q1" s="2571"/>
      <c r="R1" s="2571"/>
      <c r="S1" s="2571"/>
      <c r="T1" s="2571"/>
      <c r="U1" s="2571"/>
      <c r="V1" s="2571"/>
      <c r="W1" s="2571"/>
      <c r="X1" s="2571"/>
    </row>
    <row r="2" spans="1:43">
      <c r="A2" s="2572" t="s">
        <v>1802</v>
      </c>
      <c r="B2" s="2572"/>
      <c r="C2" s="2572"/>
      <c r="D2" s="2572"/>
      <c r="E2" s="2572"/>
      <c r="F2" s="2572"/>
      <c r="G2" s="2572"/>
      <c r="H2" s="2572"/>
      <c r="I2" s="2572"/>
      <c r="J2" s="2572"/>
      <c r="K2" s="2572"/>
      <c r="L2" s="2572"/>
      <c r="M2" s="2572"/>
      <c r="N2" s="2572"/>
      <c r="O2" s="2572"/>
      <c r="P2" s="2572"/>
      <c r="Q2" s="2572"/>
      <c r="R2" s="2572"/>
      <c r="S2" s="2572"/>
      <c r="T2" s="2572"/>
      <c r="U2" s="2572"/>
      <c r="V2" s="2572"/>
      <c r="W2" s="2572"/>
      <c r="X2" s="2572"/>
    </row>
    <row r="3" spans="1:43">
      <c r="A3" s="621"/>
    </row>
    <row r="4" spans="1:43">
      <c r="A4" s="623"/>
      <c r="B4" s="2573" t="s">
        <v>1799</v>
      </c>
      <c r="C4" s="2573"/>
      <c r="D4" s="2573"/>
      <c r="E4" s="2573"/>
      <c r="F4" s="2573"/>
      <c r="G4" s="2573"/>
      <c r="H4" s="2573"/>
      <c r="I4" s="2573"/>
      <c r="J4" s="2573"/>
      <c r="K4" s="2573"/>
      <c r="L4" s="2573"/>
    </row>
    <row r="5" spans="1:43" ht="12.75" customHeight="1">
      <c r="A5" s="623"/>
      <c r="B5" s="2574" t="e">
        <f>#REF!</f>
        <v>#REF!</v>
      </c>
      <c r="C5" s="2575"/>
      <c r="D5" s="2575"/>
      <c r="E5" s="2575"/>
      <c r="F5" s="2575"/>
      <c r="G5" s="2575"/>
      <c r="H5" s="2575"/>
      <c r="I5" s="2575"/>
      <c r="J5" s="2575"/>
      <c r="K5" s="2575"/>
      <c r="L5" s="2575"/>
      <c r="M5" s="2575"/>
      <c r="N5" s="2575"/>
      <c r="O5" s="2575"/>
      <c r="P5" s="2575"/>
      <c r="Q5" s="2575"/>
      <c r="R5" s="2575"/>
      <c r="S5" s="2575"/>
      <c r="T5" s="2575"/>
      <c r="U5" s="2575"/>
      <c r="V5" s="2575"/>
      <c r="W5" s="2575"/>
      <c r="X5" s="2575"/>
      <c r="Y5" s="2575"/>
      <c r="Z5" s="2575"/>
      <c r="AA5" s="2575"/>
    </row>
    <row r="6" spans="1:43" ht="13.5" customHeight="1">
      <c r="B6" s="625"/>
      <c r="C6" s="567"/>
    </row>
    <row r="7" spans="1:43" ht="13.5" customHeight="1" thickBot="1">
      <c r="B7" s="625"/>
      <c r="C7" s="567"/>
      <c r="Q7" s="2578" t="s">
        <v>284</v>
      </c>
      <c r="R7" s="2578"/>
      <c r="S7" s="2578"/>
      <c r="T7" s="2578"/>
      <c r="U7" s="2578"/>
      <c r="V7" s="2578"/>
      <c r="W7" s="2579">
        <v>42857</v>
      </c>
      <c r="X7" s="2579"/>
      <c r="Y7" s="2579"/>
      <c r="Z7" s="2579"/>
    </row>
    <row r="8" spans="1:43" ht="13.5" customHeight="1" thickBot="1">
      <c r="B8" s="625"/>
      <c r="C8" s="567"/>
      <c r="D8" s="1113" t="s">
        <v>2191</v>
      </c>
      <c r="E8" s="1113" t="s">
        <v>2160</v>
      </c>
      <c r="F8" s="1112" t="s">
        <v>2154</v>
      </c>
      <c r="G8" s="1113" t="s">
        <v>2155</v>
      </c>
      <c r="H8" s="1113" t="s">
        <v>2156</v>
      </c>
      <c r="I8" s="1113" t="s">
        <v>2157</v>
      </c>
      <c r="J8" s="1113" t="s">
        <v>2158</v>
      </c>
      <c r="K8" s="1113" t="s">
        <v>2159</v>
      </c>
      <c r="L8" s="1113" t="s">
        <v>2160</v>
      </c>
      <c r="M8" s="1112" t="s">
        <v>2154</v>
      </c>
      <c r="N8" s="1113" t="s">
        <v>2155</v>
      </c>
      <c r="O8" s="1113" t="s">
        <v>2156</v>
      </c>
      <c r="P8" s="1113" t="s">
        <v>2157</v>
      </c>
      <c r="Q8" s="1113" t="s">
        <v>2158</v>
      </c>
      <c r="R8" s="1113" t="s">
        <v>2159</v>
      </c>
      <c r="S8" s="1113" t="s">
        <v>2160</v>
      </c>
      <c r="T8" s="1112" t="s">
        <v>2154</v>
      </c>
      <c r="U8" s="1113" t="s">
        <v>2155</v>
      </c>
      <c r="V8" s="1113" t="s">
        <v>2156</v>
      </c>
      <c r="W8" s="1113" t="s">
        <v>2157</v>
      </c>
      <c r="X8" s="1113" t="s">
        <v>2158</v>
      </c>
      <c r="Y8" s="1113" t="s">
        <v>2159</v>
      </c>
      <c r="Z8" s="1113" t="s">
        <v>2160</v>
      </c>
      <c r="AA8" s="1112" t="s">
        <v>2154</v>
      </c>
      <c r="AB8" s="1196" t="s">
        <v>2155</v>
      </c>
      <c r="AC8" s="1113" t="s">
        <v>2156</v>
      </c>
      <c r="AD8" s="1113" t="s">
        <v>2157</v>
      </c>
      <c r="AE8" s="1113" t="s">
        <v>2158</v>
      </c>
      <c r="AF8" s="1113" t="s">
        <v>2159</v>
      </c>
      <c r="AG8" s="1113" t="s">
        <v>2160</v>
      </c>
      <c r="AH8" s="1113" t="s">
        <v>2154</v>
      </c>
      <c r="AI8" s="971"/>
      <c r="AJ8" s="2580" t="s">
        <v>1979</v>
      </c>
      <c r="AK8" s="2581"/>
      <c r="AL8" s="2581"/>
      <c r="AM8" s="2582"/>
      <c r="AN8" s="2580" t="s">
        <v>1980</v>
      </c>
      <c r="AO8" s="2581"/>
      <c r="AP8" s="2581"/>
      <c r="AQ8" s="2582"/>
    </row>
    <row r="9" spans="1:43" ht="13.5" thickBot="1">
      <c r="A9" s="2576" t="s">
        <v>285</v>
      </c>
      <c r="B9" s="2576" t="s">
        <v>20</v>
      </c>
      <c r="C9" s="568"/>
      <c r="D9" s="1191">
        <v>1</v>
      </c>
      <c r="E9" s="1191">
        <f t="shared" ref="E9:AH9" si="0">+D9+1</f>
        <v>2</v>
      </c>
      <c r="F9" s="830">
        <f t="shared" si="0"/>
        <v>3</v>
      </c>
      <c r="G9" s="1191">
        <f t="shared" si="0"/>
        <v>4</v>
      </c>
      <c r="H9" s="1191">
        <f t="shared" si="0"/>
        <v>5</v>
      </c>
      <c r="I9" s="1191">
        <f t="shared" si="0"/>
        <v>6</v>
      </c>
      <c r="J9" s="1191">
        <f t="shared" si="0"/>
        <v>7</v>
      </c>
      <c r="K9" s="1191">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 t="shared" si="0"/>
        <v>18</v>
      </c>
      <c r="V9" s="1191">
        <f t="shared" si="0"/>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 t="shared" si="0"/>
        <v>30</v>
      </c>
      <c r="AH9" s="570">
        <f t="shared" si="0"/>
        <v>31</v>
      </c>
      <c r="AI9" s="571" t="s">
        <v>358</v>
      </c>
      <c r="AJ9" s="965" t="s">
        <v>26</v>
      </c>
      <c r="AK9" s="966" t="s">
        <v>1821</v>
      </c>
      <c r="AL9" s="966" t="s">
        <v>1820</v>
      </c>
      <c r="AM9" s="967" t="s">
        <v>25</v>
      </c>
      <c r="AN9" s="965" t="s">
        <v>26</v>
      </c>
      <c r="AO9" s="966" t="s">
        <v>1821</v>
      </c>
      <c r="AP9" s="966" t="s">
        <v>1820</v>
      </c>
      <c r="AQ9" s="967" t="s">
        <v>25</v>
      </c>
    </row>
    <row r="10" spans="1:43" ht="13.5" thickBot="1">
      <c r="A10" s="2577"/>
      <c r="B10" s="2577"/>
      <c r="C10" s="573" t="s">
        <v>286</v>
      </c>
      <c r="D10" s="574" t="s">
        <v>304</v>
      </c>
      <c r="E10" s="574" t="s">
        <v>304</v>
      </c>
      <c r="F10" s="831" t="s">
        <v>304</v>
      </c>
      <c r="G10" s="574" t="s">
        <v>304</v>
      </c>
      <c r="H10" s="574" t="s">
        <v>304</v>
      </c>
      <c r="I10" s="574" t="s">
        <v>304</v>
      </c>
      <c r="J10" s="574" t="s">
        <v>304</v>
      </c>
      <c r="K10" s="574" t="s">
        <v>304</v>
      </c>
      <c r="L10" s="574" t="s">
        <v>304</v>
      </c>
      <c r="M10" s="831" t="s">
        <v>304</v>
      </c>
      <c r="N10" s="574" t="s">
        <v>304</v>
      </c>
      <c r="O10" s="574" t="s">
        <v>304</v>
      </c>
      <c r="P10" s="574" t="s">
        <v>304</v>
      </c>
      <c r="Q10" s="574" t="s">
        <v>304</v>
      </c>
      <c r="R10" s="574" t="s">
        <v>304</v>
      </c>
      <c r="S10" s="574" t="s">
        <v>304</v>
      </c>
      <c r="T10" s="831" t="s">
        <v>304</v>
      </c>
      <c r="U10" s="574" t="s">
        <v>304</v>
      </c>
      <c r="V10" s="574" t="s">
        <v>304</v>
      </c>
      <c r="W10" s="574" t="s">
        <v>304</v>
      </c>
      <c r="X10" s="574" t="s">
        <v>304</v>
      </c>
      <c r="Y10" s="574" t="s">
        <v>304</v>
      </c>
      <c r="Z10" s="574" t="s">
        <v>304</v>
      </c>
      <c r="AA10" s="831" t="s">
        <v>304</v>
      </c>
      <c r="AB10" s="858" t="s">
        <v>304</v>
      </c>
      <c r="AC10" s="574" t="s">
        <v>304</v>
      </c>
      <c r="AD10" s="575" t="s">
        <v>304</v>
      </c>
      <c r="AE10" s="574" t="s">
        <v>304</v>
      </c>
      <c r="AF10" s="575" t="s">
        <v>304</v>
      </c>
      <c r="AG10" s="574" t="s">
        <v>304</v>
      </c>
      <c r="AH10" s="574" t="s">
        <v>304</v>
      </c>
      <c r="AI10" s="576" t="s">
        <v>287</v>
      </c>
      <c r="AJ10" s="572"/>
      <c r="AN10" s="572"/>
    </row>
    <row r="11" spans="1:43" s="585" customFormat="1">
      <c r="A11" s="632" t="s">
        <v>513</v>
      </c>
      <c r="B11" s="633" t="s">
        <v>1803</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514</v>
      </c>
      <c r="B12" s="320" t="s">
        <v>34</v>
      </c>
      <c r="C12" s="1190"/>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c r="A13" s="610" t="s">
        <v>1804</v>
      </c>
      <c r="B13" s="326" t="s">
        <v>1819</v>
      </c>
      <c r="C13" s="1189"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c r="A14" s="610" t="s">
        <v>1926</v>
      </c>
      <c r="B14" s="846" t="s">
        <v>1932</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c r="A15" s="610" t="s">
        <v>1928</v>
      </c>
      <c r="B15" s="846" t="s">
        <v>1933</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c r="A16" s="610" t="s">
        <v>1929</v>
      </c>
      <c r="B16" s="846" t="s">
        <v>1934</v>
      </c>
      <c r="C16" s="840" t="s">
        <v>40</v>
      </c>
      <c r="D16" s="1189"/>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c r="A17" s="610" t="s">
        <v>1930</v>
      </c>
      <c r="B17" s="846" t="s">
        <v>1936</v>
      </c>
      <c r="C17" s="840" t="s">
        <v>1935</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c r="A18" s="610" t="s">
        <v>1931</v>
      </c>
      <c r="B18" s="846" t="s">
        <v>1927</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c r="A19" s="610" t="s">
        <v>1937</v>
      </c>
      <c r="B19" s="846" t="s">
        <v>1941</v>
      </c>
      <c r="C19" s="841" t="s">
        <v>1940</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c r="A20" s="610" t="s">
        <v>1938</v>
      </c>
      <c r="B20" s="846" t="s">
        <v>1942</v>
      </c>
      <c r="C20" s="841" t="s">
        <v>1940</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c r="A21" s="610" t="s">
        <v>1939</v>
      </c>
      <c r="B21" s="846" t="s">
        <v>1943</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c r="A22" s="610" t="s">
        <v>1990</v>
      </c>
      <c r="B22" s="846" t="s">
        <v>2003</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c r="A23" s="610" t="s">
        <v>2001</v>
      </c>
      <c r="B23" s="846" t="s">
        <v>2002</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c r="A24" s="610" t="s">
        <v>2005</v>
      </c>
      <c r="B24" s="846" t="s">
        <v>2006</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c r="A25" s="610" t="s">
        <v>2007</v>
      </c>
      <c r="B25" s="846" t="s">
        <v>2095</v>
      </c>
      <c r="C25" s="841" t="s">
        <v>2060</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c r="A26" s="811" t="s">
        <v>2009</v>
      </c>
      <c r="B26" s="846" t="s">
        <v>2129</v>
      </c>
      <c r="C26" s="841" t="s">
        <v>2130</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c r="A27" s="811" t="s">
        <v>2011</v>
      </c>
      <c r="B27" s="846" t="s">
        <v>2172</v>
      </c>
      <c r="C27" s="841" t="s">
        <v>2130</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c r="A28" s="811" t="s">
        <v>2013</v>
      </c>
      <c r="B28" s="846" t="s">
        <v>2173</v>
      </c>
      <c r="C28" s="841" t="s">
        <v>2171</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7" t="s">
        <v>2015</v>
      </c>
      <c r="B29" s="846" t="s">
        <v>2207</v>
      </c>
      <c r="C29" s="841" t="s">
        <v>2208</v>
      </c>
      <c r="D29" s="1185">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8"/>
      <c r="AC29" s="844"/>
      <c r="AD29" s="844"/>
      <c r="AE29" s="844"/>
      <c r="AF29" s="844"/>
      <c r="AG29" s="844"/>
      <c r="AH29" s="828"/>
      <c r="AI29" s="1103">
        <f t="shared" si="1"/>
        <v>100</v>
      </c>
      <c r="AJ29" s="853"/>
      <c r="AK29" s="584"/>
      <c r="AM29" s="584"/>
    </row>
    <row r="30" spans="1:43" s="566" customFormat="1" ht="13.35" customHeight="1">
      <c r="A30" s="1197" t="s">
        <v>2017</v>
      </c>
      <c r="B30" s="846" t="s">
        <v>2209</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8"/>
      <c r="AC30" s="844"/>
      <c r="AD30" s="844"/>
      <c r="AE30" s="844"/>
      <c r="AF30" s="844"/>
      <c r="AG30" s="844"/>
      <c r="AH30" s="828"/>
      <c r="AI30" s="1103">
        <f t="shared" si="1"/>
        <v>107</v>
      </c>
      <c r="AJ30" s="853"/>
      <c r="AK30" s="584"/>
      <c r="AM30" s="584"/>
    </row>
    <row r="31" spans="1:43" s="566" customFormat="1" ht="13.35" customHeight="1">
      <c r="A31" s="1197" t="s">
        <v>2019</v>
      </c>
      <c r="B31" s="846" t="s">
        <v>2210</v>
      </c>
      <c r="C31" s="841" t="s">
        <v>37</v>
      </c>
      <c r="D31" s="1185">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8"/>
      <c r="AC31" s="844"/>
      <c r="AD31" s="844"/>
      <c r="AE31" s="844"/>
      <c r="AF31" s="844"/>
      <c r="AG31" s="844"/>
      <c r="AH31" s="828"/>
      <c r="AI31" s="1103">
        <f t="shared" si="1"/>
        <v>120</v>
      </c>
      <c r="AJ31" s="853"/>
      <c r="AK31" s="584"/>
      <c r="AM31" s="584"/>
    </row>
    <row r="32" spans="1:43" s="566" customFormat="1">
      <c r="A32" s="1097" t="s">
        <v>2062</v>
      </c>
      <c r="B32" s="1098" t="s">
        <v>1201</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c r="A33" s="1097" t="s">
        <v>2063</v>
      </c>
      <c r="B33" s="1098" t="s">
        <v>1946</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c r="A34" s="982" t="s">
        <v>2064</v>
      </c>
      <c r="B34" s="846" t="s">
        <v>1947</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c r="A35" s="982" t="s">
        <v>2065</v>
      </c>
      <c r="B35" s="846" t="s">
        <v>1991</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c r="A36" s="982" t="s">
        <v>2066</v>
      </c>
      <c r="B36" s="846" t="s">
        <v>1992</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c r="A37" s="982" t="s">
        <v>2067</v>
      </c>
      <c r="B37" s="846" t="s">
        <v>1993</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5">
      <c r="A38" s="982" t="s">
        <v>2068</v>
      </c>
      <c r="B38" s="846" t="s">
        <v>1994</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c r="A39" s="982" t="s">
        <v>2069</v>
      </c>
      <c r="B39" s="846" t="s">
        <v>1995</v>
      </c>
      <c r="C39" s="841" t="s">
        <v>1935</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c r="A40" s="982" t="s">
        <v>2070</v>
      </c>
      <c r="B40" s="846" t="s">
        <v>1996</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c r="A41" s="982" t="s">
        <v>2071</v>
      </c>
      <c r="B41" s="846" t="s">
        <v>1997</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5">
      <c r="A42" s="982" t="s">
        <v>2072</v>
      </c>
      <c r="B42" s="846" t="s">
        <v>1998</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c r="A43" s="982" t="s">
        <v>2073</v>
      </c>
      <c r="B43" s="846" t="s">
        <v>1999</v>
      </c>
      <c r="C43" s="841" t="s">
        <v>1935</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c r="A44" s="1097" t="s">
        <v>2074</v>
      </c>
      <c r="B44" s="1098" t="s">
        <v>1208</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c r="A45" s="982" t="s">
        <v>2075</v>
      </c>
      <c r="B45" s="846" t="s">
        <v>1946</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c r="A46" s="982" t="s">
        <v>2076</v>
      </c>
      <c r="B46" s="846" t="s">
        <v>1947</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c r="A47" s="982" t="s">
        <v>2077</v>
      </c>
      <c r="B47" s="846" t="s">
        <v>1991</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c r="A48" s="982" t="s">
        <v>2078</v>
      </c>
      <c r="B48" s="846" t="s">
        <v>1992</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c r="A49" s="982" t="s">
        <v>2079</v>
      </c>
      <c r="B49" s="846" t="s">
        <v>1993</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c r="A50" s="982" t="s">
        <v>2080</v>
      </c>
      <c r="B50" s="846" t="s">
        <v>1994</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c r="A51" s="982" t="s">
        <v>2081</v>
      </c>
      <c r="B51" s="846" t="s">
        <v>1995</v>
      </c>
      <c r="C51" s="841" t="s">
        <v>1935</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c r="A52" s="982" t="s">
        <v>2082</v>
      </c>
      <c r="B52" s="846" t="s">
        <v>1996</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c r="A53" s="982" t="s">
        <v>2083</v>
      </c>
      <c r="B53" s="846" t="s">
        <v>1997</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c r="A54" s="982" t="s">
        <v>2084</v>
      </c>
      <c r="B54" s="846" t="s">
        <v>1998</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c r="A55" s="982" t="s">
        <v>2085</v>
      </c>
      <c r="B55" s="846" t="s">
        <v>1999</v>
      </c>
      <c r="C55" s="841" t="s">
        <v>1935</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2181</v>
      </c>
      <c r="B56" s="610" t="s">
        <v>1180</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2182</v>
      </c>
      <c r="B57" s="610" t="s">
        <v>1181</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2183</v>
      </c>
      <c r="B58" s="610" t="s">
        <v>1182</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2184</v>
      </c>
      <c r="B59" s="610" t="s">
        <v>1183</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c r="A60" s="1097" t="s">
        <v>2086</v>
      </c>
      <c r="B60" s="1099" t="s">
        <v>1210</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c r="A61" s="982" t="s">
        <v>2087</v>
      </c>
      <c r="B61" s="846" t="s">
        <v>1946</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c r="A62" s="982" t="s">
        <v>2088</v>
      </c>
      <c r="B62" s="846" t="s">
        <v>1947</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c r="A63" s="982" t="s">
        <v>2089</v>
      </c>
      <c r="B63" s="846" t="s">
        <v>2000</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c r="A64" s="982" t="s">
        <v>2099</v>
      </c>
      <c r="B64" s="613" t="s">
        <v>1238</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c r="A65" s="613" t="s">
        <v>2100</v>
      </c>
      <c r="B65" s="1098" t="s">
        <v>2096</v>
      </c>
      <c r="C65" s="841" t="s">
        <v>2097</v>
      </c>
      <c r="D65" s="842"/>
      <c r="E65" s="842"/>
      <c r="F65" s="843"/>
      <c r="G65" s="842"/>
      <c r="H65" s="842"/>
      <c r="I65" s="844"/>
      <c r="J65" s="844"/>
      <c r="K65" s="844"/>
      <c r="L65" s="844"/>
      <c r="M65" s="843"/>
      <c r="N65" s="844"/>
      <c r="O65" s="751"/>
      <c r="P65" s="844"/>
      <c r="Q65" s="1193">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2211</v>
      </c>
      <c r="B66" s="613" t="s">
        <v>2212</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2213</v>
      </c>
      <c r="B67" s="610" t="s">
        <v>2212</v>
      </c>
      <c r="C67" s="620" t="s">
        <v>2097</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c r="A68" s="1097" t="s">
        <v>2113</v>
      </c>
      <c r="B68" s="1098" t="s">
        <v>1991</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2114</v>
      </c>
      <c r="B69" s="610" t="s">
        <v>2116</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c r="A70" s="982" t="s">
        <v>2115</v>
      </c>
      <c r="B70" s="610" t="s">
        <v>2118</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2117</v>
      </c>
      <c r="B71" s="610" t="s">
        <v>2119</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2132</v>
      </c>
      <c r="B72" s="846" t="s">
        <v>225</v>
      </c>
      <c r="C72" s="620" t="s">
        <v>2131</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2227</v>
      </c>
      <c r="B73" s="846" t="s">
        <v>1946</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2228</v>
      </c>
      <c r="B74" s="846" t="s">
        <v>225</v>
      </c>
      <c r="C74" s="620" t="s">
        <v>2131</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2101</v>
      </c>
      <c r="B75" s="1098" t="s">
        <v>1216</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2103</v>
      </c>
      <c r="B76" s="846" t="s">
        <v>1946</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2104</v>
      </c>
      <c r="B77" s="610" t="s">
        <v>1202</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2164</v>
      </c>
      <c r="B78" s="846" t="s">
        <v>1947</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2133</v>
      </c>
      <c r="B79" s="846" t="s">
        <v>1991</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2146</v>
      </c>
      <c r="B80" s="610" t="s">
        <v>2134</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2147</v>
      </c>
      <c r="B81" s="610" t="s">
        <v>2135</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2148</v>
      </c>
      <c r="B82" s="610" t="s">
        <v>2136</v>
      </c>
      <c r="C82" s="620" t="s">
        <v>1935</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2193</v>
      </c>
      <c r="B83" s="613" t="s">
        <v>1238</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2194</v>
      </c>
      <c r="B84" s="610" t="s">
        <v>2192</v>
      </c>
      <c r="C84" s="620" t="s">
        <v>2097</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526</v>
      </c>
      <c r="B85" s="613" t="s">
        <v>1235</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527</v>
      </c>
      <c r="B86" s="610" t="s">
        <v>2189</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2102</v>
      </c>
      <c r="B87" s="1098" t="s">
        <v>2094</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2105</v>
      </c>
      <c r="B88" s="846" t="s">
        <v>2098</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2161</v>
      </c>
      <c r="B89" s="846" t="s">
        <v>2162</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2163</v>
      </c>
      <c r="B90" s="846" t="s">
        <v>2165</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2174</v>
      </c>
      <c r="B91" s="846" t="s">
        <v>2175</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2187</v>
      </c>
      <c r="B92" s="846" t="s">
        <v>2188</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2107</v>
      </c>
      <c r="B93" s="1098" t="s">
        <v>1154</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2137</v>
      </c>
      <c r="B94" s="846" t="s">
        <v>1991</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2138</v>
      </c>
      <c r="B95" s="846" t="s">
        <v>1992</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2139</v>
      </c>
      <c r="B96" s="846" t="s">
        <v>1993</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2140</v>
      </c>
      <c r="B97" s="846" t="s">
        <v>1994</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2141</v>
      </c>
      <c r="B98" s="846" t="s">
        <v>1995</v>
      </c>
      <c r="C98" s="620" t="s">
        <v>1935</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2108</v>
      </c>
      <c r="B99" s="846" t="s">
        <v>1996</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2109</v>
      </c>
      <c r="B100" s="846" t="s">
        <v>1997</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2110</v>
      </c>
      <c r="B101" s="846" t="s">
        <v>1998</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2111</v>
      </c>
      <c r="B102" s="846" t="s">
        <v>1999</v>
      </c>
      <c r="C102" s="620" t="s">
        <v>1935</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2142</v>
      </c>
      <c r="B103" s="613" t="s">
        <v>1217</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2153</v>
      </c>
      <c r="B104" s="1098" t="s">
        <v>1946</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c r="A105" s="1097" t="s">
        <v>2166</v>
      </c>
      <c r="B105" s="846" t="s">
        <v>1947</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2167</v>
      </c>
      <c r="B106" s="610" t="s">
        <v>1202</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2143</v>
      </c>
      <c r="B107" s="1098" t="s">
        <v>1991</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2168</v>
      </c>
      <c r="B108" s="610" t="s">
        <v>2134</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2169</v>
      </c>
      <c r="B109" s="610" t="s">
        <v>2135</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2170</v>
      </c>
      <c r="B110" s="610" t="s">
        <v>2136</v>
      </c>
      <c r="C110" s="620" t="s">
        <v>1935</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2144</v>
      </c>
      <c r="B111" s="613" t="s">
        <v>1238</v>
      </c>
      <c r="C111" s="620"/>
      <c r="D111" s="842"/>
      <c r="E111" s="842"/>
      <c r="F111" s="843"/>
      <c r="G111" s="1185"/>
      <c r="H111" s="1185"/>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2195</v>
      </c>
      <c r="B112" s="610" t="s">
        <v>2206</v>
      </c>
      <c r="C112" s="620" t="s">
        <v>2097</v>
      </c>
      <c r="D112" s="842"/>
      <c r="E112" s="842"/>
      <c r="F112" s="843"/>
      <c r="G112" s="1185"/>
      <c r="H112" s="1185"/>
      <c r="I112" s="1130"/>
      <c r="J112" s="844"/>
      <c r="K112" s="844"/>
      <c r="L112" s="844"/>
      <c r="M112" s="843"/>
      <c r="N112" s="1138">
        <f>8.7*2.9195</f>
        <v>25.399650000000001</v>
      </c>
      <c r="O112" s="1138">
        <f>4*2.85</f>
        <v>11.4</v>
      </c>
      <c r="P112" s="1130">
        <f>5*0.28+3.2*2.15+5.5*0.2+1.8*5+5*0.3+3.25*2.2+4.25*0.28+2.2*0.28+5.6*0.2</f>
        <v>29.956000000000003</v>
      </c>
      <c r="Q112" s="1199">
        <f>2.67*2.9</f>
        <v>7.7429999999999994</v>
      </c>
      <c r="R112" s="1200">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2145</v>
      </c>
      <c r="B113" s="613" t="s">
        <v>1305</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2214</v>
      </c>
      <c r="B114" s="610" t="s">
        <v>1305</v>
      </c>
      <c r="C114" s="620" t="s">
        <v>2097</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2112</v>
      </c>
      <c r="B115" s="1098" t="s">
        <v>1209</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2120</v>
      </c>
      <c r="B116" s="846" t="s">
        <v>1991</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2121</v>
      </c>
      <c r="B117" s="846" t="s">
        <v>1992</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2122</v>
      </c>
      <c r="B118" s="846" t="s">
        <v>1993</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2123</v>
      </c>
      <c r="B119" s="846" t="s">
        <v>1994</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2124</v>
      </c>
      <c r="B120" s="846" t="s">
        <v>1995</v>
      </c>
      <c r="C120" s="620" t="s">
        <v>1935</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2125</v>
      </c>
      <c r="B121" s="846" t="s">
        <v>1996</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2126</v>
      </c>
      <c r="B122" s="846" t="s">
        <v>1997</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2127</v>
      </c>
      <c r="B123" s="846" t="s">
        <v>1998</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2128</v>
      </c>
      <c r="B124" s="846" t="s">
        <v>1999</v>
      </c>
      <c r="C124" s="620" t="s">
        <v>1935</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2185</v>
      </c>
      <c r="B125" s="614" t="s">
        <v>1350</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2186</v>
      </c>
      <c r="B126" s="613" t="s">
        <v>2190</v>
      </c>
      <c r="C126" s="1083" t="s">
        <v>36</v>
      </c>
      <c r="D126" s="842"/>
      <c r="E126" s="842"/>
      <c r="F126" s="843"/>
      <c r="G126" s="1185">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7" t="s">
        <v>2198</v>
      </c>
      <c r="B127" s="1187" t="s">
        <v>1355</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8" t="s">
        <v>2199</v>
      </c>
      <c r="B128" s="1188" t="s">
        <v>1351</v>
      </c>
      <c r="C128" s="1083" t="s">
        <v>40</v>
      </c>
      <c r="D128" s="842"/>
      <c r="E128" s="842"/>
      <c r="F128" s="843"/>
      <c r="G128" s="1185">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8" t="s">
        <v>2200</v>
      </c>
      <c r="B129" s="1188" t="s">
        <v>1352</v>
      </c>
      <c r="C129" s="1083" t="s">
        <v>40</v>
      </c>
      <c r="D129" s="842"/>
      <c r="E129" s="842"/>
      <c r="F129" s="843"/>
      <c r="G129" s="1185">
        <f>1.5*1.8*2</f>
        <v>5.4</v>
      </c>
      <c r="H129" s="1185">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8" t="s">
        <v>2201</v>
      </c>
      <c r="B130" s="1188" t="s">
        <v>1356</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8" t="s">
        <v>2202</v>
      </c>
      <c r="B131" s="1188" t="s">
        <v>2196</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5" thickBot="1">
      <c r="A132" s="1188" t="s">
        <v>2203</v>
      </c>
      <c r="B132" s="1188" t="s">
        <v>2197</v>
      </c>
      <c r="C132" s="1083" t="s">
        <v>40</v>
      </c>
      <c r="D132" s="842"/>
      <c r="E132" s="842"/>
      <c r="F132" s="843"/>
      <c r="G132" s="1185">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5" thickBot="1">
      <c r="A133" s="1187" t="s">
        <v>2204</v>
      </c>
      <c r="B133" s="1187" t="s">
        <v>1369</v>
      </c>
      <c r="C133" s="1083"/>
      <c r="D133" s="755"/>
      <c r="E133" s="755"/>
      <c r="F133" s="901"/>
      <c r="G133" s="755"/>
      <c r="H133" s="755"/>
      <c r="I133" s="755"/>
      <c r="J133" s="755"/>
      <c r="K133" s="755"/>
      <c r="L133" s="755"/>
      <c r="M133" s="901"/>
      <c r="N133" s="755"/>
      <c r="O133" s="755"/>
      <c r="P133" s="1201">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8" t="s">
        <v>2205</v>
      </c>
      <c r="B134" s="1188" t="s">
        <v>1379</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2"/>
      <c r="AH134" s="1203"/>
      <c r="AI134" s="582">
        <f t="shared" si="6"/>
        <v>0</v>
      </c>
      <c r="AJ134" s="1204"/>
    </row>
    <row r="135" spans="1:39">
      <c r="A135" s="1188" t="s">
        <v>2215</v>
      </c>
      <c r="B135" s="846" t="s">
        <v>2216</v>
      </c>
      <c r="C135" s="1083" t="s">
        <v>37</v>
      </c>
      <c r="D135" s="755"/>
      <c r="E135" s="755"/>
      <c r="F135" s="901"/>
      <c r="G135" s="755"/>
      <c r="H135" s="755"/>
      <c r="I135" s="755"/>
      <c r="J135" s="755"/>
      <c r="K135" s="755"/>
      <c r="L135" s="755"/>
      <c r="M135" s="901"/>
      <c r="N135" s="755"/>
      <c r="O135" s="755"/>
      <c r="P135" s="755"/>
      <c r="Q135" s="755"/>
      <c r="R135" s="1201">
        <v>1</v>
      </c>
      <c r="S135" s="755"/>
      <c r="T135" s="901"/>
      <c r="U135" s="755"/>
      <c r="V135" s="755"/>
      <c r="W135" s="755"/>
      <c r="X135" s="755"/>
      <c r="Y135" s="755"/>
      <c r="Z135" s="755"/>
      <c r="AA135" s="901"/>
      <c r="AB135" s="1168"/>
      <c r="AC135" s="755"/>
      <c r="AD135" s="791"/>
      <c r="AE135" s="791"/>
      <c r="AF135" s="791"/>
      <c r="AG135" s="1202"/>
      <c r="AH135" s="1203"/>
      <c r="AI135" s="1103">
        <f t="shared" si="6"/>
        <v>1</v>
      </c>
      <c r="AJ135" s="1204"/>
    </row>
    <row r="136" spans="1:39">
      <c r="A136" s="1187"/>
      <c r="B136" s="846" t="s">
        <v>2217</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2"/>
      <c r="AH136" s="1203"/>
      <c r="AI136" s="582">
        <f t="shared" si="6"/>
        <v>0</v>
      </c>
      <c r="AJ136" s="1204"/>
    </row>
    <row r="137" spans="1:39">
      <c r="A137" s="1188"/>
      <c r="B137" s="846" t="s">
        <v>2218</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2"/>
      <c r="AH137" s="1203"/>
      <c r="AI137" s="582">
        <f t="shared" si="6"/>
        <v>0</v>
      </c>
      <c r="AJ137" s="1204"/>
    </row>
    <row r="138" spans="1:39">
      <c r="A138" s="1188"/>
      <c r="B138" s="846" t="s">
        <v>2219</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2"/>
      <c r="AH138" s="1203"/>
      <c r="AI138" s="582">
        <f t="shared" si="6"/>
        <v>0</v>
      </c>
      <c r="AJ138" s="1204"/>
    </row>
    <row r="139" spans="1:39">
      <c r="A139" s="1188"/>
      <c r="B139" s="846" t="s">
        <v>2220</v>
      </c>
      <c r="C139" s="1083" t="s">
        <v>40</v>
      </c>
      <c r="D139" s="755"/>
      <c r="E139" s="755"/>
      <c r="F139" s="901"/>
      <c r="G139" s="755"/>
      <c r="H139" s="755"/>
      <c r="I139" s="755"/>
      <c r="J139" s="755"/>
      <c r="K139" s="755"/>
      <c r="L139" s="755"/>
      <c r="M139" s="901"/>
      <c r="N139" s="755"/>
      <c r="O139" s="755"/>
      <c r="P139" s="755"/>
      <c r="Q139" s="1201">
        <v>4</v>
      </c>
      <c r="R139" s="1201">
        <v>4</v>
      </c>
      <c r="S139" s="755"/>
      <c r="T139" s="901"/>
      <c r="U139" s="1201">
        <v>4</v>
      </c>
      <c r="V139" s="755"/>
      <c r="W139" s="755"/>
      <c r="X139" s="755"/>
      <c r="Y139" s="755"/>
      <c r="Z139" s="755"/>
      <c r="AA139" s="901"/>
      <c r="AB139" s="1168"/>
      <c r="AC139" s="755"/>
      <c r="AD139" s="791"/>
      <c r="AE139" s="791"/>
      <c r="AF139" s="791"/>
      <c r="AG139" s="1202"/>
      <c r="AH139" s="1203"/>
      <c r="AI139" s="1103">
        <f t="shared" si="6"/>
        <v>12</v>
      </c>
      <c r="AJ139" s="1204"/>
    </row>
    <row r="140" spans="1:39">
      <c r="A140" s="1188"/>
      <c r="B140" s="846" t="s">
        <v>2221</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1">
        <v>1</v>
      </c>
      <c r="AD140" s="791"/>
      <c r="AE140" s="791"/>
      <c r="AF140" s="791"/>
      <c r="AG140" s="1202"/>
      <c r="AH140" s="1203"/>
      <c r="AI140" s="1103">
        <f t="shared" si="6"/>
        <v>1</v>
      </c>
      <c r="AJ140" s="1204"/>
    </row>
    <row r="141" spans="1:39">
      <c r="A141" s="1188"/>
      <c r="B141" s="846" t="s">
        <v>2222</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8"/>
      <c r="B142" s="846" t="s">
        <v>2222</v>
      </c>
      <c r="C142" s="1083" t="s">
        <v>276</v>
      </c>
      <c r="D142" s="572"/>
      <c r="E142" s="572"/>
      <c r="F142" s="902"/>
      <c r="G142" s="572"/>
      <c r="H142" s="572"/>
      <c r="I142" s="572"/>
      <c r="J142" s="572"/>
      <c r="K142" s="572"/>
      <c r="L142" s="572"/>
      <c r="M142" s="902"/>
      <c r="N142" s="572"/>
      <c r="O142" s="572"/>
      <c r="P142" s="572"/>
      <c r="Q142" s="1206">
        <v>143.6</v>
      </c>
      <c r="R142" s="572"/>
      <c r="S142" s="572"/>
      <c r="T142" s="902"/>
      <c r="U142" s="1206">
        <v>217.9</v>
      </c>
      <c r="V142" s="572"/>
      <c r="W142" s="572"/>
      <c r="X142" s="1206">
        <v>278.60000000000002</v>
      </c>
      <c r="Y142" s="572"/>
      <c r="Z142" s="572"/>
      <c r="AA142" s="902"/>
      <c r="AB142" s="1168"/>
      <c r="AC142" s="1201">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2223</v>
      </c>
      <c r="R146" s="563">
        <v>143.6</v>
      </c>
    </row>
    <row r="147" spans="1:18">
      <c r="B147" s="630" t="s">
        <v>1800</v>
      </c>
      <c r="C147" s="602"/>
      <c r="Q147" s="563" t="s">
        <v>2224</v>
      </c>
      <c r="R147" s="563">
        <v>217.93</v>
      </c>
    </row>
    <row r="148" spans="1:18">
      <c r="B148" s="630" t="s">
        <v>289</v>
      </c>
      <c r="C148" s="602"/>
      <c r="Q148" s="563" t="s">
        <v>2225</v>
      </c>
      <c r="R148" s="563">
        <v>278.55</v>
      </c>
    </row>
    <row r="149" spans="1:18">
      <c r="B149" s="630"/>
      <c r="C149" s="602"/>
      <c r="Q149" s="563" t="s">
        <v>2226</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B2" sqref="B2:S2"/>
    </sheetView>
  </sheetViews>
  <sheetFormatPr baseColWidth="10" defaultRowHeight="13.5"/>
  <cols>
    <col min="1" max="1" width="10.85546875" style="1215"/>
    <col min="2" max="2" width="12" style="1215" customWidth="1"/>
    <col min="3" max="3" width="64.42578125" style="1225" customWidth="1"/>
    <col min="4" max="4" width="10.5703125" style="1218" customWidth="1"/>
    <col min="5" max="5" width="12.85546875" style="1226" customWidth="1"/>
    <col min="6" max="7" width="13.28515625" style="1226" customWidth="1"/>
    <col min="8" max="8" width="15" style="1226" hidden="1" customWidth="1"/>
    <col min="9" max="9" width="15" style="1226" customWidth="1"/>
    <col min="10" max="10" width="12.7109375" style="1218" customWidth="1"/>
    <col min="11" max="11" width="16.28515625" style="1218" customWidth="1"/>
    <col min="12" max="12" width="12.28515625" style="1346" customWidth="1"/>
    <col min="13" max="13" width="17.85546875" style="1218" customWidth="1"/>
    <col min="14" max="14" width="12" style="1218" customWidth="1"/>
    <col min="15" max="15" width="16.42578125" style="1218" customWidth="1"/>
    <col min="16" max="16" width="13.42578125" style="1218" customWidth="1"/>
    <col min="17" max="17" width="9.140625" style="1215" customWidth="1"/>
    <col min="18" max="18" width="16.5703125" style="1215" customWidth="1"/>
    <col min="19" max="19" width="12.5703125" style="1215" customWidth="1"/>
    <col min="20" max="20" width="13" style="1215" bestFit="1" customWidth="1"/>
    <col min="21" max="22" width="13" style="1215" customWidth="1"/>
    <col min="23" max="24" width="10.85546875" style="1215"/>
    <col min="25" max="25" width="14.140625" style="1215" customWidth="1"/>
    <col min="26" max="261" width="10.85546875" style="1215"/>
    <col min="262" max="262" width="8.85546875" style="1215" customWidth="1"/>
    <col min="263" max="263" width="50" style="1215" customWidth="1"/>
    <col min="264" max="264" width="6.28515625" style="1215" bestFit="1" customWidth="1"/>
    <col min="265" max="265" width="8.85546875" style="1215" customWidth="1"/>
    <col min="266" max="266" width="8.5703125" style="1215" customWidth="1"/>
    <col min="267" max="267" width="11.28515625" style="1215" bestFit="1" customWidth="1"/>
    <col min="268" max="268" width="7.85546875" style="1215" bestFit="1" customWidth="1"/>
    <col min="269" max="269" width="11.5703125" style="1215" bestFit="1" customWidth="1"/>
    <col min="270" max="270" width="8" style="1215" bestFit="1" customWidth="1"/>
    <col min="271" max="271" width="11.5703125" style="1215" bestFit="1" customWidth="1"/>
    <col min="272" max="272" width="8.140625" style="1215" bestFit="1" customWidth="1"/>
    <col min="273" max="273" width="11.5703125" style="1215" bestFit="1" customWidth="1"/>
    <col min="274" max="274" width="8.42578125" style="1215" customWidth="1"/>
    <col min="275" max="275" width="7.28515625" style="1215" bestFit="1" customWidth="1"/>
    <col min="276" max="276" width="11.5703125" style="1215" bestFit="1" customWidth="1"/>
    <col min="277" max="277" width="8.140625" style="1215" customWidth="1"/>
    <col min="278" max="278" width="13" style="1215" bestFit="1" customWidth="1"/>
    <col min="279" max="517" width="10.85546875" style="1215"/>
    <col min="518" max="518" width="8.85546875" style="1215" customWidth="1"/>
    <col min="519" max="519" width="50" style="1215" customWidth="1"/>
    <col min="520" max="520" width="6.28515625" style="1215" bestFit="1" customWidth="1"/>
    <col min="521" max="521" width="8.85546875" style="1215" customWidth="1"/>
    <col min="522" max="522" width="8.5703125" style="1215" customWidth="1"/>
    <col min="523" max="523" width="11.28515625" style="1215" bestFit="1" customWidth="1"/>
    <col min="524" max="524" width="7.85546875" style="1215" bestFit="1" customWidth="1"/>
    <col min="525" max="525" width="11.5703125" style="1215" bestFit="1" customWidth="1"/>
    <col min="526" max="526" width="8" style="1215" bestFit="1" customWidth="1"/>
    <col min="527" max="527" width="11.5703125" style="1215" bestFit="1" customWidth="1"/>
    <col min="528" max="528" width="8.140625" style="1215" bestFit="1" customWidth="1"/>
    <col min="529" max="529" width="11.5703125" style="1215" bestFit="1" customWidth="1"/>
    <col min="530" max="530" width="8.42578125" style="1215" customWidth="1"/>
    <col min="531" max="531" width="7.28515625" style="1215" bestFit="1" customWidth="1"/>
    <col min="532" max="532" width="11.5703125" style="1215" bestFit="1" customWidth="1"/>
    <col min="533" max="533" width="8.140625" style="1215" customWidth="1"/>
    <col min="534" max="534" width="13" style="1215" bestFit="1" customWidth="1"/>
    <col min="535" max="773" width="10.85546875" style="1215"/>
    <col min="774" max="774" width="8.85546875" style="1215" customWidth="1"/>
    <col min="775" max="775" width="50" style="1215" customWidth="1"/>
    <col min="776" max="776" width="6.28515625" style="1215" bestFit="1" customWidth="1"/>
    <col min="777" max="777" width="8.85546875" style="1215" customWidth="1"/>
    <col min="778" max="778" width="8.5703125" style="1215" customWidth="1"/>
    <col min="779" max="779" width="11.28515625" style="1215" bestFit="1" customWidth="1"/>
    <col min="780" max="780" width="7.85546875" style="1215" bestFit="1" customWidth="1"/>
    <col min="781" max="781" width="11.5703125" style="1215" bestFit="1" customWidth="1"/>
    <col min="782" max="782" width="8" style="1215" bestFit="1" customWidth="1"/>
    <col min="783" max="783" width="11.5703125" style="1215" bestFit="1" customWidth="1"/>
    <col min="784" max="784" width="8.140625" style="1215" bestFit="1" customWidth="1"/>
    <col min="785" max="785" width="11.5703125" style="1215" bestFit="1" customWidth="1"/>
    <col min="786" max="786" width="8.42578125" style="1215" customWidth="1"/>
    <col min="787" max="787" width="7.28515625" style="1215" bestFit="1" customWidth="1"/>
    <col min="788" max="788" width="11.5703125" style="1215" bestFit="1" customWidth="1"/>
    <col min="789" max="789" width="8.140625" style="1215" customWidth="1"/>
    <col min="790" max="790" width="13" style="1215" bestFit="1" customWidth="1"/>
    <col min="791" max="1029" width="10.85546875" style="1215"/>
    <col min="1030" max="1030" width="8.85546875" style="1215" customWidth="1"/>
    <col min="1031" max="1031" width="50" style="1215" customWidth="1"/>
    <col min="1032" max="1032" width="6.28515625" style="1215" bestFit="1" customWidth="1"/>
    <col min="1033" max="1033" width="8.85546875" style="1215" customWidth="1"/>
    <col min="1034" max="1034" width="8.5703125" style="1215" customWidth="1"/>
    <col min="1035" max="1035" width="11.28515625" style="1215" bestFit="1" customWidth="1"/>
    <col min="1036" max="1036" width="7.85546875" style="1215" bestFit="1" customWidth="1"/>
    <col min="1037" max="1037" width="11.5703125" style="1215" bestFit="1" customWidth="1"/>
    <col min="1038" max="1038" width="8" style="1215" bestFit="1" customWidth="1"/>
    <col min="1039" max="1039" width="11.5703125" style="1215" bestFit="1" customWidth="1"/>
    <col min="1040" max="1040" width="8.140625" style="1215" bestFit="1" customWidth="1"/>
    <col min="1041" max="1041" width="11.5703125" style="1215" bestFit="1" customWidth="1"/>
    <col min="1042" max="1042" width="8.42578125" style="1215" customWidth="1"/>
    <col min="1043" max="1043" width="7.28515625" style="1215" bestFit="1" customWidth="1"/>
    <col min="1044" max="1044" width="11.5703125" style="1215" bestFit="1" customWidth="1"/>
    <col min="1045" max="1045" width="8.140625" style="1215" customWidth="1"/>
    <col min="1046" max="1046" width="13" style="1215" bestFit="1" customWidth="1"/>
    <col min="1047" max="1285" width="10.85546875" style="1215"/>
    <col min="1286" max="1286" width="8.85546875" style="1215" customWidth="1"/>
    <col min="1287" max="1287" width="50" style="1215" customWidth="1"/>
    <col min="1288" max="1288" width="6.28515625" style="1215" bestFit="1" customWidth="1"/>
    <col min="1289" max="1289" width="8.85546875" style="1215" customWidth="1"/>
    <col min="1290" max="1290" width="8.5703125" style="1215" customWidth="1"/>
    <col min="1291" max="1291" width="11.28515625" style="1215" bestFit="1" customWidth="1"/>
    <col min="1292" max="1292" width="7.85546875" style="1215" bestFit="1" customWidth="1"/>
    <col min="1293" max="1293" width="11.5703125" style="1215" bestFit="1" customWidth="1"/>
    <col min="1294" max="1294" width="8" style="1215" bestFit="1" customWidth="1"/>
    <col min="1295" max="1295" width="11.5703125" style="1215" bestFit="1" customWidth="1"/>
    <col min="1296" max="1296" width="8.140625" style="1215" bestFit="1" customWidth="1"/>
    <col min="1297" max="1297" width="11.5703125" style="1215" bestFit="1" customWidth="1"/>
    <col min="1298" max="1298" width="8.42578125" style="1215" customWidth="1"/>
    <col min="1299" max="1299" width="7.28515625" style="1215" bestFit="1" customWidth="1"/>
    <col min="1300" max="1300" width="11.5703125" style="1215" bestFit="1" customWidth="1"/>
    <col min="1301" max="1301" width="8.140625" style="1215" customWidth="1"/>
    <col min="1302" max="1302" width="13" style="1215" bestFit="1" customWidth="1"/>
    <col min="1303" max="1541" width="10.85546875" style="1215"/>
    <col min="1542" max="1542" width="8.85546875" style="1215" customWidth="1"/>
    <col min="1543" max="1543" width="50" style="1215" customWidth="1"/>
    <col min="1544" max="1544" width="6.28515625" style="1215" bestFit="1" customWidth="1"/>
    <col min="1545" max="1545" width="8.85546875" style="1215" customWidth="1"/>
    <col min="1546" max="1546" width="8.5703125" style="1215" customWidth="1"/>
    <col min="1547" max="1547" width="11.28515625" style="1215" bestFit="1" customWidth="1"/>
    <col min="1548" max="1548" width="7.85546875" style="1215" bestFit="1" customWidth="1"/>
    <col min="1549" max="1549" width="11.5703125" style="1215" bestFit="1" customWidth="1"/>
    <col min="1550" max="1550" width="8" style="1215" bestFit="1" customWidth="1"/>
    <col min="1551" max="1551" width="11.5703125" style="1215" bestFit="1" customWidth="1"/>
    <col min="1552" max="1552" width="8.140625" style="1215" bestFit="1" customWidth="1"/>
    <col min="1553" max="1553" width="11.5703125" style="1215" bestFit="1" customWidth="1"/>
    <col min="1554" max="1554" width="8.42578125" style="1215" customWidth="1"/>
    <col min="1555" max="1555" width="7.28515625" style="1215" bestFit="1" customWidth="1"/>
    <col min="1556" max="1556" width="11.5703125" style="1215" bestFit="1" customWidth="1"/>
    <col min="1557" max="1557" width="8.140625" style="1215" customWidth="1"/>
    <col min="1558" max="1558" width="13" style="1215" bestFit="1" customWidth="1"/>
    <col min="1559" max="1797" width="10.85546875" style="1215"/>
    <col min="1798" max="1798" width="8.85546875" style="1215" customWidth="1"/>
    <col min="1799" max="1799" width="50" style="1215" customWidth="1"/>
    <col min="1800" max="1800" width="6.28515625" style="1215" bestFit="1" customWidth="1"/>
    <col min="1801" max="1801" width="8.85546875" style="1215" customWidth="1"/>
    <col min="1802" max="1802" width="8.5703125" style="1215" customWidth="1"/>
    <col min="1803" max="1803" width="11.28515625" style="1215" bestFit="1" customWidth="1"/>
    <col min="1804" max="1804" width="7.85546875" style="1215" bestFit="1" customWidth="1"/>
    <col min="1805" max="1805" width="11.5703125" style="1215" bestFit="1" customWidth="1"/>
    <col min="1806" max="1806" width="8" style="1215" bestFit="1" customWidth="1"/>
    <col min="1807" max="1807" width="11.5703125" style="1215" bestFit="1" customWidth="1"/>
    <col min="1808" max="1808" width="8.140625" style="1215" bestFit="1" customWidth="1"/>
    <col min="1809" max="1809" width="11.5703125" style="1215" bestFit="1" customWidth="1"/>
    <col min="1810" max="1810" width="8.42578125" style="1215" customWidth="1"/>
    <col min="1811" max="1811" width="7.28515625" style="1215" bestFit="1" customWidth="1"/>
    <col min="1812" max="1812" width="11.5703125" style="1215" bestFit="1" customWidth="1"/>
    <col min="1813" max="1813" width="8.140625" style="1215" customWidth="1"/>
    <col min="1814" max="1814" width="13" style="1215" bestFit="1" customWidth="1"/>
    <col min="1815" max="2053" width="10.85546875" style="1215"/>
    <col min="2054" max="2054" width="8.85546875" style="1215" customWidth="1"/>
    <col min="2055" max="2055" width="50" style="1215" customWidth="1"/>
    <col min="2056" max="2056" width="6.28515625" style="1215" bestFit="1" customWidth="1"/>
    <col min="2057" max="2057" width="8.85546875" style="1215" customWidth="1"/>
    <col min="2058" max="2058" width="8.5703125" style="1215" customWidth="1"/>
    <col min="2059" max="2059" width="11.28515625" style="1215" bestFit="1" customWidth="1"/>
    <col min="2060" max="2060" width="7.85546875" style="1215" bestFit="1" customWidth="1"/>
    <col min="2061" max="2061" width="11.5703125" style="1215" bestFit="1" customWidth="1"/>
    <col min="2062" max="2062" width="8" style="1215" bestFit="1" customWidth="1"/>
    <col min="2063" max="2063" width="11.5703125" style="1215" bestFit="1" customWidth="1"/>
    <col min="2064" max="2064" width="8.140625" style="1215" bestFit="1" customWidth="1"/>
    <col min="2065" max="2065" width="11.5703125" style="1215" bestFit="1" customWidth="1"/>
    <col min="2066" max="2066" width="8.42578125" style="1215" customWidth="1"/>
    <col min="2067" max="2067" width="7.28515625" style="1215" bestFit="1" customWidth="1"/>
    <col min="2068" max="2068" width="11.5703125" style="1215" bestFit="1" customWidth="1"/>
    <col min="2069" max="2069" width="8.140625" style="1215" customWidth="1"/>
    <col min="2070" max="2070" width="13" style="1215" bestFit="1" customWidth="1"/>
    <col min="2071" max="2309" width="10.85546875" style="1215"/>
    <col min="2310" max="2310" width="8.85546875" style="1215" customWidth="1"/>
    <col min="2311" max="2311" width="50" style="1215" customWidth="1"/>
    <col min="2312" max="2312" width="6.28515625" style="1215" bestFit="1" customWidth="1"/>
    <col min="2313" max="2313" width="8.85546875" style="1215" customWidth="1"/>
    <col min="2314" max="2314" width="8.5703125" style="1215" customWidth="1"/>
    <col min="2315" max="2315" width="11.28515625" style="1215" bestFit="1" customWidth="1"/>
    <col min="2316" max="2316" width="7.85546875" style="1215" bestFit="1" customWidth="1"/>
    <col min="2317" max="2317" width="11.5703125" style="1215" bestFit="1" customWidth="1"/>
    <col min="2318" max="2318" width="8" style="1215" bestFit="1" customWidth="1"/>
    <col min="2319" max="2319" width="11.5703125" style="1215" bestFit="1" customWidth="1"/>
    <col min="2320" max="2320" width="8.140625" style="1215" bestFit="1" customWidth="1"/>
    <col min="2321" max="2321" width="11.5703125" style="1215" bestFit="1" customWidth="1"/>
    <col min="2322" max="2322" width="8.42578125" style="1215" customWidth="1"/>
    <col min="2323" max="2323" width="7.28515625" style="1215" bestFit="1" customWidth="1"/>
    <col min="2324" max="2324" width="11.5703125" style="1215" bestFit="1" customWidth="1"/>
    <col min="2325" max="2325" width="8.140625" style="1215" customWidth="1"/>
    <col min="2326" max="2326" width="13" style="1215" bestFit="1" customWidth="1"/>
    <col min="2327" max="2565" width="10.85546875" style="1215"/>
    <col min="2566" max="2566" width="8.85546875" style="1215" customWidth="1"/>
    <col min="2567" max="2567" width="50" style="1215" customWidth="1"/>
    <col min="2568" max="2568" width="6.28515625" style="1215" bestFit="1" customWidth="1"/>
    <col min="2569" max="2569" width="8.85546875" style="1215" customWidth="1"/>
    <col min="2570" max="2570" width="8.5703125" style="1215" customWidth="1"/>
    <col min="2571" max="2571" width="11.28515625" style="1215" bestFit="1" customWidth="1"/>
    <col min="2572" max="2572" width="7.85546875" style="1215" bestFit="1" customWidth="1"/>
    <col min="2573" max="2573" width="11.5703125" style="1215" bestFit="1" customWidth="1"/>
    <col min="2574" max="2574" width="8" style="1215" bestFit="1" customWidth="1"/>
    <col min="2575" max="2575" width="11.5703125" style="1215" bestFit="1" customWidth="1"/>
    <col min="2576" max="2576" width="8.140625" style="1215" bestFit="1" customWidth="1"/>
    <col min="2577" max="2577" width="11.5703125" style="1215" bestFit="1" customWidth="1"/>
    <col min="2578" max="2578" width="8.42578125" style="1215" customWidth="1"/>
    <col min="2579" max="2579" width="7.28515625" style="1215" bestFit="1" customWidth="1"/>
    <col min="2580" max="2580" width="11.5703125" style="1215" bestFit="1" customWidth="1"/>
    <col min="2581" max="2581" width="8.140625" style="1215" customWidth="1"/>
    <col min="2582" max="2582" width="13" style="1215" bestFit="1" customWidth="1"/>
    <col min="2583" max="2821" width="10.85546875" style="1215"/>
    <col min="2822" max="2822" width="8.85546875" style="1215" customWidth="1"/>
    <col min="2823" max="2823" width="50" style="1215" customWidth="1"/>
    <col min="2824" max="2824" width="6.28515625" style="1215" bestFit="1" customWidth="1"/>
    <col min="2825" max="2825" width="8.85546875" style="1215" customWidth="1"/>
    <col min="2826" max="2826" width="8.5703125" style="1215" customWidth="1"/>
    <col min="2827" max="2827" width="11.28515625" style="1215" bestFit="1" customWidth="1"/>
    <col min="2828" max="2828" width="7.85546875" style="1215" bestFit="1" customWidth="1"/>
    <col min="2829" max="2829" width="11.5703125" style="1215" bestFit="1" customWidth="1"/>
    <col min="2830" max="2830" width="8" style="1215" bestFit="1" customWidth="1"/>
    <col min="2831" max="2831" width="11.5703125" style="1215" bestFit="1" customWidth="1"/>
    <col min="2832" max="2832" width="8.140625" style="1215" bestFit="1" customWidth="1"/>
    <col min="2833" max="2833" width="11.5703125" style="1215" bestFit="1" customWidth="1"/>
    <col min="2834" max="2834" width="8.42578125" style="1215" customWidth="1"/>
    <col min="2835" max="2835" width="7.28515625" style="1215" bestFit="1" customWidth="1"/>
    <col min="2836" max="2836" width="11.5703125" style="1215" bestFit="1" customWidth="1"/>
    <col min="2837" max="2837" width="8.140625" style="1215" customWidth="1"/>
    <col min="2838" max="2838" width="13" style="1215" bestFit="1" customWidth="1"/>
    <col min="2839" max="3077" width="10.85546875" style="1215"/>
    <col min="3078" max="3078" width="8.85546875" style="1215" customWidth="1"/>
    <col min="3079" max="3079" width="50" style="1215" customWidth="1"/>
    <col min="3080" max="3080" width="6.28515625" style="1215" bestFit="1" customWidth="1"/>
    <col min="3081" max="3081" width="8.85546875" style="1215" customWidth="1"/>
    <col min="3082" max="3082" width="8.5703125" style="1215" customWidth="1"/>
    <col min="3083" max="3083" width="11.28515625" style="1215" bestFit="1" customWidth="1"/>
    <col min="3084" max="3084" width="7.85546875" style="1215" bestFit="1" customWidth="1"/>
    <col min="3085" max="3085" width="11.5703125" style="1215" bestFit="1" customWidth="1"/>
    <col min="3086" max="3086" width="8" style="1215" bestFit="1" customWidth="1"/>
    <col min="3087" max="3087" width="11.5703125" style="1215" bestFit="1" customWidth="1"/>
    <col min="3088" max="3088" width="8.140625" style="1215" bestFit="1" customWidth="1"/>
    <col min="3089" max="3089" width="11.5703125" style="1215" bestFit="1" customWidth="1"/>
    <col min="3090" max="3090" width="8.42578125" style="1215" customWidth="1"/>
    <col min="3091" max="3091" width="7.28515625" style="1215" bestFit="1" customWidth="1"/>
    <col min="3092" max="3092" width="11.5703125" style="1215" bestFit="1" customWidth="1"/>
    <col min="3093" max="3093" width="8.140625" style="1215" customWidth="1"/>
    <col min="3094" max="3094" width="13" style="1215" bestFit="1" customWidth="1"/>
    <col min="3095" max="3333" width="10.85546875" style="1215"/>
    <col min="3334" max="3334" width="8.85546875" style="1215" customWidth="1"/>
    <col min="3335" max="3335" width="50" style="1215" customWidth="1"/>
    <col min="3336" max="3336" width="6.28515625" style="1215" bestFit="1" customWidth="1"/>
    <col min="3337" max="3337" width="8.85546875" style="1215" customWidth="1"/>
    <col min="3338" max="3338" width="8.5703125" style="1215" customWidth="1"/>
    <col min="3339" max="3339" width="11.28515625" style="1215" bestFit="1" customWidth="1"/>
    <col min="3340" max="3340" width="7.85546875" style="1215" bestFit="1" customWidth="1"/>
    <col min="3341" max="3341" width="11.5703125" style="1215" bestFit="1" customWidth="1"/>
    <col min="3342" max="3342" width="8" style="1215" bestFit="1" customWidth="1"/>
    <col min="3343" max="3343" width="11.5703125" style="1215" bestFit="1" customWidth="1"/>
    <col min="3344" max="3344" width="8.140625" style="1215" bestFit="1" customWidth="1"/>
    <col min="3345" max="3345" width="11.5703125" style="1215" bestFit="1" customWidth="1"/>
    <col min="3346" max="3346" width="8.42578125" style="1215" customWidth="1"/>
    <col min="3347" max="3347" width="7.28515625" style="1215" bestFit="1" customWidth="1"/>
    <col min="3348" max="3348" width="11.5703125" style="1215" bestFit="1" customWidth="1"/>
    <col min="3349" max="3349" width="8.140625" style="1215" customWidth="1"/>
    <col min="3350" max="3350" width="13" style="1215" bestFit="1" customWidth="1"/>
    <col min="3351" max="3589" width="10.85546875" style="1215"/>
    <col min="3590" max="3590" width="8.85546875" style="1215" customWidth="1"/>
    <col min="3591" max="3591" width="50" style="1215" customWidth="1"/>
    <col min="3592" max="3592" width="6.28515625" style="1215" bestFit="1" customWidth="1"/>
    <col min="3593" max="3593" width="8.85546875" style="1215" customWidth="1"/>
    <col min="3594" max="3594" width="8.5703125" style="1215" customWidth="1"/>
    <col min="3595" max="3595" width="11.28515625" style="1215" bestFit="1" customWidth="1"/>
    <col min="3596" max="3596" width="7.85546875" style="1215" bestFit="1" customWidth="1"/>
    <col min="3597" max="3597" width="11.5703125" style="1215" bestFit="1" customWidth="1"/>
    <col min="3598" max="3598" width="8" style="1215" bestFit="1" customWidth="1"/>
    <col min="3599" max="3599" width="11.5703125" style="1215" bestFit="1" customWidth="1"/>
    <col min="3600" max="3600" width="8.140625" style="1215" bestFit="1" customWidth="1"/>
    <col min="3601" max="3601" width="11.5703125" style="1215" bestFit="1" customWidth="1"/>
    <col min="3602" max="3602" width="8.42578125" style="1215" customWidth="1"/>
    <col min="3603" max="3603" width="7.28515625" style="1215" bestFit="1" customWidth="1"/>
    <col min="3604" max="3604" width="11.5703125" style="1215" bestFit="1" customWidth="1"/>
    <col min="3605" max="3605" width="8.140625" style="1215" customWidth="1"/>
    <col min="3606" max="3606" width="13" style="1215" bestFit="1" customWidth="1"/>
    <col min="3607" max="3845" width="10.85546875" style="1215"/>
    <col min="3846" max="3846" width="8.85546875" style="1215" customWidth="1"/>
    <col min="3847" max="3847" width="50" style="1215" customWidth="1"/>
    <col min="3848" max="3848" width="6.28515625" style="1215" bestFit="1" customWidth="1"/>
    <col min="3849" max="3849" width="8.85546875" style="1215" customWidth="1"/>
    <col min="3850" max="3850" width="8.5703125" style="1215" customWidth="1"/>
    <col min="3851" max="3851" width="11.28515625" style="1215" bestFit="1" customWidth="1"/>
    <col min="3852" max="3852" width="7.85546875" style="1215" bestFit="1" customWidth="1"/>
    <col min="3853" max="3853" width="11.5703125" style="1215" bestFit="1" customWidth="1"/>
    <col min="3854" max="3854" width="8" style="1215" bestFit="1" customWidth="1"/>
    <col min="3855" max="3855" width="11.5703125" style="1215" bestFit="1" customWidth="1"/>
    <col min="3856" max="3856" width="8.140625" style="1215" bestFit="1" customWidth="1"/>
    <col min="3857" max="3857" width="11.5703125" style="1215" bestFit="1" customWidth="1"/>
    <col min="3858" max="3858" width="8.42578125" style="1215" customWidth="1"/>
    <col min="3859" max="3859" width="7.28515625" style="1215" bestFit="1" customWidth="1"/>
    <col min="3860" max="3860" width="11.5703125" style="1215" bestFit="1" customWidth="1"/>
    <col min="3861" max="3861" width="8.140625" style="1215" customWidth="1"/>
    <col min="3862" max="3862" width="13" style="1215" bestFit="1" customWidth="1"/>
    <col min="3863" max="4101" width="10.85546875" style="1215"/>
    <col min="4102" max="4102" width="8.85546875" style="1215" customWidth="1"/>
    <col min="4103" max="4103" width="50" style="1215" customWidth="1"/>
    <col min="4104" max="4104" width="6.28515625" style="1215" bestFit="1" customWidth="1"/>
    <col min="4105" max="4105" width="8.85546875" style="1215" customWidth="1"/>
    <col min="4106" max="4106" width="8.5703125" style="1215" customWidth="1"/>
    <col min="4107" max="4107" width="11.28515625" style="1215" bestFit="1" customWidth="1"/>
    <col min="4108" max="4108" width="7.85546875" style="1215" bestFit="1" customWidth="1"/>
    <col min="4109" max="4109" width="11.5703125" style="1215" bestFit="1" customWidth="1"/>
    <col min="4110" max="4110" width="8" style="1215" bestFit="1" customWidth="1"/>
    <col min="4111" max="4111" width="11.5703125" style="1215" bestFit="1" customWidth="1"/>
    <col min="4112" max="4112" width="8.140625" style="1215" bestFit="1" customWidth="1"/>
    <col min="4113" max="4113" width="11.5703125" style="1215" bestFit="1" customWidth="1"/>
    <col min="4114" max="4114" width="8.42578125" style="1215" customWidth="1"/>
    <col min="4115" max="4115" width="7.28515625" style="1215" bestFit="1" customWidth="1"/>
    <col min="4116" max="4116" width="11.5703125" style="1215" bestFit="1" customWidth="1"/>
    <col min="4117" max="4117" width="8.140625" style="1215" customWidth="1"/>
    <col min="4118" max="4118" width="13" style="1215" bestFit="1" customWidth="1"/>
    <col min="4119" max="4357" width="10.85546875" style="1215"/>
    <col min="4358" max="4358" width="8.85546875" style="1215" customWidth="1"/>
    <col min="4359" max="4359" width="50" style="1215" customWidth="1"/>
    <col min="4360" max="4360" width="6.28515625" style="1215" bestFit="1" customWidth="1"/>
    <col min="4361" max="4361" width="8.85546875" style="1215" customWidth="1"/>
    <col min="4362" max="4362" width="8.5703125" style="1215" customWidth="1"/>
    <col min="4363" max="4363" width="11.28515625" style="1215" bestFit="1" customWidth="1"/>
    <col min="4364" max="4364" width="7.85546875" style="1215" bestFit="1" customWidth="1"/>
    <col min="4365" max="4365" width="11.5703125" style="1215" bestFit="1" customWidth="1"/>
    <col min="4366" max="4366" width="8" style="1215" bestFit="1" customWidth="1"/>
    <col min="4367" max="4367" width="11.5703125" style="1215" bestFit="1" customWidth="1"/>
    <col min="4368" max="4368" width="8.140625" style="1215" bestFit="1" customWidth="1"/>
    <col min="4369" max="4369" width="11.5703125" style="1215" bestFit="1" customWidth="1"/>
    <col min="4370" max="4370" width="8.42578125" style="1215" customWidth="1"/>
    <col min="4371" max="4371" width="7.28515625" style="1215" bestFit="1" customWidth="1"/>
    <col min="4372" max="4372" width="11.5703125" style="1215" bestFit="1" customWidth="1"/>
    <col min="4373" max="4373" width="8.140625" style="1215" customWidth="1"/>
    <col min="4374" max="4374" width="13" style="1215" bestFit="1" customWidth="1"/>
    <col min="4375" max="4613" width="10.85546875" style="1215"/>
    <col min="4614" max="4614" width="8.85546875" style="1215" customWidth="1"/>
    <col min="4615" max="4615" width="50" style="1215" customWidth="1"/>
    <col min="4616" max="4616" width="6.28515625" style="1215" bestFit="1" customWidth="1"/>
    <col min="4617" max="4617" width="8.85546875" style="1215" customWidth="1"/>
    <col min="4618" max="4618" width="8.5703125" style="1215" customWidth="1"/>
    <col min="4619" max="4619" width="11.28515625" style="1215" bestFit="1" customWidth="1"/>
    <col min="4620" max="4620" width="7.85546875" style="1215" bestFit="1" customWidth="1"/>
    <col min="4621" max="4621" width="11.5703125" style="1215" bestFit="1" customWidth="1"/>
    <col min="4622" max="4622" width="8" style="1215" bestFit="1" customWidth="1"/>
    <col min="4623" max="4623" width="11.5703125" style="1215" bestFit="1" customWidth="1"/>
    <col min="4624" max="4624" width="8.140625" style="1215" bestFit="1" customWidth="1"/>
    <col min="4625" max="4625" width="11.5703125" style="1215" bestFit="1" customWidth="1"/>
    <col min="4626" max="4626" width="8.42578125" style="1215" customWidth="1"/>
    <col min="4627" max="4627" width="7.28515625" style="1215" bestFit="1" customWidth="1"/>
    <col min="4628" max="4628" width="11.5703125" style="1215" bestFit="1" customWidth="1"/>
    <col min="4629" max="4629" width="8.140625" style="1215" customWidth="1"/>
    <col min="4630" max="4630" width="13" style="1215" bestFit="1" customWidth="1"/>
    <col min="4631" max="4869" width="10.85546875" style="1215"/>
    <col min="4870" max="4870" width="8.85546875" style="1215" customWidth="1"/>
    <col min="4871" max="4871" width="50" style="1215" customWidth="1"/>
    <col min="4872" max="4872" width="6.28515625" style="1215" bestFit="1" customWidth="1"/>
    <col min="4873" max="4873" width="8.85546875" style="1215" customWidth="1"/>
    <col min="4874" max="4874" width="8.5703125" style="1215" customWidth="1"/>
    <col min="4875" max="4875" width="11.28515625" style="1215" bestFit="1" customWidth="1"/>
    <col min="4876" max="4876" width="7.85546875" style="1215" bestFit="1" customWidth="1"/>
    <col min="4877" max="4877" width="11.5703125" style="1215" bestFit="1" customWidth="1"/>
    <col min="4878" max="4878" width="8" style="1215" bestFit="1" customWidth="1"/>
    <col min="4879" max="4879" width="11.5703125" style="1215" bestFit="1" customWidth="1"/>
    <col min="4880" max="4880" width="8.140625" style="1215" bestFit="1" customWidth="1"/>
    <col min="4881" max="4881" width="11.5703125" style="1215" bestFit="1" customWidth="1"/>
    <col min="4882" max="4882" width="8.42578125" style="1215" customWidth="1"/>
    <col min="4883" max="4883" width="7.28515625" style="1215" bestFit="1" customWidth="1"/>
    <col min="4884" max="4884" width="11.5703125" style="1215" bestFit="1" customWidth="1"/>
    <col min="4885" max="4885" width="8.140625" style="1215" customWidth="1"/>
    <col min="4886" max="4886" width="13" style="1215" bestFit="1" customWidth="1"/>
    <col min="4887" max="5125" width="10.85546875" style="1215"/>
    <col min="5126" max="5126" width="8.85546875" style="1215" customWidth="1"/>
    <col min="5127" max="5127" width="50" style="1215" customWidth="1"/>
    <col min="5128" max="5128" width="6.28515625" style="1215" bestFit="1" customWidth="1"/>
    <col min="5129" max="5129" width="8.85546875" style="1215" customWidth="1"/>
    <col min="5130" max="5130" width="8.5703125" style="1215" customWidth="1"/>
    <col min="5131" max="5131" width="11.28515625" style="1215" bestFit="1" customWidth="1"/>
    <col min="5132" max="5132" width="7.85546875" style="1215" bestFit="1" customWidth="1"/>
    <col min="5133" max="5133" width="11.5703125" style="1215" bestFit="1" customWidth="1"/>
    <col min="5134" max="5134" width="8" style="1215" bestFit="1" customWidth="1"/>
    <col min="5135" max="5135" width="11.5703125" style="1215" bestFit="1" customWidth="1"/>
    <col min="5136" max="5136" width="8.140625" style="1215" bestFit="1" customWidth="1"/>
    <col min="5137" max="5137" width="11.5703125" style="1215" bestFit="1" customWidth="1"/>
    <col min="5138" max="5138" width="8.42578125" style="1215" customWidth="1"/>
    <col min="5139" max="5139" width="7.28515625" style="1215" bestFit="1" customWidth="1"/>
    <col min="5140" max="5140" width="11.5703125" style="1215" bestFit="1" customWidth="1"/>
    <col min="5141" max="5141" width="8.140625" style="1215" customWidth="1"/>
    <col min="5142" max="5142" width="13" style="1215" bestFit="1" customWidth="1"/>
    <col min="5143" max="5381" width="10.85546875" style="1215"/>
    <col min="5382" max="5382" width="8.85546875" style="1215" customWidth="1"/>
    <col min="5383" max="5383" width="50" style="1215" customWidth="1"/>
    <col min="5384" max="5384" width="6.28515625" style="1215" bestFit="1" customWidth="1"/>
    <col min="5385" max="5385" width="8.85546875" style="1215" customWidth="1"/>
    <col min="5386" max="5386" width="8.5703125" style="1215" customWidth="1"/>
    <col min="5387" max="5387" width="11.28515625" style="1215" bestFit="1" customWidth="1"/>
    <col min="5388" max="5388" width="7.85546875" style="1215" bestFit="1" customWidth="1"/>
    <col min="5389" max="5389" width="11.5703125" style="1215" bestFit="1" customWidth="1"/>
    <col min="5390" max="5390" width="8" style="1215" bestFit="1" customWidth="1"/>
    <col min="5391" max="5391" width="11.5703125" style="1215" bestFit="1" customWidth="1"/>
    <col min="5392" max="5392" width="8.140625" style="1215" bestFit="1" customWidth="1"/>
    <col min="5393" max="5393" width="11.5703125" style="1215" bestFit="1" customWidth="1"/>
    <col min="5394" max="5394" width="8.42578125" style="1215" customWidth="1"/>
    <col min="5395" max="5395" width="7.28515625" style="1215" bestFit="1" customWidth="1"/>
    <col min="5396" max="5396" width="11.5703125" style="1215" bestFit="1" customWidth="1"/>
    <col min="5397" max="5397" width="8.140625" style="1215" customWidth="1"/>
    <col min="5398" max="5398" width="13" style="1215" bestFit="1" customWidth="1"/>
    <col min="5399" max="5637" width="10.85546875" style="1215"/>
    <col min="5638" max="5638" width="8.85546875" style="1215" customWidth="1"/>
    <col min="5639" max="5639" width="50" style="1215" customWidth="1"/>
    <col min="5640" max="5640" width="6.28515625" style="1215" bestFit="1" customWidth="1"/>
    <col min="5641" max="5641" width="8.85546875" style="1215" customWidth="1"/>
    <col min="5642" max="5642" width="8.5703125" style="1215" customWidth="1"/>
    <col min="5643" max="5643" width="11.28515625" style="1215" bestFit="1" customWidth="1"/>
    <col min="5644" max="5644" width="7.85546875" style="1215" bestFit="1" customWidth="1"/>
    <col min="5645" max="5645" width="11.5703125" style="1215" bestFit="1" customWidth="1"/>
    <col min="5646" max="5646" width="8" style="1215" bestFit="1" customWidth="1"/>
    <col min="5647" max="5647" width="11.5703125" style="1215" bestFit="1" customWidth="1"/>
    <col min="5648" max="5648" width="8.140625" style="1215" bestFit="1" customWidth="1"/>
    <col min="5649" max="5649" width="11.5703125" style="1215" bestFit="1" customWidth="1"/>
    <col min="5650" max="5650" width="8.42578125" style="1215" customWidth="1"/>
    <col min="5651" max="5651" width="7.28515625" style="1215" bestFit="1" customWidth="1"/>
    <col min="5652" max="5652" width="11.5703125" style="1215" bestFit="1" customWidth="1"/>
    <col min="5653" max="5653" width="8.140625" style="1215" customWidth="1"/>
    <col min="5654" max="5654" width="13" style="1215" bestFit="1" customWidth="1"/>
    <col min="5655" max="5893" width="10.85546875" style="1215"/>
    <col min="5894" max="5894" width="8.85546875" style="1215" customWidth="1"/>
    <col min="5895" max="5895" width="50" style="1215" customWidth="1"/>
    <col min="5896" max="5896" width="6.28515625" style="1215" bestFit="1" customWidth="1"/>
    <col min="5897" max="5897" width="8.85546875" style="1215" customWidth="1"/>
    <col min="5898" max="5898" width="8.5703125" style="1215" customWidth="1"/>
    <col min="5899" max="5899" width="11.28515625" style="1215" bestFit="1" customWidth="1"/>
    <col min="5900" max="5900" width="7.85546875" style="1215" bestFit="1" customWidth="1"/>
    <col min="5901" max="5901" width="11.5703125" style="1215" bestFit="1" customWidth="1"/>
    <col min="5902" max="5902" width="8" style="1215" bestFit="1" customWidth="1"/>
    <col min="5903" max="5903" width="11.5703125" style="1215" bestFit="1" customWidth="1"/>
    <col min="5904" max="5904" width="8.140625" style="1215" bestFit="1" customWidth="1"/>
    <col min="5905" max="5905" width="11.5703125" style="1215" bestFit="1" customWidth="1"/>
    <col min="5906" max="5906" width="8.42578125" style="1215" customWidth="1"/>
    <col min="5907" max="5907" width="7.28515625" style="1215" bestFit="1" customWidth="1"/>
    <col min="5908" max="5908" width="11.5703125" style="1215" bestFit="1" customWidth="1"/>
    <col min="5909" max="5909" width="8.140625" style="1215" customWidth="1"/>
    <col min="5910" max="5910" width="13" style="1215" bestFit="1" customWidth="1"/>
    <col min="5911" max="6149" width="10.85546875" style="1215"/>
    <col min="6150" max="6150" width="8.85546875" style="1215" customWidth="1"/>
    <col min="6151" max="6151" width="50" style="1215" customWidth="1"/>
    <col min="6152" max="6152" width="6.28515625" style="1215" bestFit="1" customWidth="1"/>
    <col min="6153" max="6153" width="8.85546875" style="1215" customWidth="1"/>
    <col min="6154" max="6154" width="8.5703125" style="1215" customWidth="1"/>
    <col min="6155" max="6155" width="11.28515625" style="1215" bestFit="1" customWidth="1"/>
    <col min="6156" max="6156" width="7.85546875" style="1215" bestFit="1" customWidth="1"/>
    <col min="6157" max="6157" width="11.5703125" style="1215" bestFit="1" customWidth="1"/>
    <col min="6158" max="6158" width="8" style="1215" bestFit="1" customWidth="1"/>
    <col min="6159" max="6159" width="11.5703125" style="1215" bestFit="1" customWidth="1"/>
    <col min="6160" max="6160" width="8.140625" style="1215" bestFit="1" customWidth="1"/>
    <col min="6161" max="6161" width="11.5703125" style="1215" bestFit="1" customWidth="1"/>
    <col min="6162" max="6162" width="8.42578125" style="1215" customWidth="1"/>
    <col min="6163" max="6163" width="7.28515625" style="1215" bestFit="1" customWidth="1"/>
    <col min="6164" max="6164" width="11.5703125" style="1215" bestFit="1" customWidth="1"/>
    <col min="6165" max="6165" width="8.140625" style="1215" customWidth="1"/>
    <col min="6166" max="6166" width="13" style="1215" bestFit="1" customWidth="1"/>
    <col min="6167" max="6405" width="10.85546875" style="1215"/>
    <col min="6406" max="6406" width="8.85546875" style="1215" customWidth="1"/>
    <col min="6407" max="6407" width="50" style="1215" customWidth="1"/>
    <col min="6408" max="6408" width="6.28515625" style="1215" bestFit="1" customWidth="1"/>
    <col min="6409" max="6409" width="8.85546875" style="1215" customWidth="1"/>
    <col min="6410" max="6410" width="8.5703125" style="1215" customWidth="1"/>
    <col min="6411" max="6411" width="11.28515625" style="1215" bestFit="1" customWidth="1"/>
    <col min="6412" max="6412" width="7.85546875" style="1215" bestFit="1" customWidth="1"/>
    <col min="6413" max="6413" width="11.5703125" style="1215" bestFit="1" customWidth="1"/>
    <col min="6414" max="6414" width="8" style="1215" bestFit="1" customWidth="1"/>
    <col min="6415" max="6415" width="11.5703125" style="1215" bestFit="1" customWidth="1"/>
    <col min="6416" max="6416" width="8.140625" style="1215" bestFit="1" customWidth="1"/>
    <col min="6417" max="6417" width="11.5703125" style="1215" bestFit="1" customWidth="1"/>
    <col min="6418" max="6418" width="8.42578125" style="1215" customWidth="1"/>
    <col min="6419" max="6419" width="7.28515625" style="1215" bestFit="1" customWidth="1"/>
    <col min="6420" max="6420" width="11.5703125" style="1215" bestFit="1" customWidth="1"/>
    <col min="6421" max="6421" width="8.140625" style="1215" customWidth="1"/>
    <col min="6422" max="6422" width="13" style="1215" bestFit="1" customWidth="1"/>
    <col min="6423" max="6661" width="10.85546875" style="1215"/>
    <col min="6662" max="6662" width="8.85546875" style="1215" customWidth="1"/>
    <col min="6663" max="6663" width="50" style="1215" customWidth="1"/>
    <col min="6664" max="6664" width="6.28515625" style="1215" bestFit="1" customWidth="1"/>
    <col min="6665" max="6665" width="8.85546875" style="1215" customWidth="1"/>
    <col min="6666" max="6666" width="8.5703125" style="1215" customWidth="1"/>
    <col min="6667" max="6667" width="11.28515625" style="1215" bestFit="1" customWidth="1"/>
    <col min="6668" max="6668" width="7.85546875" style="1215" bestFit="1" customWidth="1"/>
    <col min="6669" max="6669" width="11.5703125" style="1215" bestFit="1" customWidth="1"/>
    <col min="6670" max="6670" width="8" style="1215" bestFit="1" customWidth="1"/>
    <col min="6671" max="6671" width="11.5703125" style="1215" bestFit="1" customWidth="1"/>
    <col min="6672" max="6672" width="8.140625" style="1215" bestFit="1" customWidth="1"/>
    <col min="6673" max="6673" width="11.5703125" style="1215" bestFit="1" customWidth="1"/>
    <col min="6674" max="6674" width="8.42578125" style="1215" customWidth="1"/>
    <col min="6675" max="6675" width="7.28515625" style="1215" bestFit="1" customWidth="1"/>
    <col min="6676" max="6676" width="11.5703125" style="1215" bestFit="1" customWidth="1"/>
    <col min="6677" max="6677" width="8.140625" style="1215" customWidth="1"/>
    <col min="6678" max="6678" width="13" style="1215" bestFit="1" customWidth="1"/>
    <col min="6679" max="6917" width="10.85546875" style="1215"/>
    <col min="6918" max="6918" width="8.85546875" style="1215" customWidth="1"/>
    <col min="6919" max="6919" width="50" style="1215" customWidth="1"/>
    <col min="6920" max="6920" width="6.28515625" style="1215" bestFit="1" customWidth="1"/>
    <col min="6921" max="6921" width="8.85546875" style="1215" customWidth="1"/>
    <col min="6922" max="6922" width="8.5703125" style="1215" customWidth="1"/>
    <col min="6923" max="6923" width="11.28515625" style="1215" bestFit="1" customWidth="1"/>
    <col min="6924" max="6924" width="7.85546875" style="1215" bestFit="1" customWidth="1"/>
    <col min="6925" max="6925" width="11.5703125" style="1215" bestFit="1" customWidth="1"/>
    <col min="6926" max="6926" width="8" style="1215" bestFit="1" customWidth="1"/>
    <col min="6927" max="6927" width="11.5703125" style="1215" bestFit="1" customWidth="1"/>
    <col min="6928" max="6928" width="8.140625" style="1215" bestFit="1" customWidth="1"/>
    <col min="6929" max="6929" width="11.5703125" style="1215" bestFit="1" customWidth="1"/>
    <col min="6930" max="6930" width="8.42578125" style="1215" customWidth="1"/>
    <col min="6931" max="6931" width="7.28515625" style="1215" bestFit="1" customWidth="1"/>
    <col min="6932" max="6932" width="11.5703125" style="1215" bestFit="1" customWidth="1"/>
    <col min="6933" max="6933" width="8.140625" style="1215" customWidth="1"/>
    <col min="6934" max="6934" width="13" style="1215" bestFit="1" customWidth="1"/>
    <col min="6935" max="7173" width="10.85546875" style="1215"/>
    <col min="7174" max="7174" width="8.85546875" style="1215" customWidth="1"/>
    <col min="7175" max="7175" width="50" style="1215" customWidth="1"/>
    <col min="7176" max="7176" width="6.28515625" style="1215" bestFit="1" customWidth="1"/>
    <col min="7177" max="7177" width="8.85546875" style="1215" customWidth="1"/>
    <col min="7178" max="7178" width="8.5703125" style="1215" customWidth="1"/>
    <col min="7179" max="7179" width="11.28515625" style="1215" bestFit="1" customWidth="1"/>
    <col min="7180" max="7180" width="7.85546875" style="1215" bestFit="1" customWidth="1"/>
    <col min="7181" max="7181" width="11.5703125" style="1215" bestFit="1" customWidth="1"/>
    <col min="7182" max="7182" width="8" style="1215" bestFit="1" customWidth="1"/>
    <col min="7183" max="7183" width="11.5703125" style="1215" bestFit="1" customWidth="1"/>
    <col min="7184" max="7184" width="8.140625" style="1215" bestFit="1" customWidth="1"/>
    <col min="7185" max="7185" width="11.5703125" style="1215" bestFit="1" customWidth="1"/>
    <col min="7186" max="7186" width="8.42578125" style="1215" customWidth="1"/>
    <col min="7187" max="7187" width="7.28515625" style="1215" bestFit="1" customWidth="1"/>
    <col min="7188" max="7188" width="11.5703125" style="1215" bestFit="1" customWidth="1"/>
    <col min="7189" max="7189" width="8.140625" style="1215" customWidth="1"/>
    <col min="7190" max="7190" width="13" style="1215" bestFit="1" customWidth="1"/>
    <col min="7191" max="7429" width="10.85546875" style="1215"/>
    <col min="7430" max="7430" width="8.85546875" style="1215" customWidth="1"/>
    <col min="7431" max="7431" width="50" style="1215" customWidth="1"/>
    <col min="7432" max="7432" width="6.28515625" style="1215" bestFit="1" customWidth="1"/>
    <col min="7433" max="7433" width="8.85546875" style="1215" customWidth="1"/>
    <col min="7434" max="7434" width="8.5703125" style="1215" customWidth="1"/>
    <col min="7435" max="7435" width="11.28515625" style="1215" bestFit="1" customWidth="1"/>
    <col min="7436" max="7436" width="7.85546875" style="1215" bestFit="1" customWidth="1"/>
    <col min="7437" max="7437" width="11.5703125" style="1215" bestFit="1" customWidth="1"/>
    <col min="7438" max="7438" width="8" style="1215" bestFit="1" customWidth="1"/>
    <col min="7439" max="7439" width="11.5703125" style="1215" bestFit="1" customWidth="1"/>
    <col min="7440" max="7440" width="8.140625" style="1215" bestFit="1" customWidth="1"/>
    <col min="7441" max="7441" width="11.5703125" style="1215" bestFit="1" customWidth="1"/>
    <col min="7442" max="7442" width="8.42578125" style="1215" customWidth="1"/>
    <col min="7443" max="7443" width="7.28515625" style="1215" bestFit="1" customWidth="1"/>
    <col min="7444" max="7444" width="11.5703125" style="1215" bestFit="1" customWidth="1"/>
    <col min="7445" max="7445" width="8.140625" style="1215" customWidth="1"/>
    <col min="7446" max="7446" width="13" style="1215" bestFit="1" customWidth="1"/>
    <col min="7447" max="7685" width="10.85546875" style="1215"/>
    <col min="7686" max="7686" width="8.85546875" style="1215" customWidth="1"/>
    <col min="7687" max="7687" width="50" style="1215" customWidth="1"/>
    <col min="7688" max="7688" width="6.28515625" style="1215" bestFit="1" customWidth="1"/>
    <col min="7689" max="7689" width="8.85546875" style="1215" customWidth="1"/>
    <col min="7690" max="7690" width="8.5703125" style="1215" customWidth="1"/>
    <col min="7691" max="7691" width="11.28515625" style="1215" bestFit="1" customWidth="1"/>
    <col min="7692" max="7692" width="7.85546875" style="1215" bestFit="1" customWidth="1"/>
    <col min="7693" max="7693" width="11.5703125" style="1215" bestFit="1" customWidth="1"/>
    <col min="7694" max="7694" width="8" style="1215" bestFit="1" customWidth="1"/>
    <col min="7695" max="7695" width="11.5703125" style="1215" bestFit="1" customWidth="1"/>
    <col min="7696" max="7696" width="8.140625" style="1215" bestFit="1" customWidth="1"/>
    <col min="7697" max="7697" width="11.5703125" style="1215" bestFit="1" customWidth="1"/>
    <col min="7698" max="7698" width="8.42578125" style="1215" customWidth="1"/>
    <col min="7699" max="7699" width="7.28515625" style="1215" bestFit="1" customWidth="1"/>
    <col min="7700" max="7700" width="11.5703125" style="1215" bestFit="1" customWidth="1"/>
    <col min="7701" max="7701" width="8.140625" style="1215" customWidth="1"/>
    <col min="7702" max="7702" width="13" style="1215" bestFit="1" customWidth="1"/>
    <col min="7703" max="7941" width="10.85546875" style="1215"/>
    <col min="7942" max="7942" width="8.85546875" style="1215" customWidth="1"/>
    <col min="7943" max="7943" width="50" style="1215" customWidth="1"/>
    <col min="7944" max="7944" width="6.28515625" style="1215" bestFit="1" customWidth="1"/>
    <col min="7945" max="7945" width="8.85546875" style="1215" customWidth="1"/>
    <col min="7946" max="7946" width="8.5703125" style="1215" customWidth="1"/>
    <col min="7947" max="7947" width="11.28515625" style="1215" bestFit="1" customWidth="1"/>
    <col min="7948" max="7948" width="7.85546875" style="1215" bestFit="1" customWidth="1"/>
    <col min="7949" max="7949" width="11.5703125" style="1215" bestFit="1" customWidth="1"/>
    <col min="7950" max="7950" width="8" style="1215" bestFit="1" customWidth="1"/>
    <col min="7951" max="7951" width="11.5703125" style="1215" bestFit="1" customWidth="1"/>
    <col min="7952" max="7952" width="8.140625" style="1215" bestFit="1" customWidth="1"/>
    <col min="7953" max="7953" width="11.5703125" style="1215" bestFit="1" customWidth="1"/>
    <col min="7954" max="7954" width="8.42578125" style="1215" customWidth="1"/>
    <col min="7955" max="7955" width="7.28515625" style="1215" bestFit="1" customWidth="1"/>
    <col min="7956" max="7956" width="11.5703125" style="1215" bestFit="1" customWidth="1"/>
    <col min="7957" max="7957" width="8.140625" style="1215" customWidth="1"/>
    <col min="7958" max="7958" width="13" style="1215" bestFit="1" customWidth="1"/>
    <col min="7959" max="8197" width="10.85546875" style="1215"/>
    <col min="8198" max="8198" width="8.85546875" style="1215" customWidth="1"/>
    <col min="8199" max="8199" width="50" style="1215" customWidth="1"/>
    <col min="8200" max="8200" width="6.28515625" style="1215" bestFit="1" customWidth="1"/>
    <col min="8201" max="8201" width="8.85546875" style="1215" customWidth="1"/>
    <col min="8202" max="8202" width="8.5703125" style="1215" customWidth="1"/>
    <col min="8203" max="8203" width="11.28515625" style="1215" bestFit="1" customWidth="1"/>
    <col min="8204" max="8204" width="7.85546875" style="1215" bestFit="1" customWidth="1"/>
    <col min="8205" max="8205" width="11.5703125" style="1215" bestFit="1" customWidth="1"/>
    <col min="8206" max="8206" width="8" style="1215" bestFit="1" customWidth="1"/>
    <col min="8207" max="8207" width="11.5703125" style="1215" bestFit="1" customWidth="1"/>
    <col min="8208" max="8208" width="8.140625" style="1215" bestFit="1" customWidth="1"/>
    <col min="8209" max="8209" width="11.5703125" style="1215" bestFit="1" customWidth="1"/>
    <col min="8210" max="8210" width="8.42578125" style="1215" customWidth="1"/>
    <col min="8211" max="8211" width="7.28515625" style="1215" bestFit="1" customWidth="1"/>
    <col min="8212" max="8212" width="11.5703125" style="1215" bestFit="1" customWidth="1"/>
    <col min="8213" max="8213" width="8.140625" style="1215" customWidth="1"/>
    <col min="8214" max="8214" width="13" style="1215" bestFit="1" customWidth="1"/>
    <col min="8215" max="8453" width="10.85546875" style="1215"/>
    <col min="8454" max="8454" width="8.85546875" style="1215" customWidth="1"/>
    <col min="8455" max="8455" width="50" style="1215" customWidth="1"/>
    <col min="8456" max="8456" width="6.28515625" style="1215" bestFit="1" customWidth="1"/>
    <col min="8457" max="8457" width="8.85546875" style="1215" customWidth="1"/>
    <col min="8458" max="8458" width="8.5703125" style="1215" customWidth="1"/>
    <col min="8459" max="8459" width="11.28515625" style="1215" bestFit="1" customWidth="1"/>
    <col min="8460" max="8460" width="7.85546875" style="1215" bestFit="1" customWidth="1"/>
    <col min="8461" max="8461" width="11.5703125" style="1215" bestFit="1" customWidth="1"/>
    <col min="8462" max="8462" width="8" style="1215" bestFit="1" customWidth="1"/>
    <col min="8463" max="8463" width="11.5703125" style="1215" bestFit="1" customWidth="1"/>
    <col min="8464" max="8464" width="8.140625" style="1215" bestFit="1" customWidth="1"/>
    <col min="8465" max="8465" width="11.5703125" style="1215" bestFit="1" customWidth="1"/>
    <col min="8466" max="8466" width="8.42578125" style="1215" customWidth="1"/>
    <col min="8467" max="8467" width="7.28515625" style="1215" bestFit="1" customWidth="1"/>
    <col min="8468" max="8468" width="11.5703125" style="1215" bestFit="1" customWidth="1"/>
    <col min="8469" max="8469" width="8.140625" style="1215" customWidth="1"/>
    <col min="8470" max="8470" width="13" style="1215" bestFit="1" customWidth="1"/>
    <col min="8471" max="8709" width="10.85546875" style="1215"/>
    <col min="8710" max="8710" width="8.85546875" style="1215" customWidth="1"/>
    <col min="8711" max="8711" width="50" style="1215" customWidth="1"/>
    <col min="8712" max="8712" width="6.28515625" style="1215" bestFit="1" customWidth="1"/>
    <col min="8713" max="8713" width="8.85546875" style="1215" customWidth="1"/>
    <col min="8714" max="8714" width="8.5703125" style="1215" customWidth="1"/>
    <col min="8715" max="8715" width="11.28515625" style="1215" bestFit="1" customWidth="1"/>
    <col min="8716" max="8716" width="7.85546875" style="1215" bestFit="1" customWidth="1"/>
    <col min="8717" max="8717" width="11.5703125" style="1215" bestFit="1" customWidth="1"/>
    <col min="8718" max="8718" width="8" style="1215" bestFit="1" customWidth="1"/>
    <col min="8719" max="8719" width="11.5703125" style="1215" bestFit="1" customWidth="1"/>
    <col min="8720" max="8720" width="8.140625" style="1215" bestFit="1" customWidth="1"/>
    <col min="8721" max="8721" width="11.5703125" style="1215" bestFit="1" customWidth="1"/>
    <col min="8722" max="8722" width="8.42578125" style="1215" customWidth="1"/>
    <col min="8723" max="8723" width="7.28515625" style="1215" bestFit="1" customWidth="1"/>
    <col min="8724" max="8724" width="11.5703125" style="1215" bestFit="1" customWidth="1"/>
    <col min="8725" max="8725" width="8.140625" style="1215" customWidth="1"/>
    <col min="8726" max="8726" width="13" style="1215" bestFit="1" customWidth="1"/>
    <col min="8727" max="8965" width="10.85546875" style="1215"/>
    <col min="8966" max="8966" width="8.85546875" style="1215" customWidth="1"/>
    <col min="8967" max="8967" width="50" style="1215" customWidth="1"/>
    <col min="8968" max="8968" width="6.28515625" style="1215" bestFit="1" customWidth="1"/>
    <col min="8969" max="8969" width="8.85546875" style="1215" customWidth="1"/>
    <col min="8970" max="8970" width="8.5703125" style="1215" customWidth="1"/>
    <col min="8971" max="8971" width="11.28515625" style="1215" bestFit="1" customWidth="1"/>
    <col min="8972" max="8972" width="7.85546875" style="1215" bestFit="1" customWidth="1"/>
    <col min="8973" max="8973" width="11.5703125" style="1215" bestFit="1" customWidth="1"/>
    <col min="8974" max="8974" width="8" style="1215" bestFit="1" customWidth="1"/>
    <col min="8975" max="8975" width="11.5703125" style="1215" bestFit="1" customWidth="1"/>
    <col min="8976" max="8976" width="8.140625" style="1215" bestFit="1" customWidth="1"/>
    <col min="8977" max="8977" width="11.5703125" style="1215" bestFit="1" customWidth="1"/>
    <col min="8978" max="8978" width="8.42578125" style="1215" customWidth="1"/>
    <col min="8979" max="8979" width="7.28515625" style="1215" bestFit="1" customWidth="1"/>
    <col min="8980" max="8980" width="11.5703125" style="1215" bestFit="1" customWidth="1"/>
    <col min="8981" max="8981" width="8.140625" style="1215" customWidth="1"/>
    <col min="8982" max="8982" width="13" style="1215" bestFit="1" customWidth="1"/>
    <col min="8983" max="9221" width="10.85546875" style="1215"/>
    <col min="9222" max="9222" width="8.85546875" style="1215" customWidth="1"/>
    <col min="9223" max="9223" width="50" style="1215" customWidth="1"/>
    <col min="9224" max="9224" width="6.28515625" style="1215" bestFit="1" customWidth="1"/>
    <col min="9225" max="9225" width="8.85546875" style="1215" customWidth="1"/>
    <col min="9226" max="9226" width="8.5703125" style="1215" customWidth="1"/>
    <col min="9227" max="9227" width="11.28515625" style="1215" bestFit="1" customWidth="1"/>
    <col min="9228" max="9228" width="7.85546875" style="1215" bestFit="1" customWidth="1"/>
    <col min="9229" max="9229" width="11.5703125" style="1215" bestFit="1" customWidth="1"/>
    <col min="9230" max="9230" width="8" style="1215" bestFit="1" customWidth="1"/>
    <col min="9231" max="9231" width="11.5703125" style="1215" bestFit="1" customWidth="1"/>
    <col min="9232" max="9232" width="8.140625" style="1215" bestFit="1" customWidth="1"/>
    <col min="9233" max="9233" width="11.5703125" style="1215" bestFit="1" customWidth="1"/>
    <col min="9234" max="9234" width="8.42578125" style="1215" customWidth="1"/>
    <col min="9235" max="9235" width="7.28515625" style="1215" bestFit="1" customWidth="1"/>
    <col min="9236" max="9236" width="11.5703125" style="1215" bestFit="1" customWidth="1"/>
    <col min="9237" max="9237" width="8.140625" style="1215" customWidth="1"/>
    <col min="9238" max="9238" width="13" style="1215" bestFit="1" customWidth="1"/>
    <col min="9239" max="9477" width="10.85546875" style="1215"/>
    <col min="9478" max="9478" width="8.85546875" style="1215" customWidth="1"/>
    <col min="9479" max="9479" width="50" style="1215" customWidth="1"/>
    <col min="9480" max="9480" width="6.28515625" style="1215" bestFit="1" customWidth="1"/>
    <col min="9481" max="9481" width="8.85546875" style="1215" customWidth="1"/>
    <col min="9482" max="9482" width="8.5703125" style="1215" customWidth="1"/>
    <col min="9483" max="9483" width="11.28515625" style="1215" bestFit="1" customWidth="1"/>
    <col min="9484" max="9484" width="7.85546875" style="1215" bestFit="1" customWidth="1"/>
    <col min="9485" max="9485" width="11.5703125" style="1215" bestFit="1" customWidth="1"/>
    <col min="9486" max="9486" width="8" style="1215" bestFit="1" customWidth="1"/>
    <col min="9487" max="9487" width="11.5703125" style="1215" bestFit="1" customWidth="1"/>
    <col min="9488" max="9488" width="8.140625" style="1215" bestFit="1" customWidth="1"/>
    <col min="9489" max="9489" width="11.5703125" style="1215" bestFit="1" customWidth="1"/>
    <col min="9490" max="9490" width="8.42578125" style="1215" customWidth="1"/>
    <col min="9491" max="9491" width="7.28515625" style="1215" bestFit="1" customWidth="1"/>
    <col min="9492" max="9492" width="11.5703125" style="1215" bestFit="1" customWidth="1"/>
    <col min="9493" max="9493" width="8.140625" style="1215" customWidth="1"/>
    <col min="9494" max="9494" width="13" style="1215" bestFit="1" customWidth="1"/>
    <col min="9495" max="9733" width="10.85546875" style="1215"/>
    <col min="9734" max="9734" width="8.85546875" style="1215" customWidth="1"/>
    <col min="9735" max="9735" width="50" style="1215" customWidth="1"/>
    <col min="9736" max="9736" width="6.28515625" style="1215" bestFit="1" customWidth="1"/>
    <col min="9737" max="9737" width="8.85546875" style="1215" customWidth="1"/>
    <col min="9738" max="9738" width="8.5703125" style="1215" customWidth="1"/>
    <col min="9739" max="9739" width="11.28515625" style="1215" bestFit="1" customWidth="1"/>
    <col min="9740" max="9740" width="7.85546875" style="1215" bestFit="1" customWidth="1"/>
    <col min="9741" max="9741" width="11.5703125" style="1215" bestFit="1" customWidth="1"/>
    <col min="9742" max="9742" width="8" style="1215" bestFit="1" customWidth="1"/>
    <col min="9743" max="9743" width="11.5703125" style="1215" bestFit="1" customWidth="1"/>
    <col min="9744" max="9744" width="8.140625" style="1215" bestFit="1" customWidth="1"/>
    <col min="9745" max="9745" width="11.5703125" style="1215" bestFit="1" customWidth="1"/>
    <col min="9746" max="9746" width="8.42578125" style="1215" customWidth="1"/>
    <col min="9747" max="9747" width="7.28515625" style="1215" bestFit="1" customWidth="1"/>
    <col min="9748" max="9748" width="11.5703125" style="1215" bestFit="1" customWidth="1"/>
    <col min="9749" max="9749" width="8.140625" style="1215" customWidth="1"/>
    <col min="9750" max="9750" width="13" style="1215" bestFit="1" customWidth="1"/>
    <col min="9751" max="9989" width="10.85546875" style="1215"/>
    <col min="9990" max="9990" width="8.85546875" style="1215" customWidth="1"/>
    <col min="9991" max="9991" width="50" style="1215" customWidth="1"/>
    <col min="9992" max="9992" width="6.28515625" style="1215" bestFit="1" customWidth="1"/>
    <col min="9993" max="9993" width="8.85546875" style="1215" customWidth="1"/>
    <col min="9994" max="9994" width="8.5703125" style="1215" customWidth="1"/>
    <col min="9995" max="9995" width="11.28515625" style="1215" bestFit="1" customWidth="1"/>
    <col min="9996" max="9996" width="7.85546875" style="1215" bestFit="1" customWidth="1"/>
    <col min="9997" max="9997" width="11.5703125" style="1215" bestFit="1" customWidth="1"/>
    <col min="9998" max="9998" width="8" style="1215" bestFit="1" customWidth="1"/>
    <col min="9999" max="9999" width="11.5703125" style="1215" bestFit="1" customWidth="1"/>
    <col min="10000" max="10000" width="8.140625" style="1215" bestFit="1" customWidth="1"/>
    <col min="10001" max="10001" width="11.5703125" style="1215" bestFit="1" customWidth="1"/>
    <col min="10002" max="10002" width="8.42578125" style="1215" customWidth="1"/>
    <col min="10003" max="10003" width="7.28515625" style="1215" bestFit="1" customWidth="1"/>
    <col min="10004" max="10004" width="11.5703125" style="1215" bestFit="1" customWidth="1"/>
    <col min="10005" max="10005" width="8.140625" style="1215" customWidth="1"/>
    <col min="10006" max="10006" width="13" style="1215" bestFit="1" customWidth="1"/>
    <col min="10007" max="10245" width="10.85546875" style="1215"/>
    <col min="10246" max="10246" width="8.85546875" style="1215" customWidth="1"/>
    <col min="10247" max="10247" width="50" style="1215" customWidth="1"/>
    <col min="10248" max="10248" width="6.28515625" style="1215" bestFit="1" customWidth="1"/>
    <col min="10249" max="10249" width="8.85546875" style="1215" customWidth="1"/>
    <col min="10250" max="10250" width="8.5703125" style="1215" customWidth="1"/>
    <col min="10251" max="10251" width="11.28515625" style="1215" bestFit="1" customWidth="1"/>
    <col min="10252" max="10252" width="7.85546875" style="1215" bestFit="1" customWidth="1"/>
    <col min="10253" max="10253" width="11.5703125" style="1215" bestFit="1" customWidth="1"/>
    <col min="10254" max="10254" width="8" style="1215" bestFit="1" customWidth="1"/>
    <col min="10255" max="10255" width="11.5703125" style="1215" bestFit="1" customWidth="1"/>
    <col min="10256" max="10256" width="8.140625" style="1215" bestFit="1" customWidth="1"/>
    <col min="10257" max="10257" width="11.5703125" style="1215" bestFit="1" customWidth="1"/>
    <col min="10258" max="10258" width="8.42578125" style="1215" customWidth="1"/>
    <col min="10259" max="10259" width="7.28515625" style="1215" bestFit="1" customWidth="1"/>
    <col min="10260" max="10260" width="11.5703125" style="1215" bestFit="1" customWidth="1"/>
    <col min="10261" max="10261" width="8.140625" style="1215" customWidth="1"/>
    <col min="10262" max="10262" width="13" style="1215" bestFit="1" customWidth="1"/>
    <col min="10263" max="10501" width="10.85546875" style="1215"/>
    <col min="10502" max="10502" width="8.85546875" style="1215" customWidth="1"/>
    <col min="10503" max="10503" width="50" style="1215" customWidth="1"/>
    <col min="10504" max="10504" width="6.28515625" style="1215" bestFit="1" customWidth="1"/>
    <col min="10505" max="10505" width="8.85546875" style="1215" customWidth="1"/>
    <col min="10506" max="10506" width="8.5703125" style="1215" customWidth="1"/>
    <col min="10507" max="10507" width="11.28515625" style="1215" bestFit="1" customWidth="1"/>
    <col min="10508" max="10508" width="7.85546875" style="1215" bestFit="1" customWidth="1"/>
    <col min="10509" max="10509" width="11.5703125" style="1215" bestFit="1" customWidth="1"/>
    <col min="10510" max="10510" width="8" style="1215" bestFit="1" customWidth="1"/>
    <col min="10511" max="10511" width="11.5703125" style="1215" bestFit="1" customWidth="1"/>
    <col min="10512" max="10512" width="8.140625" style="1215" bestFit="1" customWidth="1"/>
    <col min="10513" max="10513" width="11.5703125" style="1215" bestFit="1" customWidth="1"/>
    <col min="10514" max="10514" width="8.42578125" style="1215" customWidth="1"/>
    <col min="10515" max="10515" width="7.28515625" style="1215" bestFit="1" customWidth="1"/>
    <col min="10516" max="10516" width="11.5703125" style="1215" bestFit="1" customWidth="1"/>
    <col min="10517" max="10517" width="8.140625" style="1215" customWidth="1"/>
    <col min="10518" max="10518" width="13" style="1215" bestFit="1" customWidth="1"/>
    <col min="10519" max="10757" width="10.85546875" style="1215"/>
    <col min="10758" max="10758" width="8.85546875" style="1215" customWidth="1"/>
    <col min="10759" max="10759" width="50" style="1215" customWidth="1"/>
    <col min="10760" max="10760" width="6.28515625" style="1215" bestFit="1" customWidth="1"/>
    <col min="10761" max="10761" width="8.85546875" style="1215" customWidth="1"/>
    <col min="10762" max="10762" width="8.5703125" style="1215" customWidth="1"/>
    <col min="10763" max="10763" width="11.28515625" style="1215" bestFit="1" customWidth="1"/>
    <col min="10764" max="10764" width="7.85546875" style="1215" bestFit="1" customWidth="1"/>
    <col min="10765" max="10765" width="11.5703125" style="1215" bestFit="1" customWidth="1"/>
    <col min="10766" max="10766" width="8" style="1215" bestFit="1" customWidth="1"/>
    <col min="10767" max="10767" width="11.5703125" style="1215" bestFit="1" customWidth="1"/>
    <col min="10768" max="10768" width="8.140625" style="1215" bestFit="1" customWidth="1"/>
    <col min="10769" max="10769" width="11.5703125" style="1215" bestFit="1" customWidth="1"/>
    <col min="10770" max="10770" width="8.42578125" style="1215" customWidth="1"/>
    <col min="10771" max="10771" width="7.28515625" style="1215" bestFit="1" customWidth="1"/>
    <col min="10772" max="10772" width="11.5703125" style="1215" bestFit="1" customWidth="1"/>
    <col min="10773" max="10773" width="8.140625" style="1215" customWidth="1"/>
    <col min="10774" max="10774" width="13" style="1215" bestFit="1" customWidth="1"/>
    <col min="10775" max="11013" width="10.85546875" style="1215"/>
    <col min="11014" max="11014" width="8.85546875" style="1215" customWidth="1"/>
    <col min="11015" max="11015" width="50" style="1215" customWidth="1"/>
    <col min="11016" max="11016" width="6.28515625" style="1215" bestFit="1" customWidth="1"/>
    <col min="11017" max="11017" width="8.85546875" style="1215" customWidth="1"/>
    <col min="11018" max="11018" width="8.5703125" style="1215" customWidth="1"/>
    <col min="11019" max="11019" width="11.28515625" style="1215" bestFit="1" customWidth="1"/>
    <col min="11020" max="11020" width="7.85546875" style="1215" bestFit="1" customWidth="1"/>
    <col min="11021" max="11021" width="11.5703125" style="1215" bestFit="1" customWidth="1"/>
    <col min="11022" max="11022" width="8" style="1215" bestFit="1" customWidth="1"/>
    <col min="11023" max="11023" width="11.5703125" style="1215" bestFit="1" customWidth="1"/>
    <col min="11024" max="11024" width="8.140625" style="1215" bestFit="1" customWidth="1"/>
    <col min="11025" max="11025" width="11.5703125" style="1215" bestFit="1" customWidth="1"/>
    <col min="11026" max="11026" width="8.42578125" style="1215" customWidth="1"/>
    <col min="11027" max="11027" width="7.28515625" style="1215" bestFit="1" customWidth="1"/>
    <col min="11028" max="11028" width="11.5703125" style="1215" bestFit="1" customWidth="1"/>
    <col min="11029" max="11029" width="8.140625" style="1215" customWidth="1"/>
    <col min="11030" max="11030" width="13" style="1215" bestFit="1" customWidth="1"/>
    <col min="11031" max="11269" width="10.85546875" style="1215"/>
    <col min="11270" max="11270" width="8.85546875" style="1215" customWidth="1"/>
    <col min="11271" max="11271" width="50" style="1215" customWidth="1"/>
    <col min="11272" max="11272" width="6.28515625" style="1215" bestFit="1" customWidth="1"/>
    <col min="11273" max="11273" width="8.85546875" style="1215" customWidth="1"/>
    <col min="11274" max="11274" width="8.5703125" style="1215" customWidth="1"/>
    <col min="11275" max="11275" width="11.28515625" style="1215" bestFit="1" customWidth="1"/>
    <col min="11276" max="11276" width="7.85546875" style="1215" bestFit="1" customWidth="1"/>
    <col min="11277" max="11277" width="11.5703125" style="1215" bestFit="1" customWidth="1"/>
    <col min="11278" max="11278" width="8" style="1215" bestFit="1" customWidth="1"/>
    <col min="11279" max="11279" width="11.5703125" style="1215" bestFit="1" customWidth="1"/>
    <col min="11280" max="11280" width="8.140625" style="1215" bestFit="1" customWidth="1"/>
    <col min="11281" max="11281" width="11.5703125" style="1215" bestFit="1" customWidth="1"/>
    <col min="11282" max="11282" width="8.42578125" style="1215" customWidth="1"/>
    <col min="11283" max="11283" width="7.28515625" style="1215" bestFit="1" customWidth="1"/>
    <col min="11284" max="11284" width="11.5703125" style="1215" bestFit="1" customWidth="1"/>
    <col min="11285" max="11285" width="8.140625" style="1215" customWidth="1"/>
    <col min="11286" max="11286" width="13" style="1215" bestFit="1" customWidth="1"/>
    <col min="11287" max="11525" width="10.85546875" style="1215"/>
    <col min="11526" max="11526" width="8.85546875" style="1215" customWidth="1"/>
    <col min="11527" max="11527" width="50" style="1215" customWidth="1"/>
    <col min="11528" max="11528" width="6.28515625" style="1215" bestFit="1" customWidth="1"/>
    <col min="11529" max="11529" width="8.85546875" style="1215" customWidth="1"/>
    <col min="11530" max="11530" width="8.5703125" style="1215" customWidth="1"/>
    <col min="11531" max="11531" width="11.28515625" style="1215" bestFit="1" customWidth="1"/>
    <col min="11532" max="11532" width="7.85546875" style="1215" bestFit="1" customWidth="1"/>
    <col min="11533" max="11533" width="11.5703125" style="1215" bestFit="1" customWidth="1"/>
    <col min="11534" max="11534" width="8" style="1215" bestFit="1" customWidth="1"/>
    <col min="11535" max="11535" width="11.5703125" style="1215" bestFit="1" customWidth="1"/>
    <col min="11536" max="11536" width="8.140625" style="1215" bestFit="1" customWidth="1"/>
    <col min="11537" max="11537" width="11.5703125" style="1215" bestFit="1" customWidth="1"/>
    <col min="11538" max="11538" width="8.42578125" style="1215" customWidth="1"/>
    <col min="11539" max="11539" width="7.28515625" style="1215" bestFit="1" customWidth="1"/>
    <col min="11540" max="11540" width="11.5703125" style="1215" bestFit="1" customWidth="1"/>
    <col min="11541" max="11541" width="8.140625" style="1215" customWidth="1"/>
    <col min="11542" max="11542" width="13" style="1215" bestFit="1" customWidth="1"/>
    <col min="11543" max="11781" width="10.85546875" style="1215"/>
    <col min="11782" max="11782" width="8.85546875" style="1215" customWidth="1"/>
    <col min="11783" max="11783" width="50" style="1215" customWidth="1"/>
    <col min="11784" max="11784" width="6.28515625" style="1215" bestFit="1" customWidth="1"/>
    <col min="11785" max="11785" width="8.85546875" style="1215" customWidth="1"/>
    <col min="11786" max="11786" width="8.5703125" style="1215" customWidth="1"/>
    <col min="11787" max="11787" width="11.28515625" style="1215" bestFit="1" customWidth="1"/>
    <col min="11788" max="11788" width="7.85546875" style="1215" bestFit="1" customWidth="1"/>
    <col min="11789" max="11789" width="11.5703125" style="1215" bestFit="1" customWidth="1"/>
    <col min="11790" max="11790" width="8" style="1215" bestFit="1" customWidth="1"/>
    <col min="11791" max="11791" width="11.5703125" style="1215" bestFit="1" customWidth="1"/>
    <col min="11792" max="11792" width="8.140625" style="1215" bestFit="1" customWidth="1"/>
    <col min="11793" max="11793" width="11.5703125" style="1215" bestFit="1" customWidth="1"/>
    <col min="11794" max="11794" width="8.42578125" style="1215" customWidth="1"/>
    <col min="11795" max="11795" width="7.28515625" style="1215" bestFit="1" customWidth="1"/>
    <col min="11796" max="11796" width="11.5703125" style="1215" bestFit="1" customWidth="1"/>
    <col min="11797" max="11797" width="8.140625" style="1215" customWidth="1"/>
    <col min="11798" max="11798" width="13" style="1215" bestFit="1" customWidth="1"/>
    <col min="11799" max="12037" width="10.85546875" style="1215"/>
    <col min="12038" max="12038" width="8.85546875" style="1215" customWidth="1"/>
    <col min="12039" max="12039" width="50" style="1215" customWidth="1"/>
    <col min="12040" max="12040" width="6.28515625" style="1215" bestFit="1" customWidth="1"/>
    <col min="12041" max="12041" width="8.85546875" style="1215" customWidth="1"/>
    <col min="12042" max="12042" width="8.5703125" style="1215" customWidth="1"/>
    <col min="12043" max="12043" width="11.28515625" style="1215" bestFit="1" customWidth="1"/>
    <col min="12044" max="12044" width="7.85546875" style="1215" bestFit="1" customWidth="1"/>
    <col min="12045" max="12045" width="11.5703125" style="1215" bestFit="1" customWidth="1"/>
    <col min="12046" max="12046" width="8" style="1215" bestFit="1" customWidth="1"/>
    <col min="12047" max="12047" width="11.5703125" style="1215" bestFit="1" customWidth="1"/>
    <col min="12048" max="12048" width="8.140625" style="1215" bestFit="1" customWidth="1"/>
    <col min="12049" max="12049" width="11.5703125" style="1215" bestFit="1" customWidth="1"/>
    <col min="12050" max="12050" width="8.42578125" style="1215" customWidth="1"/>
    <col min="12051" max="12051" width="7.28515625" style="1215" bestFit="1" customWidth="1"/>
    <col min="12052" max="12052" width="11.5703125" style="1215" bestFit="1" customWidth="1"/>
    <col min="12053" max="12053" width="8.140625" style="1215" customWidth="1"/>
    <col min="12054" max="12054" width="13" style="1215" bestFit="1" customWidth="1"/>
    <col min="12055" max="12293" width="10.85546875" style="1215"/>
    <col min="12294" max="12294" width="8.85546875" style="1215" customWidth="1"/>
    <col min="12295" max="12295" width="50" style="1215" customWidth="1"/>
    <col min="12296" max="12296" width="6.28515625" style="1215" bestFit="1" customWidth="1"/>
    <col min="12297" max="12297" width="8.85546875" style="1215" customWidth="1"/>
    <col min="12298" max="12298" width="8.5703125" style="1215" customWidth="1"/>
    <col min="12299" max="12299" width="11.28515625" style="1215" bestFit="1" customWidth="1"/>
    <col min="12300" max="12300" width="7.85546875" style="1215" bestFit="1" customWidth="1"/>
    <col min="12301" max="12301" width="11.5703125" style="1215" bestFit="1" customWidth="1"/>
    <col min="12302" max="12302" width="8" style="1215" bestFit="1" customWidth="1"/>
    <col min="12303" max="12303" width="11.5703125" style="1215" bestFit="1" customWidth="1"/>
    <col min="12304" max="12304" width="8.140625" style="1215" bestFit="1" customWidth="1"/>
    <col min="12305" max="12305" width="11.5703125" style="1215" bestFit="1" customWidth="1"/>
    <col min="12306" max="12306" width="8.42578125" style="1215" customWidth="1"/>
    <col min="12307" max="12307" width="7.28515625" style="1215" bestFit="1" customWidth="1"/>
    <col min="12308" max="12308" width="11.5703125" style="1215" bestFit="1" customWidth="1"/>
    <col min="12309" max="12309" width="8.140625" style="1215" customWidth="1"/>
    <col min="12310" max="12310" width="13" style="1215" bestFit="1" customWidth="1"/>
    <col min="12311" max="12549" width="10.85546875" style="1215"/>
    <col min="12550" max="12550" width="8.85546875" style="1215" customWidth="1"/>
    <col min="12551" max="12551" width="50" style="1215" customWidth="1"/>
    <col min="12552" max="12552" width="6.28515625" style="1215" bestFit="1" customWidth="1"/>
    <col min="12553" max="12553" width="8.85546875" style="1215" customWidth="1"/>
    <col min="12554" max="12554" width="8.5703125" style="1215" customWidth="1"/>
    <col min="12555" max="12555" width="11.28515625" style="1215" bestFit="1" customWidth="1"/>
    <col min="12556" max="12556" width="7.85546875" style="1215" bestFit="1" customWidth="1"/>
    <col min="12557" max="12557" width="11.5703125" style="1215" bestFit="1" customWidth="1"/>
    <col min="12558" max="12558" width="8" style="1215" bestFit="1" customWidth="1"/>
    <col min="12559" max="12559" width="11.5703125" style="1215" bestFit="1" customWidth="1"/>
    <col min="12560" max="12560" width="8.140625" style="1215" bestFit="1" customWidth="1"/>
    <col min="12561" max="12561" width="11.5703125" style="1215" bestFit="1" customWidth="1"/>
    <col min="12562" max="12562" width="8.42578125" style="1215" customWidth="1"/>
    <col min="12563" max="12563" width="7.28515625" style="1215" bestFit="1" customWidth="1"/>
    <col min="12564" max="12564" width="11.5703125" style="1215" bestFit="1" customWidth="1"/>
    <col min="12565" max="12565" width="8.140625" style="1215" customWidth="1"/>
    <col min="12566" max="12566" width="13" style="1215" bestFit="1" customWidth="1"/>
    <col min="12567" max="12805" width="10.85546875" style="1215"/>
    <col min="12806" max="12806" width="8.85546875" style="1215" customWidth="1"/>
    <col min="12807" max="12807" width="50" style="1215" customWidth="1"/>
    <col min="12808" max="12808" width="6.28515625" style="1215" bestFit="1" customWidth="1"/>
    <col min="12809" max="12809" width="8.85546875" style="1215" customWidth="1"/>
    <col min="12810" max="12810" width="8.5703125" style="1215" customWidth="1"/>
    <col min="12811" max="12811" width="11.28515625" style="1215" bestFit="1" customWidth="1"/>
    <col min="12812" max="12812" width="7.85546875" style="1215" bestFit="1" customWidth="1"/>
    <col min="12813" max="12813" width="11.5703125" style="1215" bestFit="1" customWidth="1"/>
    <col min="12814" max="12814" width="8" style="1215" bestFit="1" customWidth="1"/>
    <col min="12815" max="12815" width="11.5703125" style="1215" bestFit="1" customWidth="1"/>
    <col min="12816" max="12816" width="8.140625" style="1215" bestFit="1" customWidth="1"/>
    <col min="12817" max="12817" width="11.5703125" style="1215" bestFit="1" customWidth="1"/>
    <col min="12818" max="12818" width="8.42578125" style="1215" customWidth="1"/>
    <col min="12819" max="12819" width="7.28515625" style="1215" bestFit="1" customWidth="1"/>
    <col min="12820" max="12820" width="11.5703125" style="1215" bestFit="1" customWidth="1"/>
    <col min="12821" max="12821" width="8.140625" style="1215" customWidth="1"/>
    <col min="12822" max="12822" width="13" style="1215" bestFit="1" customWidth="1"/>
    <col min="12823" max="13061" width="10.85546875" style="1215"/>
    <col min="13062" max="13062" width="8.85546875" style="1215" customWidth="1"/>
    <col min="13063" max="13063" width="50" style="1215" customWidth="1"/>
    <col min="13064" max="13064" width="6.28515625" style="1215" bestFit="1" customWidth="1"/>
    <col min="13065" max="13065" width="8.85546875" style="1215" customWidth="1"/>
    <col min="13066" max="13066" width="8.5703125" style="1215" customWidth="1"/>
    <col min="13067" max="13067" width="11.28515625" style="1215" bestFit="1" customWidth="1"/>
    <col min="13068" max="13068" width="7.85546875" style="1215" bestFit="1" customWidth="1"/>
    <col min="13069" max="13069" width="11.5703125" style="1215" bestFit="1" customWidth="1"/>
    <col min="13070" max="13070" width="8" style="1215" bestFit="1" customWidth="1"/>
    <col min="13071" max="13071" width="11.5703125" style="1215" bestFit="1" customWidth="1"/>
    <col min="13072" max="13072" width="8.140625" style="1215" bestFit="1" customWidth="1"/>
    <col min="13073" max="13073" width="11.5703125" style="1215" bestFit="1" customWidth="1"/>
    <col min="13074" max="13074" width="8.42578125" style="1215" customWidth="1"/>
    <col min="13075" max="13075" width="7.28515625" style="1215" bestFit="1" customWidth="1"/>
    <col min="13076" max="13076" width="11.5703125" style="1215" bestFit="1" customWidth="1"/>
    <col min="13077" max="13077" width="8.140625" style="1215" customWidth="1"/>
    <col min="13078" max="13078" width="13" style="1215" bestFit="1" customWidth="1"/>
    <col min="13079" max="13317" width="10.85546875" style="1215"/>
    <col min="13318" max="13318" width="8.85546875" style="1215" customWidth="1"/>
    <col min="13319" max="13319" width="50" style="1215" customWidth="1"/>
    <col min="13320" max="13320" width="6.28515625" style="1215" bestFit="1" customWidth="1"/>
    <col min="13321" max="13321" width="8.85546875" style="1215" customWidth="1"/>
    <col min="13322" max="13322" width="8.5703125" style="1215" customWidth="1"/>
    <col min="13323" max="13323" width="11.28515625" style="1215" bestFit="1" customWidth="1"/>
    <col min="13324" max="13324" width="7.85546875" style="1215" bestFit="1" customWidth="1"/>
    <col min="13325" max="13325" width="11.5703125" style="1215" bestFit="1" customWidth="1"/>
    <col min="13326" max="13326" width="8" style="1215" bestFit="1" customWidth="1"/>
    <col min="13327" max="13327" width="11.5703125" style="1215" bestFit="1" customWidth="1"/>
    <col min="13328" max="13328" width="8.140625" style="1215" bestFit="1" customWidth="1"/>
    <col min="13329" max="13329" width="11.5703125" style="1215" bestFit="1" customWidth="1"/>
    <col min="13330" max="13330" width="8.42578125" style="1215" customWidth="1"/>
    <col min="13331" max="13331" width="7.28515625" style="1215" bestFit="1" customWidth="1"/>
    <col min="13332" max="13332" width="11.5703125" style="1215" bestFit="1" customWidth="1"/>
    <col min="13333" max="13333" width="8.140625" style="1215" customWidth="1"/>
    <col min="13334" max="13334" width="13" style="1215" bestFit="1" customWidth="1"/>
    <col min="13335" max="13573" width="10.85546875" style="1215"/>
    <col min="13574" max="13574" width="8.85546875" style="1215" customWidth="1"/>
    <col min="13575" max="13575" width="50" style="1215" customWidth="1"/>
    <col min="13576" max="13576" width="6.28515625" style="1215" bestFit="1" customWidth="1"/>
    <col min="13577" max="13577" width="8.85546875" style="1215" customWidth="1"/>
    <col min="13578" max="13578" width="8.5703125" style="1215" customWidth="1"/>
    <col min="13579" max="13579" width="11.28515625" style="1215" bestFit="1" customWidth="1"/>
    <col min="13580" max="13580" width="7.85546875" style="1215" bestFit="1" customWidth="1"/>
    <col min="13581" max="13581" width="11.5703125" style="1215" bestFit="1" customWidth="1"/>
    <col min="13582" max="13582" width="8" style="1215" bestFit="1" customWidth="1"/>
    <col min="13583" max="13583" width="11.5703125" style="1215" bestFit="1" customWidth="1"/>
    <col min="13584" max="13584" width="8.140625" style="1215" bestFit="1" customWidth="1"/>
    <col min="13585" max="13585" width="11.5703125" style="1215" bestFit="1" customWidth="1"/>
    <col min="13586" max="13586" width="8.42578125" style="1215" customWidth="1"/>
    <col min="13587" max="13587" width="7.28515625" style="1215" bestFit="1" customWidth="1"/>
    <col min="13588" max="13588" width="11.5703125" style="1215" bestFit="1" customWidth="1"/>
    <col min="13589" max="13589" width="8.140625" style="1215" customWidth="1"/>
    <col min="13590" max="13590" width="13" style="1215" bestFit="1" customWidth="1"/>
    <col min="13591" max="13829" width="10.85546875" style="1215"/>
    <col min="13830" max="13830" width="8.85546875" style="1215" customWidth="1"/>
    <col min="13831" max="13831" width="50" style="1215" customWidth="1"/>
    <col min="13832" max="13832" width="6.28515625" style="1215" bestFit="1" customWidth="1"/>
    <col min="13833" max="13833" width="8.85546875" style="1215" customWidth="1"/>
    <col min="13834" max="13834" width="8.5703125" style="1215" customWidth="1"/>
    <col min="13835" max="13835" width="11.28515625" style="1215" bestFit="1" customWidth="1"/>
    <col min="13836" max="13836" width="7.85546875" style="1215" bestFit="1" customWidth="1"/>
    <col min="13837" max="13837" width="11.5703125" style="1215" bestFit="1" customWidth="1"/>
    <col min="13838" max="13838" width="8" style="1215" bestFit="1" customWidth="1"/>
    <col min="13839" max="13839" width="11.5703125" style="1215" bestFit="1" customWidth="1"/>
    <col min="13840" max="13840" width="8.140625" style="1215" bestFit="1" customWidth="1"/>
    <col min="13841" max="13841" width="11.5703125" style="1215" bestFit="1" customWidth="1"/>
    <col min="13842" max="13842" width="8.42578125" style="1215" customWidth="1"/>
    <col min="13843" max="13843" width="7.28515625" style="1215" bestFit="1" customWidth="1"/>
    <col min="13844" max="13844" width="11.5703125" style="1215" bestFit="1" customWidth="1"/>
    <col min="13845" max="13845" width="8.140625" style="1215" customWidth="1"/>
    <col min="13846" max="13846" width="13" style="1215" bestFit="1" customWidth="1"/>
    <col min="13847" max="14085" width="10.85546875" style="1215"/>
    <col min="14086" max="14086" width="8.85546875" style="1215" customWidth="1"/>
    <col min="14087" max="14087" width="50" style="1215" customWidth="1"/>
    <col min="14088" max="14088" width="6.28515625" style="1215" bestFit="1" customWidth="1"/>
    <col min="14089" max="14089" width="8.85546875" style="1215" customWidth="1"/>
    <col min="14090" max="14090" width="8.5703125" style="1215" customWidth="1"/>
    <col min="14091" max="14091" width="11.28515625" style="1215" bestFit="1" customWidth="1"/>
    <col min="14092" max="14092" width="7.85546875" style="1215" bestFit="1" customWidth="1"/>
    <col min="14093" max="14093" width="11.5703125" style="1215" bestFit="1" customWidth="1"/>
    <col min="14094" max="14094" width="8" style="1215" bestFit="1" customWidth="1"/>
    <col min="14095" max="14095" width="11.5703125" style="1215" bestFit="1" customWidth="1"/>
    <col min="14096" max="14096" width="8.140625" style="1215" bestFit="1" customWidth="1"/>
    <col min="14097" max="14097" width="11.5703125" style="1215" bestFit="1" customWidth="1"/>
    <col min="14098" max="14098" width="8.42578125" style="1215" customWidth="1"/>
    <col min="14099" max="14099" width="7.28515625" style="1215" bestFit="1" customWidth="1"/>
    <col min="14100" max="14100" width="11.5703125" style="1215" bestFit="1" customWidth="1"/>
    <col min="14101" max="14101" width="8.140625" style="1215" customWidth="1"/>
    <col min="14102" max="14102" width="13" style="1215" bestFit="1" customWidth="1"/>
    <col min="14103" max="14341" width="10.85546875" style="1215"/>
    <col min="14342" max="14342" width="8.85546875" style="1215" customWidth="1"/>
    <col min="14343" max="14343" width="50" style="1215" customWidth="1"/>
    <col min="14344" max="14344" width="6.28515625" style="1215" bestFit="1" customWidth="1"/>
    <col min="14345" max="14345" width="8.85546875" style="1215" customWidth="1"/>
    <col min="14346" max="14346" width="8.5703125" style="1215" customWidth="1"/>
    <col min="14347" max="14347" width="11.28515625" style="1215" bestFit="1" customWidth="1"/>
    <col min="14348" max="14348" width="7.85546875" style="1215" bestFit="1" customWidth="1"/>
    <col min="14349" max="14349" width="11.5703125" style="1215" bestFit="1" customWidth="1"/>
    <col min="14350" max="14350" width="8" style="1215" bestFit="1" customWidth="1"/>
    <col min="14351" max="14351" width="11.5703125" style="1215" bestFit="1" customWidth="1"/>
    <col min="14352" max="14352" width="8.140625" style="1215" bestFit="1" customWidth="1"/>
    <col min="14353" max="14353" width="11.5703125" style="1215" bestFit="1" customWidth="1"/>
    <col min="14354" max="14354" width="8.42578125" style="1215" customWidth="1"/>
    <col min="14355" max="14355" width="7.28515625" style="1215" bestFit="1" customWidth="1"/>
    <col min="14356" max="14356" width="11.5703125" style="1215" bestFit="1" customWidth="1"/>
    <col min="14357" max="14357" width="8.140625" style="1215" customWidth="1"/>
    <col min="14358" max="14358" width="13" style="1215" bestFit="1" customWidth="1"/>
    <col min="14359" max="14597" width="10.85546875" style="1215"/>
    <col min="14598" max="14598" width="8.85546875" style="1215" customWidth="1"/>
    <col min="14599" max="14599" width="50" style="1215" customWidth="1"/>
    <col min="14600" max="14600" width="6.28515625" style="1215" bestFit="1" customWidth="1"/>
    <col min="14601" max="14601" width="8.85546875" style="1215" customWidth="1"/>
    <col min="14602" max="14602" width="8.5703125" style="1215" customWidth="1"/>
    <col min="14603" max="14603" width="11.28515625" style="1215" bestFit="1" customWidth="1"/>
    <col min="14604" max="14604" width="7.85546875" style="1215" bestFit="1" customWidth="1"/>
    <col min="14605" max="14605" width="11.5703125" style="1215" bestFit="1" customWidth="1"/>
    <col min="14606" max="14606" width="8" style="1215" bestFit="1" customWidth="1"/>
    <col min="14607" max="14607" width="11.5703125" style="1215" bestFit="1" customWidth="1"/>
    <col min="14608" max="14608" width="8.140625" style="1215" bestFit="1" customWidth="1"/>
    <col min="14609" max="14609" width="11.5703125" style="1215" bestFit="1" customWidth="1"/>
    <col min="14610" max="14610" width="8.42578125" style="1215" customWidth="1"/>
    <col min="14611" max="14611" width="7.28515625" style="1215" bestFit="1" customWidth="1"/>
    <col min="14612" max="14612" width="11.5703125" style="1215" bestFit="1" customWidth="1"/>
    <col min="14613" max="14613" width="8.140625" style="1215" customWidth="1"/>
    <col min="14614" max="14614" width="13" style="1215" bestFit="1" customWidth="1"/>
    <col min="14615" max="14853" width="10.85546875" style="1215"/>
    <col min="14854" max="14854" width="8.85546875" style="1215" customWidth="1"/>
    <col min="14855" max="14855" width="50" style="1215" customWidth="1"/>
    <col min="14856" max="14856" width="6.28515625" style="1215" bestFit="1" customWidth="1"/>
    <col min="14857" max="14857" width="8.85546875" style="1215" customWidth="1"/>
    <col min="14858" max="14858" width="8.5703125" style="1215" customWidth="1"/>
    <col min="14859" max="14859" width="11.28515625" style="1215" bestFit="1" customWidth="1"/>
    <col min="14860" max="14860" width="7.85546875" style="1215" bestFit="1" customWidth="1"/>
    <col min="14861" max="14861" width="11.5703125" style="1215" bestFit="1" customWidth="1"/>
    <col min="14862" max="14862" width="8" style="1215" bestFit="1" customWidth="1"/>
    <col min="14863" max="14863" width="11.5703125" style="1215" bestFit="1" customWidth="1"/>
    <col min="14864" max="14864" width="8.140625" style="1215" bestFit="1" customWidth="1"/>
    <col min="14865" max="14865" width="11.5703125" style="1215" bestFit="1" customWidth="1"/>
    <col min="14866" max="14866" width="8.42578125" style="1215" customWidth="1"/>
    <col min="14867" max="14867" width="7.28515625" style="1215" bestFit="1" customWidth="1"/>
    <col min="14868" max="14868" width="11.5703125" style="1215" bestFit="1" customWidth="1"/>
    <col min="14869" max="14869" width="8.140625" style="1215" customWidth="1"/>
    <col min="14870" max="14870" width="13" style="1215" bestFit="1" customWidth="1"/>
    <col min="14871" max="15109" width="10.85546875" style="1215"/>
    <col min="15110" max="15110" width="8.85546875" style="1215" customWidth="1"/>
    <col min="15111" max="15111" width="50" style="1215" customWidth="1"/>
    <col min="15112" max="15112" width="6.28515625" style="1215" bestFit="1" customWidth="1"/>
    <col min="15113" max="15113" width="8.85546875" style="1215" customWidth="1"/>
    <col min="15114" max="15114" width="8.5703125" style="1215" customWidth="1"/>
    <col min="15115" max="15115" width="11.28515625" style="1215" bestFit="1" customWidth="1"/>
    <col min="15116" max="15116" width="7.85546875" style="1215" bestFit="1" customWidth="1"/>
    <col min="15117" max="15117" width="11.5703125" style="1215" bestFit="1" customWidth="1"/>
    <col min="15118" max="15118" width="8" style="1215" bestFit="1" customWidth="1"/>
    <col min="15119" max="15119" width="11.5703125" style="1215" bestFit="1" customWidth="1"/>
    <col min="15120" max="15120" width="8.140625" style="1215" bestFit="1" customWidth="1"/>
    <col min="15121" max="15121" width="11.5703125" style="1215" bestFit="1" customWidth="1"/>
    <col min="15122" max="15122" width="8.42578125" style="1215" customWidth="1"/>
    <col min="15123" max="15123" width="7.28515625" style="1215" bestFit="1" customWidth="1"/>
    <col min="15124" max="15124" width="11.5703125" style="1215" bestFit="1" customWidth="1"/>
    <col min="15125" max="15125" width="8.140625" style="1215" customWidth="1"/>
    <col min="15126" max="15126" width="13" style="1215" bestFit="1" customWidth="1"/>
    <col min="15127" max="15365" width="10.85546875" style="1215"/>
    <col min="15366" max="15366" width="8.85546875" style="1215" customWidth="1"/>
    <col min="15367" max="15367" width="50" style="1215" customWidth="1"/>
    <col min="15368" max="15368" width="6.28515625" style="1215" bestFit="1" customWidth="1"/>
    <col min="15369" max="15369" width="8.85546875" style="1215" customWidth="1"/>
    <col min="15370" max="15370" width="8.5703125" style="1215" customWidth="1"/>
    <col min="15371" max="15371" width="11.28515625" style="1215" bestFit="1" customWidth="1"/>
    <col min="15372" max="15372" width="7.85546875" style="1215" bestFit="1" customWidth="1"/>
    <col min="15373" max="15373" width="11.5703125" style="1215" bestFit="1" customWidth="1"/>
    <col min="15374" max="15374" width="8" style="1215" bestFit="1" customWidth="1"/>
    <col min="15375" max="15375" width="11.5703125" style="1215" bestFit="1" customWidth="1"/>
    <col min="15376" max="15376" width="8.140625" style="1215" bestFit="1" customWidth="1"/>
    <col min="15377" max="15377" width="11.5703125" style="1215" bestFit="1" customWidth="1"/>
    <col min="15378" max="15378" width="8.42578125" style="1215" customWidth="1"/>
    <col min="15379" max="15379" width="7.28515625" style="1215" bestFit="1" customWidth="1"/>
    <col min="15380" max="15380" width="11.5703125" style="1215" bestFit="1" customWidth="1"/>
    <col min="15381" max="15381" width="8.140625" style="1215" customWidth="1"/>
    <col min="15382" max="15382" width="13" style="1215" bestFit="1" customWidth="1"/>
    <col min="15383" max="15621" width="10.85546875" style="1215"/>
    <col min="15622" max="15622" width="8.85546875" style="1215" customWidth="1"/>
    <col min="15623" max="15623" width="50" style="1215" customWidth="1"/>
    <col min="15624" max="15624" width="6.28515625" style="1215" bestFit="1" customWidth="1"/>
    <col min="15625" max="15625" width="8.85546875" style="1215" customWidth="1"/>
    <col min="15626" max="15626" width="8.5703125" style="1215" customWidth="1"/>
    <col min="15627" max="15627" width="11.28515625" style="1215" bestFit="1" customWidth="1"/>
    <col min="15628" max="15628" width="7.85546875" style="1215" bestFit="1" customWidth="1"/>
    <col min="15629" max="15629" width="11.5703125" style="1215" bestFit="1" customWidth="1"/>
    <col min="15630" max="15630" width="8" style="1215" bestFit="1" customWidth="1"/>
    <col min="15631" max="15631" width="11.5703125" style="1215" bestFit="1" customWidth="1"/>
    <col min="15632" max="15632" width="8.140625" style="1215" bestFit="1" customWidth="1"/>
    <col min="15633" max="15633" width="11.5703125" style="1215" bestFit="1" customWidth="1"/>
    <col min="15634" max="15634" width="8.42578125" style="1215" customWidth="1"/>
    <col min="15635" max="15635" width="7.28515625" style="1215" bestFit="1" customWidth="1"/>
    <col min="15636" max="15636" width="11.5703125" style="1215" bestFit="1" customWidth="1"/>
    <col min="15637" max="15637" width="8.140625" style="1215" customWidth="1"/>
    <col min="15638" max="15638" width="13" style="1215" bestFit="1" customWidth="1"/>
    <col min="15639" max="15877" width="10.85546875" style="1215"/>
    <col min="15878" max="15878" width="8.85546875" style="1215" customWidth="1"/>
    <col min="15879" max="15879" width="50" style="1215" customWidth="1"/>
    <col min="15880" max="15880" width="6.28515625" style="1215" bestFit="1" customWidth="1"/>
    <col min="15881" max="15881" width="8.85546875" style="1215" customWidth="1"/>
    <col min="15882" max="15882" width="8.5703125" style="1215" customWidth="1"/>
    <col min="15883" max="15883" width="11.28515625" style="1215" bestFit="1" customWidth="1"/>
    <col min="15884" max="15884" width="7.85546875" style="1215" bestFit="1" customWidth="1"/>
    <col min="15885" max="15885" width="11.5703125" style="1215" bestFit="1" customWidth="1"/>
    <col min="15886" max="15886" width="8" style="1215" bestFit="1" customWidth="1"/>
    <col min="15887" max="15887" width="11.5703125" style="1215" bestFit="1" customWidth="1"/>
    <col min="15888" max="15888" width="8.140625" style="1215" bestFit="1" customWidth="1"/>
    <col min="15889" max="15889" width="11.5703125" style="1215" bestFit="1" customWidth="1"/>
    <col min="15890" max="15890" width="8.42578125" style="1215" customWidth="1"/>
    <col min="15891" max="15891" width="7.28515625" style="1215" bestFit="1" customWidth="1"/>
    <col min="15892" max="15892" width="11.5703125" style="1215" bestFit="1" customWidth="1"/>
    <col min="15893" max="15893" width="8.140625" style="1215" customWidth="1"/>
    <col min="15894" max="15894" width="13" style="1215" bestFit="1" customWidth="1"/>
    <col min="15895" max="16133" width="10.85546875" style="1215"/>
    <col min="16134" max="16134" width="8.85546875" style="1215" customWidth="1"/>
    <col min="16135" max="16135" width="50" style="1215" customWidth="1"/>
    <col min="16136" max="16136" width="6.28515625" style="1215" bestFit="1" customWidth="1"/>
    <col min="16137" max="16137" width="8.85546875" style="1215" customWidth="1"/>
    <col min="16138" max="16138" width="8.5703125" style="1215" customWidth="1"/>
    <col min="16139" max="16139" width="11.28515625" style="1215" bestFit="1" customWidth="1"/>
    <col min="16140" max="16140" width="7.85546875" style="1215" bestFit="1" customWidth="1"/>
    <col min="16141" max="16141" width="11.5703125" style="1215" bestFit="1" customWidth="1"/>
    <col min="16142" max="16142" width="8" style="1215" bestFit="1" customWidth="1"/>
    <col min="16143" max="16143" width="11.5703125" style="1215" bestFit="1" customWidth="1"/>
    <col min="16144" max="16144" width="8.140625" style="1215" bestFit="1" customWidth="1"/>
    <col min="16145" max="16145" width="11.5703125" style="1215" bestFit="1" customWidth="1"/>
    <col min="16146" max="16146" width="8.42578125" style="1215" customWidth="1"/>
    <col min="16147" max="16147" width="7.28515625" style="1215" bestFit="1" customWidth="1"/>
    <col min="16148" max="16148" width="11.5703125" style="1215" bestFit="1" customWidth="1"/>
    <col min="16149" max="16149" width="8.140625" style="1215" customWidth="1"/>
    <col min="16150" max="16150" width="13" style="1215" bestFit="1" customWidth="1"/>
    <col min="16151" max="16383" width="10.85546875" style="1215"/>
    <col min="16384" max="16384" width="11.5703125" style="1215" customWidth="1"/>
  </cols>
  <sheetData>
    <row r="1" spans="1:25" ht="13.9" customHeight="1">
      <c r="B1" s="3179" t="s">
        <v>12</v>
      </c>
      <c r="C1" s="3179"/>
      <c r="D1" s="3179"/>
      <c r="E1" s="3179"/>
      <c r="F1" s="3179"/>
      <c r="G1" s="3179"/>
      <c r="H1" s="3179"/>
      <c r="I1" s="3179"/>
      <c r="J1" s="3179"/>
      <c r="K1" s="3179"/>
      <c r="L1" s="3179"/>
      <c r="M1" s="3179"/>
      <c r="N1" s="3179"/>
      <c r="O1" s="3179"/>
      <c r="P1" s="3179"/>
      <c r="Q1" s="3179"/>
      <c r="R1" s="3179"/>
      <c r="S1" s="3179"/>
    </row>
    <row r="2" spans="1:25">
      <c r="B2" s="3179" t="s">
        <v>4218</v>
      </c>
      <c r="C2" s="3179"/>
      <c r="D2" s="3179"/>
      <c r="E2" s="3179"/>
      <c r="F2" s="3179"/>
      <c r="G2" s="3179"/>
      <c r="H2" s="3179"/>
      <c r="I2" s="3179"/>
      <c r="J2" s="3179"/>
      <c r="K2" s="3179"/>
      <c r="L2" s="3179"/>
      <c r="M2" s="3179"/>
      <c r="N2" s="3179"/>
      <c r="O2" s="3179"/>
      <c r="P2" s="3179"/>
      <c r="Q2" s="3179"/>
      <c r="R2" s="3179"/>
      <c r="S2" s="3179"/>
    </row>
    <row r="3" spans="1:25">
      <c r="B3" s="3179" t="s">
        <v>4387</v>
      </c>
      <c r="C3" s="3179"/>
      <c r="D3" s="3179"/>
      <c r="E3" s="3179"/>
      <c r="F3" s="3179"/>
      <c r="G3" s="3179"/>
      <c r="H3" s="3179"/>
      <c r="I3" s="3179"/>
      <c r="J3" s="3179"/>
      <c r="K3" s="3179"/>
      <c r="L3" s="3179"/>
      <c r="M3" s="3179"/>
      <c r="N3" s="3179"/>
      <c r="O3" s="3179"/>
      <c r="P3" s="3179"/>
      <c r="Q3" s="3179"/>
      <c r="R3" s="3179"/>
      <c r="S3" s="3179"/>
    </row>
    <row r="4" spans="1:25">
      <c r="B4" s="1218"/>
      <c r="C4" s="1220" t="s">
        <v>6</v>
      </c>
      <c r="D4" s="1240" t="s">
        <v>4</v>
      </c>
      <c r="E4" s="3180" t="s">
        <v>2826</v>
      </c>
      <c r="F4" s="3180"/>
      <c r="G4" s="3180"/>
      <c r="H4" s="3180"/>
      <c r="I4" s="3180"/>
      <c r="J4" s="3180"/>
      <c r="K4" s="3180"/>
      <c r="L4" s="3180"/>
      <c r="M4" s="3180"/>
      <c r="N4" s="3180"/>
      <c r="O4" s="3180"/>
      <c r="P4" s="1238" t="s">
        <v>13</v>
      </c>
      <c r="Q4" s="1217"/>
      <c r="R4" s="3181">
        <v>44681</v>
      </c>
      <c r="S4" s="3181"/>
    </row>
    <row r="5" spans="1:25">
      <c r="B5" s="1588"/>
      <c r="C5" s="1220" t="s">
        <v>5</v>
      </c>
      <c r="D5" s="1221" t="s">
        <v>4</v>
      </c>
      <c r="E5" s="1222" t="s">
        <v>532</v>
      </c>
      <c r="F5" s="1588"/>
      <c r="G5" s="1588"/>
      <c r="H5" s="1588"/>
      <c r="I5" s="1588"/>
      <c r="J5" s="1588"/>
      <c r="L5" s="1347"/>
      <c r="P5" s="1588" t="s">
        <v>14</v>
      </c>
      <c r="R5" s="1299"/>
      <c r="S5" s="1239" t="s">
        <v>535</v>
      </c>
    </row>
    <row r="6" spans="1:25">
      <c r="C6" s="1220" t="s">
        <v>15</v>
      </c>
      <c r="D6" s="1221" t="s">
        <v>4</v>
      </c>
      <c r="E6" s="1222" t="s">
        <v>4300</v>
      </c>
      <c r="F6" s="1215"/>
      <c r="G6" s="1215"/>
      <c r="H6" s="1215"/>
      <c r="I6" s="1215"/>
      <c r="P6" s="1588" t="s">
        <v>16</v>
      </c>
      <c r="S6" s="1239" t="s">
        <v>535</v>
      </c>
    </row>
    <row r="7" spans="1:25">
      <c r="C7" s="1220" t="s">
        <v>17</v>
      </c>
      <c r="D7" s="1221" t="s">
        <v>4</v>
      </c>
      <c r="E7" s="1222" t="s">
        <v>11</v>
      </c>
      <c r="F7" s="1215"/>
      <c r="G7" s="1215"/>
      <c r="H7" s="1215"/>
      <c r="I7" s="1215"/>
      <c r="M7" s="1237"/>
      <c r="N7" s="1237"/>
      <c r="P7" s="1588" t="s">
        <v>18</v>
      </c>
      <c r="R7" s="1223"/>
      <c r="S7" s="1239" t="s">
        <v>10</v>
      </c>
    </row>
    <row r="8" spans="1:25">
      <c r="C8" s="1220" t="s">
        <v>19</v>
      </c>
      <c r="D8" s="1221" t="s">
        <v>4</v>
      </c>
      <c r="E8" s="1224">
        <v>2022</v>
      </c>
      <c r="F8" s="1215"/>
      <c r="G8" s="1215"/>
      <c r="H8" s="1215"/>
      <c r="I8" s="1215"/>
      <c r="N8" s="1237"/>
      <c r="O8" s="1299"/>
    </row>
    <row r="9" spans="1:25" ht="14.25" thickBot="1"/>
    <row r="10" spans="1:25" ht="14.25" thickBot="1">
      <c r="B10" s="3038" t="s">
        <v>20</v>
      </c>
      <c r="C10" s="3038" t="s">
        <v>21</v>
      </c>
      <c r="D10" s="3167" t="s">
        <v>22</v>
      </c>
      <c r="E10" s="3170" t="s">
        <v>23</v>
      </c>
      <c r="F10" s="3171"/>
      <c r="G10" s="3171"/>
      <c r="H10" s="3172"/>
      <c r="I10" s="1586"/>
      <c r="J10" s="3176" t="s">
        <v>24</v>
      </c>
      <c r="K10" s="3177"/>
      <c r="L10" s="3177"/>
      <c r="M10" s="3177"/>
      <c r="N10" s="3177"/>
      <c r="O10" s="3177"/>
      <c r="P10" s="3178"/>
      <c r="Q10" s="3170" t="s">
        <v>25</v>
      </c>
      <c r="R10" s="3171"/>
      <c r="S10" s="3172"/>
    </row>
    <row r="11" spans="1:25" ht="15" customHeight="1" thickBot="1">
      <c r="B11" s="3039"/>
      <c r="C11" s="3039"/>
      <c r="D11" s="3168"/>
      <c r="E11" s="3173"/>
      <c r="F11" s="3174"/>
      <c r="G11" s="3174"/>
      <c r="H11" s="3175"/>
      <c r="I11" s="1587"/>
      <c r="J11" s="3176" t="s">
        <v>26</v>
      </c>
      <c r="K11" s="3178"/>
      <c r="L11" s="3176" t="s">
        <v>27</v>
      </c>
      <c r="M11" s="3178"/>
      <c r="N11" s="3176" t="s">
        <v>28</v>
      </c>
      <c r="O11" s="3177"/>
      <c r="P11" s="3178"/>
      <c r="Q11" s="3173"/>
      <c r="R11" s="3174"/>
      <c r="S11" s="3175"/>
    </row>
    <row r="12" spans="1:25" ht="11.25" customHeight="1" thickBot="1">
      <c r="B12" s="3039"/>
      <c r="C12" s="3039"/>
      <c r="D12" s="3168"/>
      <c r="E12" s="3038" t="s">
        <v>29</v>
      </c>
      <c r="F12" s="3038" t="s">
        <v>30</v>
      </c>
      <c r="G12" s="3182" t="s">
        <v>4240</v>
      </c>
      <c r="H12" s="3038" t="s">
        <v>4242</v>
      </c>
      <c r="I12" s="3184" t="s">
        <v>4241</v>
      </c>
      <c r="J12" s="3038" t="s">
        <v>3</v>
      </c>
      <c r="K12" s="3167" t="s">
        <v>32</v>
      </c>
      <c r="L12" s="3194" t="s">
        <v>3</v>
      </c>
      <c r="M12" s="3038" t="s">
        <v>32</v>
      </c>
      <c r="N12" s="3038" t="s">
        <v>3</v>
      </c>
      <c r="O12" s="3038" t="s">
        <v>32</v>
      </c>
      <c r="P12" s="3038" t="s">
        <v>0</v>
      </c>
      <c r="Q12" s="3038" t="s">
        <v>3</v>
      </c>
      <c r="R12" s="3186" t="s">
        <v>32</v>
      </c>
      <c r="S12" s="3038" t="s">
        <v>0</v>
      </c>
      <c r="W12" s="3188" t="s">
        <v>3613</v>
      </c>
      <c r="X12" s="3189"/>
      <c r="Y12" s="3190"/>
    </row>
    <row r="13" spans="1:25" ht="11.25" customHeight="1" thickBot="1">
      <c r="B13" s="3040"/>
      <c r="C13" s="3040"/>
      <c r="D13" s="3169"/>
      <c r="E13" s="3040"/>
      <c r="F13" s="3040"/>
      <c r="G13" s="3183"/>
      <c r="H13" s="3040"/>
      <c r="I13" s="3185"/>
      <c r="J13" s="3040"/>
      <c r="K13" s="3169"/>
      <c r="L13" s="3195"/>
      <c r="M13" s="3040"/>
      <c r="N13" s="3040"/>
      <c r="O13" s="3040"/>
      <c r="P13" s="3040"/>
      <c r="Q13" s="3040"/>
      <c r="R13" s="3187"/>
      <c r="S13" s="3040"/>
    </row>
    <row r="14" spans="1:25" ht="11.25" customHeight="1" thickBot="1">
      <c r="B14" s="1354"/>
      <c r="C14" s="1355"/>
      <c r="D14" s="1356"/>
      <c r="E14" s="1354"/>
      <c r="F14" s="1355"/>
      <c r="G14" s="1355"/>
      <c r="H14" s="1585"/>
      <c r="I14" s="1355"/>
      <c r="J14" s="1354"/>
      <c r="K14" s="1356"/>
      <c r="L14" s="1911"/>
      <c r="M14" s="1355"/>
      <c r="N14" s="1354"/>
      <c r="O14" s="1355"/>
      <c r="P14" s="1585"/>
      <c r="Q14" s="1354"/>
      <c r="R14" s="1747"/>
      <c r="S14" s="1585"/>
    </row>
    <row r="15" spans="1:25" s="1229" customFormat="1" ht="11.25" customHeight="1">
      <c r="A15" s="1229" t="s">
        <v>3619</v>
      </c>
      <c r="B15" s="1912" t="s">
        <v>33</v>
      </c>
      <c r="C15" s="1913" t="s">
        <v>4219</v>
      </c>
      <c r="D15" s="1914"/>
      <c r="E15" s="1915"/>
      <c r="F15" s="1916"/>
      <c r="G15" s="1917"/>
      <c r="H15" s="1918"/>
      <c r="I15" s="1919"/>
      <c r="J15" s="1920"/>
      <c r="K15" s="1921"/>
      <c r="L15" s="1922"/>
      <c r="M15" s="1923"/>
      <c r="N15" s="1227"/>
      <c r="O15" s="1924"/>
      <c r="P15" s="1228"/>
      <c r="Q15" s="1227"/>
      <c r="R15" s="1925"/>
      <c r="S15" s="1228"/>
      <c r="T15" s="1926"/>
      <c r="U15" s="1926"/>
      <c r="V15" s="1926"/>
      <c r="W15" s="1231" t="s">
        <v>3614</v>
      </c>
      <c r="X15" s="1231"/>
      <c r="Y15" s="1230">
        <f>SUM(M16:M36)</f>
        <v>0</v>
      </c>
    </row>
    <row r="16" spans="1:25" s="1231" customFormat="1" ht="11.25" customHeight="1">
      <c r="B16" s="1927" t="s">
        <v>35</v>
      </c>
      <c r="C16" s="1928" t="s">
        <v>4220</v>
      </c>
      <c r="D16" s="1929" t="s">
        <v>36</v>
      </c>
      <c r="E16" s="1930">
        <v>200</v>
      </c>
      <c r="F16" s="1931">
        <v>205.8</v>
      </c>
      <c r="G16" s="1932">
        <v>205.8</v>
      </c>
      <c r="H16" s="1933">
        <f>+E16*F16</f>
        <v>41160</v>
      </c>
      <c r="I16" s="1933">
        <f>+E16*G16</f>
        <v>41160</v>
      </c>
      <c r="J16" s="1934">
        <v>200</v>
      </c>
      <c r="K16" s="1232">
        <f>J16*G16</f>
        <v>41160</v>
      </c>
      <c r="L16" s="1935">
        <v>0</v>
      </c>
      <c r="M16" s="1936">
        <f>L16*F16</f>
        <v>0</v>
      </c>
      <c r="N16" s="1233">
        <f>J16+L16</f>
        <v>200</v>
      </c>
      <c r="O16" s="1363">
        <f>N16*G16</f>
        <v>41160</v>
      </c>
      <c r="P16" s="1937">
        <f>+IF(D16=0,"",O16/I16)</f>
        <v>1</v>
      </c>
      <c r="Q16" s="1938">
        <f>E16-N16</f>
        <v>0</v>
      </c>
      <c r="R16" s="1234">
        <f>ROUND((Q16*F16),2)</f>
        <v>0</v>
      </c>
      <c r="S16" s="1939">
        <f>+IF(H16=0,"",R16/H16)</f>
        <v>0</v>
      </c>
      <c r="T16" s="1230">
        <f>+R16+O16</f>
        <v>41160</v>
      </c>
      <c r="U16" s="1230">
        <f>+H16</f>
        <v>41160</v>
      </c>
      <c r="V16" s="1230">
        <f>+U16-T16</f>
        <v>0</v>
      </c>
      <c r="W16" s="1231" t="s">
        <v>1233</v>
      </c>
      <c r="Y16" s="1940" t="e">
        <f>SUM(#REF!)</f>
        <v>#REF!</v>
      </c>
    </row>
    <row r="17" spans="1:27" s="1231" customFormat="1" ht="11.25" customHeight="1" thickBot="1">
      <c r="B17" s="1927" t="s">
        <v>39</v>
      </c>
      <c r="C17" s="1928" t="s">
        <v>4221</v>
      </c>
      <c r="D17" s="1929" t="s">
        <v>36</v>
      </c>
      <c r="E17" s="1930">
        <v>6</v>
      </c>
      <c r="F17" s="1931">
        <v>74</v>
      </c>
      <c r="G17" s="1932">
        <v>74</v>
      </c>
      <c r="H17" s="1933">
        <f>+E17*F17</f>
        <v>444</v>
      </c>
      <c r="I17" s="1933">
        <f t="shared" ref="I17:I36" si="0">+E17*G17</f>
        <v>444</v>
      </c>
      <c r="J17" s="1934">
        <v>6</v>
      </c>
      <c r="K17" s="1232">
        <f>J17*G17</f>
        <v>444</v>
      </c>
      <c r="L17" s="1935">
        <v>0</v>
      </c>
      <c r="M17" s="1936">
        <f>L17*F17</f>
        <v>0</v>
      </c>
      <c r="N17" s="1233">
        <f>J17+L17</f>
        <v>6</v>
      </c>
      <c r="O17" s="1363">
        <f>N17*G17</f>
        <v>444</v>
      </c>
      <c r="P17" s="1937">
        <f>+IF(D17=0,"",O17/I17)</f>
        <v>1</v>
      </c>
      <c r="Q17" s="1938"/>
      <c r="R17" s="1234"/>
      <c r="S17" s="1939"/>
      <c r="T17" s="1230"/>
      <c r="U17" s="1230"/>
      <c r="V17" s="1230"/>
      <c r="Y17" s="1940"/>
    </row>
    <row r="18" spans="1:27" s="1229" customFormat="1" ht="10.9" customHeight="1">
      <c r="B18" s="1941" t="s">
        <v>42</v>
      </c>
      <c r="C18" s="1913" t="s">
        <v>4219</v>
      </c>
      <c r="D18" s="1942"/>
      <c r="E18" s="1943"/>
      <c r="F18" s="1944"/>
      <c r="G18" s="1945"/>
      <c r="H18" s="1946"/>
      <c r="I18" s="1933"/>
      <c r="J18" s="1934"/>
      <c r="K18" s="1232"/>
      <c r="L18" s="1935"/>
      <c r="M18" s="1936"/>
      <c r="N18" s="1233"/>
      <c r="O18" s="1363"/>
      <c r="P18" s="1937"/>
      <c r="Q18" s="1938"/>
      <c r="R18" s="1234"/>
      <c r="S18" s="1939"/>
      <c r="T18" s="1230">
        <f t="shared" ref="T18:T36" si="1">+R18+O18</f>
        <v>0</v>
      </c>
      <c r="U18" s="1230">
        <f>+H18</f>
        <v>0</v>
      </c>
      <c r="V18" s="1230">
        <f t="shared" ref="V18:V36" si="2">+U18-T18</f>
        <v>0</v>
      </c>
      <c r="W18" s="1231" t="s">
        <v>3616</v>
      </c>
      <c r="X18" s="1231"/>
      <c r="Y18" s="1940" t="e">
        <f>SUM(#REF!)</f>
        <v>#REF!</v>
      </c>
    </row>
    <row r="19" spans="1:27" s="1229" customFormat="1" ht="11.25" customHeight="1">
      <c r="B19" s="1927" t="s">
        <v>43</v>
      </c>
      <c r="C19" s="1928" t="s">
        <v>4222</v>
      </c>
      <c r="D19" s="1929" t="s">
        <v>36</v>
      </c>
      <c r="E19" s="1930">
        <v>200</v>
      </c>
      <c r="F19" s="1931">
        <v>182.5</v>
      </c>
      <c r="G19" s="1932">
        <v>182.5</v>
      </c>
      <c r="H19" s="1933">
        <f>+E19*F19</f>
        <v>36500</v>
      </c>
      <c r="I19" s="1933">
        <f t="shared" si="0"/>
        <v>36500</v>
      </c>
      <c r="J19" s="1934">
        <v>200</v>
      </c>
      <c r="K19" s="1232">
        <f t="shared" ref="K19:K20" si="3">J19*G19</f>
        <v>36500</v>
      </c>
      <c r="L19" s="1935">
        <v>0</v>
      </c>
      <c r="M19" s="1936">
        <f>L19*F19</f>
        <v>0</v>
      </c>
      <c r="N19" s="1233">
        <f>J19+L19</f>
        <v>200</v>
      </c>
      <c r="O19" s="1363">
        <f t="shared" ref="O19:O20" si="4">N19*G19</f>
        <v>36500</v>
      </c>
      <c r="P19" s="1937">
        <f t="shared" ref="P19:P20" si="5">+IF(D19=0,"",O19/I19)</f>
        <v>1</v>
      </c>
      <c r="Q19" s="1938">
        <f>E19-N19</f>
        <v>0</v>
      </c>
      <c r="R19" s="1234">
        <f>ROUND((Q19*F19),2)</f>
        <v>0</v>
      </c>
      <c r="S19" s="1939">
        <f>+IF(H19=0,"",R19/H19)</f>
        <v>0</v>
      </c>
      <c r="T19" s="1230">
        <f t="shared" si="1"/>
        <v>36500</v>
      </c>
      <c r="U19" s="1230">
        <f>+H19</f>
        <v>36500</v>
      </c>
      <c r="V19" s="1230">
        <f t="shared" si="2"/>
        <v>0</v>
      </c>
      <c r="W19" s="1231" t="s">
        <v>3617</v>
      </c>
      <c r="X19" s="1231"/>
      <c r="Y19" s="1940" t="e">
        <f>SUM(#REF!)</f>
        <v>#REF!</v>
      </c>
    </row>
    <row r="20" spans="1:27" s="1231" customFormat="1" ht="11.25" customHeight="1" thickBot="1">
      <c r="B20" s="1927" t="s">
        <v>44</v>
      </c>
      <c r="C20" s="1928" t="s">
        <v>4223</v>
      </c>
      <c r="D20" s="1929" t="s">
        <v>36</v>
      </c>
      <c r="E20" s="1930">
        <v>6</v>
      </c>
      <c r="F20" s="1931">
        <v>780</v>
      </c>
      <c r="G20" s="1932">
        <v>780</v>
      </c>
      <c r="H20" s="1933">
        <f>+E20*F20</f>
        <v>4680</v>
      </c>
      <c r="I20" s="1933">
        <f t="shared" si="0"/>
        <v>4680</v>
      </c>
      <c r="J20" s="1934">
        <v>6</v>
      </c>
      <c r="K20" s="1232">
        <f t="shared" si="3"/>
        <v>4680</v>
      </c>
      <c r="L20" s="1935">
        <v>0</v>
      </c>
      <c r="M20" s="1936">
        <f>L20*F20</f>
        <v>0</v>
      </c>
      <c r="N20" s="1233">
        <f>J20+L20</f>
        <v>6</v>
      </c>
      <c r="O20" s="1363">
        <f t="shared" si="4"/>
        <v>4680</v>
      </c>
      <c r="P20" s="1937">
        <f t="shared" si="5"/>
        <v>1</v>
      </c>
      <c r="Q20" s="1938">
        <f>E20-N20</f>
        <v>0</v>
      </c>
      <c r="R20" s="1234">
        <f>ROUND((Q20*F20),2)</f>
        <v>0</v>
      </c>
      <c r="S20" s="1939">
        <f>+IF(H20=0,"",R20/H20)</f>
        <v>0</v>
      </c>
      <c r="T20" s="1230">
        <f t="shared" si="1"/>
        <v>4680</v>
      </c>
      <c r="U20" s="1230">
        <f>+H20</f>
        <v>4680</v>
      </c>
      <c r="V20" s="1230">
        <f t="shared" si="2"/>
        <v>0</v>
      </c>
      <c r="W20" s="1231" t="s">
        <v>3618</v>
      </c>
      <c r="Y20" s="1940" t="e">
        <f>SUM(#REF!)</f>
        <v>#REF!</v>
      </c>
    </row>
    <row r="21" spans="1:27" s="1231" customFormat="1" ht="11.25" customHeight="1">
      <c r="B21" s="1941" t="s">
        <v>45</v>
      </c>
      <c r="C21" s="1913" t="s">
        <v>4224</v>
      </c>
      <c r="D21" s="1929"/>
      <c r="E21" s="1930"/>
      <c r="F21" s="1931"/>
      <c r="G21" s="1932"/>
      <c r="H21" s="1933"/>
      <c r="I21" s="1933"/>
      <c r="J21" s="1934"/>
      <c r="K21" s="1232"/>
      <c r="L21" s="1935"/>
      <c r="M21" s="1936"/>
      <c r="N21" s="1233"/>
      <c r="O21" s="1363"/>
      <c r="P21" s="1937"/>
      <c r="Q21" s="1938"/>
      <c r="R21" s="1234"/>
      <c r="S21" s="1939"/>
      <c r="T21" s="1230"/>
      <c r="U21" s="1230"/>
      <c r="V21" s="1230"/>
      <c r="Y21" s="1940"/>
    </row>
    <row r="22" spans="1:27" s="1229" customFormat="1" ht="11.25" customHeight="1" thickBot="1">
      <c r="B22" s="1927" t="s">
        <v>47</v>
      </c>
      <c r="C22" s="1928" t="s">
        <v>4225</v>
      </c>
      <c r="D22" s="1929" t="s">
        <v>41</v>
      </c>
      <c r="E22" s="1930">
        <v>1</v>
      </c>
      <c r="F22" s="1931">
        <v>4300</v>
      </c>
      <c r="G22" s="1932">
        <v>4300</v>
      </c>
      <c r="H22" s="1933">
        <f>+E22*F22</f>
        <v>4300</v>
      </c>
      <c r="I22" s="1933">
        <f t="shared" si="0"/>
        <v>4300</v>
      </c>
      <c r="J22" s="1934">
        <v>1</v>
      </c>
      <c r="K22" s="1232">
        <f>J22*G22</f>
        <v>4300</v>
      </c>
      <c r="L22" s="1935">
        <v>0</v>
      </c>
      <c r="M22" s="1936">
        <f>L22*F22</f>
        <v>0</v>
      </c>
      <c r="N22" s="1233">
        <f>J22+L22</f>
        <v>1</v>
      </c>
      <c r="O22" s="1363">
        <f>N22*G22</f>
        <v>4300</v>
      </c>
      <c r="P22" s="1937">
        <f>+IF(D22=0,"",O22/I22)</f>
        <v>1</v>
      </c>
      <c r="Q22" s="1938">
        <f>E22-N22</f>
        <v>0</v>
      </c>
      <c r="R22" s="1234">
        <f>ROUND((Q22*F22),2)</f>
        <v>0</v>
      </c>
      <c r="S22" s="1939">
        <f>+IF(H22=0,"",R22/H22)</f>
        <v>0</v>
      </c>
      <c r="T22" s="1230">
        <f t="shared" si="1"/>
        <v>4300</v>
      </c>
      <c r="U22" s="1230">
        <f>+H22</f>
        <v>4300</v>
      </c>
      <c r="V22" s="1230">
        <f t="shared" si="2"/>
        <v>0</v>
      </c>
    </row>
    <row r="23" spans="1:27" s="1229" customFormat="1" ht="11.25" customHeight="1">
      <c r="B23" s="1941" t="s">
        <v>487</v>
      </c>
      <c r="C23" s="1913" t="s">
        <v>4226</v>
      </c>
      <c r="D23" s="1929"/>
      <c r="E23" s="1930"/>
      <c r="F23" s="1931"/>
      <c r="G23" s="1932"/>
      <c r="H23" s="1933"/>
      <c r="I23" s="1933"/>
      <c r="J23" s="1934"/>
      <c r="K23" s="1232"/>
      <c r="L23" s="1935"/>
      <c r="M23" s="1936"/>
      <c r="N23" s="1233"/>
      <c r="O23" s="1363"/>
      <c r="P23" s="1937"/>
      <c r="Q23" s="1938"/>
      <c r="R23" s="1234"/>
      <c r="S23" s="1939"/>
      <c r="T23" s="1230"/>
      <c r="U23" s="1230"/>
      <c r="V23" s="1230"/>
    </row>
    <row r="24" spans="1:27" s="1231" customFormat="1" ht="11.25" customHeight="1" thickBot="1">
      <c r="B24" s="1927" t="s">
        <v>488</v>
      </c>
      <c r="C24" s="1928" t="s">
        <v>4226</v>
      </c>
      <c r="D24" s="1929" t="s">
        <v>41</v>
      </c>
      <c r="E24" s="1930">
        <v>1</v>
      </c>
      <c r="F24" s="1931">
        <v>4880</v>
      </c>
      <c r="G24" s="1932">
        <v>4880</v>
      </c>
      <c r="H24" s="1933">
        <f>+E24*F24</f>
        <v>4880</v>
      </c>
      <c r="I24" s="1933">
        <f t="shared" si="0"/>
        <v>4880</v>
      </c>
      <c r="J24" s="1934">
        <v>1</v>
      </c>
      <c r="K24" s="1232">
        <f>J24*G24</f>
        <v>4880</v>
      </c>
      <c r="L24" s="1935">
        <v>0</v>
      </c>
      <c r="M24" s="1936">
        <f>L24*F24</f>
        <v>0</v>
      </c>
      <c r="N24" s="1233">
        <f>J24+L24</f>
        <v>1</v>
      </c>
      <c r="O24" s="1363">
        <f>N24*G24</f>
        <v>4880</v>
      </c>
      <c r="P24" s="1937">
        <f>+IF(D24=0,"",O24/I24)</f>
        <v>1</v>
      </c>
      <c r="Q24" s="1938">
        <f>E24-N24</f>
        <v>0</v>
      </c>
      <c r="R24" s="1234">
        <f>ROUND((Q24*F24),2)</f>
        <v>0</v>
      </c>
      <c r="S24" s="1939">
        <f>+IF(H24=0,"",R24/H24)</f>
        <v>0</v>
      </c>
      <c r="T24" s="1230">
        <f t="shared" si="1"/>
        <v>4880</v>
      </c>
      <c r="U24" s="1230">
        <f>+H24</f>
        <v>4880</v>
      </c>
      <c r="V24" s="1230">
        <f t="shared" si="2"/>
        <v>0</v>
      </c>
      <c r="X24" s="1229" t="s">
        <v>2</v>
      </c>
      <c r="Y24" s="1926" t="e">
        <f>SUM(Y15:Y22)</f>
        <v>#REF!</v>
      </c>
      <c r="Z24" s="1230">
        <f>+M37</f>
        <v>0</v>
      </c>
      <c r="AA24" s="1230" t="e">
        <f>+Y24-Z24</f>
        <v>#REF!</v>
      </c>
    </row>
    <row r="25" spans="1:27" s="1231" customFormat="1" ht="11.25" customHeight="1">
      <c r="B25" s="1941" t="s">
        <v>510</v>
      </c>
      <c r="C25" s="1913" t="s">
        <v>4227</v>
      </c>
      <c r="D25" s="1929"/>
      <c r="E25" s="1930"/>
      <c r="F25" s="1931"/>
      <c r="G25" s="1932"/>
      <c r="H25" s="1933"/>
      <c r="I25" s="1933"/>
      <c r="J25" s="1934"/>
      <c r="K25" s="1232"/>
      <c r="L25" s="1935"/>
      <c r="M25" s="1936"/>
      <c r="N25" s="1233"/>
      <c r="O25" s="1363"/>
      <c r="P25" s="1937"/>
      <c r="Q25" s="1938"/>
      <c r="R25" s="1234"/>
      <c r="S25" s="1939"/>
      <c r="T25" s="1230"/>
      <c r="U25" s="1230"/>
      <c r="V25" s="1230"/>
      <c r="X25" s="1229"/>
      <c r="Y25" s="1926"/>
      <c r="Z25" s="1230"/>
      <c r="AA25" s="1230"/>
    </row>
    <row r="26" spans="1:27" s="1231" customFormat="1" ht="11.25" customHeight="1" thickBot="1">
      <c r="B26" s="1927" t="s">
        <v>511</v>
      </c>
      <c r="C26" s="1928" t="s">
        <v>4228</v>
      </c>
      <c r="D26" s="1929" t="s">
        <v>41</v>
      </c>
      <c r="E26" s="1930">
        <v>1</v>
      </c>
      <c r="F26" s="1931">
        <v>5520</v>
      </c>
      <c r="G26" s="1932">
        <v>5520</v>
      </c>
      <c r="H26" s="1933">
        <f>+E26*F26</f>
        <v>5520</v>
      </c>
      <c r="I26" s="1933">
        <f t="shared" si="0"/>
        <v>5520</v>
      </c>
      <c r="J26" s="1934">
        <v>1</v>
      </c>
      <c r="K26" s="1232">
        <f>J26*G26</f>
        <v>5520</v>
      </c>
      <c r="L26" s="1935">
        <v>0</v>
      </c>
      <c r="M26" s="1936">
        <f>L26*F26</f>
        <v>0</v>
      </c>
      <c r="N26" s="1233">
        <f>J26+L26</f>
        <v>1</v>
      </c>
      <c r="O26" s="1363">
        <f>N26*G26</f>
        <v>5520</v>
      </c>
      <c r="P26" s="1937">
        <f>+IF(D26=0,"",O26/I26)</f>
        <v>1</v>
      </c>
      <c r="Q26" s="1938">
        <f>E26-N26</f>
        <v>0</v>
      </c>
      <c r="R26" s="1234">
        <f>ROUND((Q26*F26),2)</f>
        <v>0</v>
      </c>
      <c r="S26" s="1939">
        <f>+IF(H26=0,"",R26/H26)</f>
        <v>0</v>
      </c>
      <c r="T26" s="1230">
        <f t="shared" si="1"/>
        <v>5520</v>
      </c>
      <c r="U26" s="1230">
        <f>+H26</f>
        <v>5520</v>
      </c>
      <c r="V26" s="1230">
        <f t="shared" si="2"/>
        <v>0</v>
      </c>
    </row>
    <row r="27" spans="1:27" s="1231" customFormat="1" ht="11.25" customHeight="1">
      <c r="B27" s="1941" t="s">
        <v>513</v>
      </c>
      <c r="C27" s="1913" t="s">
        <v>4229</v>
      </c>
      <c r="D27" s="1929"/>
      <c r="E27" s="1930"/>
      <c r="F27" s="1931"/>
      <c r="G27" s="1932"/>
      <c r="H27" s="1933"/>
      <c r="I27" s="1933"/>
      <c r="J27" s="1934"/>
      <c r="K27" s="1232"/>
      <c r="L27" s="1935"/>
      <c r="M27" s="1936"/>
      <c r="N27" s="1233"/>
      <c r="O27" s="1363"/>
      <c r="P27" s="1937"/>
      <c r="Q27" s="1938"/>
      <c r="R27" s="1234"/>
      <c r="S27" s="1939"/>
      <c r="T27" s="1230"/>
      <c r="U27" s="1230"/>
      <c r="V27" s="1230"/>
    </row>
    <row r="28" spans="1:27" s="1231" customFormat="1" ht="11.25" customHeight="1" thickBot="1">
      <c r="A28" s="1231" t="s">
        <v>3619</v>
      </c>
      <c r="B28" s="1927" t="s">
        <v>514</v>
      </c>
      <c r="C28" s="1928" t="s">
        <v>4229</v>
      </c>
      <c r="D28" s="1929" t="s">
        <v>41</v>
      </c>
      <c r="E28" s="1930">
        <v>1</v>
      </c>
      <c r="F28" s="1931">
        <v>5530</v>
      </c>
      <c r="G28" s="1932">
        <v>5530</v>
      </c>
      <c r="H28" s="1933">
        <f>+E28*F28</f>
        <v>5530</v>
      </c>
      <c r="I28" s="1933">
        <f t="shared" si="0"/>
        <v>5530</v>
      </c>
      <c r="J28" s="1934">
        <v>1</v>
      </c>
      <c r="K28" s="1232">
        <f>J28*G28</f>
        <v>5530</v>
      </c>
      <c r="L28" s="1935">
        <v>0</v>
      </c>
      <c r="M28" s="1936">
        <f>L28*F28</f>
        <v>0</v>
      </c>
      <c r="N28" s="1233">
        <f>J28+L28</f>
        <v>1</v>
      </c>
      <c r="O28" s="1363">
        <f>N28*G28</f>
        <v>5530</v>
      </c>
      <c r="P28" s="1937">
        <f>+IF(D28=0,"",O28/I28)</f>
        <v>1</v>
      </c>
      <c r="Q28" s="1938">
        <f>E28-N28</f>
        <v>0</v>
      </c>
      <c r="R28" s="1234">
        <f>ROUND((Q28*F28),2)</f>
        <v>0</v>
      </c>
      <c r="S28" s="1939">
        <f>+IF(H28=0,"",R28/H28)</f>
        <v>0</v>
      </c>
      <c r="T28" s="1230">
        <f t="shared" si="1"/>
        <v>5530</v>
      </c>
      <c r="U28" s="1230">
        <f>+H28</f>
        <v>5530</v>
      </c>
      <c r="V28" s="1230">
        <f t="shared" si="2"/>
        <v>0</v>
      </c>
    </row>
    <row r="29" spans="1:27" s="1231" customFormat="1" ht="11.25" customHeight="1">
      <c r="B29" s="1941" t="s">
        <v>1877</v>
      </c>
      <c r="C29" s="1913" t="s">
        <v>4230</v>
      </c>
      <c r="D29" s="1929"/>
      <c r="E29" s="1930"/>
      <c r="F29" s="1931"/>
      <c r="G29" s="1932"/>
      <c r="H29" s="1933"/>
      <c r="I29" s="1933"/>
      <c r="J29" s="1934"/>
      <c r="K29" s="1232"/>
      <c r="L29" s="1935"/>
      <c r="M29" s="1936"/>
      <c r="N29" s="1233"/>
      <c r="O29" s="1363"/>
      <c r="P29" s="1937"/>
      <c r="Q29" s="1938"/>
      <c r="R29" s="1234"/>
      <c r="S29" s="1939"/>
      <c r="T29" s="1230"/>
      <c r="U29" s="1230"/>
      <c r="V29" s="1230"/>
    </row>
    <row r="30" spans="1:27" s="1231" customFormat="1" ht="11.25" customHeight="1" thickBot="1">
      <c r="B30" s="1927" t="s">
        <v>3623</v>
      </c>
      <c r="C30" s="1928" t="s">
        <v>4231</v>
      </c>
      <c r="D30" s="1929" t="s">
        <v>41</v>
      </c>
      <c r="E30" s="1930">
        <v>1</v>
      </c>
      <c r="F30" s="1931">
        <v>2125</v>
      </c>
      <c r="G30" s="1932">
        <v>2125</v>
      </c>
      <c r="H30" s="1933">
        <f>+E30*F30</f>
        <v>2125</v>
      </c>
      <c r="I30" s="1933">
        <f t="shared" si="0"/>
        <v>2125</v>
      </c>
      <c r="J30" s="1934">
        <v>1</v>
      </c>
      <c r="K30" s="1232">
        <f>J30*G30</f>
        <v>2125</v>
      </c>
      <c r="L30" s="1935">
        <v>0</v>
      </c>
      <c r="M30" s="1936">
        <f>L30*F30</f>
        <v>0</v>
      </c>
      <c r="N30" s="1233">
        <f>J30+L30</f>
        <v>1</v>
      </c>
      <c r="O30" s="1363">
        <f>N30*G30</f>
        <v>2125</v>
      </c>
      <c r="P30" s="1937">
        <f>+IF(D30=0,"",O30/I30)</f>
        <v>1</v>
      </c>
      <c r="Q30" s="1938">
        <f>E30-N30</f>
        <v>0</v>
      </c>
      <c r="R30" s="1234">
        <f>ROUND((Q30*F30),2)</f>
        <v>0</v>
      </c>
      <c r="S30" s="1939">
        <f>+IF(H30=0,"",R30/H30)</f>
        <v>0</v>
      </c>
      <c r="T30" s="1230">
        <f t="shared" si="1"/>
        <v>2125</v>
      </c>
      <c r="U30" s="1230">
        <f>+H30</f>
        <v>2125</v>
      </c>
      <c r="V30" s="1230">
        <f t="shared" si="2"/>
        <v>0</v>
      </c>
    </row>
    <row r="31" spans="1:27" s="1231" customFormat="1" ht="11.25" customHeight="1">
      <c r="B31" s="1941" t="s">
        <v>3624</v>
      </c>
      <c r="C31" s="1913" t="s">
        <v>4230</v>
      </c>
      <c r="D31" s="1929"/>
      <c r="E31" s="1930"/>
      <c r="F31" s="1931"/>
      <c r="G31" s="1932"/>
      <c r="H31" s="1933"/>
      <c r="I31" s="1933"/>
      <c r="J31" s="1934"/>
      <c r="K31" s="1232"/>
      <c r="L31" s="1935"/>
      <c r="M31" s="1936"/>
      <c r="N31" s="1233"/>
      <c r="O31" s="1363"/>
      <c r="P31" s="1937"/>
      <c r="Q31" s="1938"/>
      <c r="R31" s="1234"/>
      <c r="S31" s="1939"/>
      <c r="T31" s="1230"/>
      <c r="U31" s="1230"/>
      <c r="V31" s="1230"/>
    </row>
    <row r="32" spans="1:27" s="1229" customFormat="1" ht="11.25" customHeight="1">
      <c r="A32" s="1229" t="s">
        <v>3619</v>
      </c>
      <c r="B32" s="1927" t="s">
        <v>3626</v>
      </c>
      <c r="C32" s="1928" t="s">
        <v>4232</v>
      </c>
      <c r="D32" s="1929" t="s">
        <v>36</v>
      </c>
      <c r="E32" s="1930">
        <v>12</v>
      </c>
      <c r="F32" s="1931">
        <v>391.48</v>
      </c>
      <c r="G32" s="1932">
        <v>395.14</v>
      </c>
      <c r="H32" s="1933">
        <f>+E32*F32</f>
        <v>4697.76</v>
      </c>
      <c r="I32" s="1933">
        <f t="shared" si="0"/>
        <v>4741.68</v>
      </c>
      <c r="J32" s="1934">
        <v>12</v>
      </c>
      <c r="K32" s="1232">
        <f t="shared" ref="K32:K34" si="6">J32*G32</f>
        <v>4741.68</v>
      </c>
      <c r="L32" s="1935">
        <v>0</v>
      </c>
      <c r="M32" s="1936">
        <f>L32*F32</f>
        <v>0</v>
      </c>
      <c r="N32" s="1233">
        <f>J32+L32</f>
        <v>12</v>
      </c>
      <c r="O32" s="1363">
        <f t="shared" ref="O32:O34" si="7">N32*G32</f>
        <v>4741.68</v>
      </c>
      <c r="P32" s="1937">
        <f t="shared" ref="P32:P34" si="8">+IF(D32=0,"",O32/I32)</f>
        <v>1</v>
      </c>
      <c r="Q32" s="1938">
        <f>E32-N32</f>
        <v>0</v>
      </c>
      <c r="R32" s="1234">
        <f>ROUND((Q32*F32),2)</f>
        <v>0</v>
      </c>
      <c r="S32" s="1939">
        <f>+IF(H32=0,"",R32/H32)</f>
        <v>0</v>
      </c>
      <c r="T32" s="1230">
        <f t="shared" si="1"/>
        <v>4741.68</v>
      </c>
      <c r="U32" s="1230">
        <f>+H32</f>
        <v>4697.76</v>
      </c>
      <c r="V32" s="1230">
        <f t="shared" si="2"/>
        <v>-43.920000000000073</v>
      </c>
    </row>
    <row r="33" spans="1:24" s="1231" customFormat="1" ht="11.25" customHeight="1">
      <c r="A33" s="1231" t="s">
        <v>3619</v>
      </c>
      <c r="B33" s="1927" t="s">
        <v>4233</v>
      </c>
      <c r="C33" s="1928" t="s">
        <v>4234</v>
      </c>
      <c r="D33" s="1929" t="s">
        <v>36</v>
      </c>
      <c r="E33" s="1930">
        <v>24</v>
      </c>
      <c r="F33" s="1931">
        <v>135.31</v>
      </c>
      <c r="G33" s="1932">
        <v>137.22999999999999</v>
      </c>
      <c r="H33" s="1933">
        <f>+E33*F33</f>
        <v>3247.44</v>
      </c>
      <c r="I33" s="1933">
        <f t="shared" si="0"/>
        <v>3293.5199999999995</v>
      </c>
      <c r="J33" s="1934">
        <v>24</v>
      </c>
      <c r="K33" s="1232">
        <f t="shared" si="6"/>
        <v>3293.5199999999995</v>
      </c>
      <c r="L33" s="1935">
        <v>0</v>
      </c>
      <c r="M33" s="1936">
        <f>L33*F33</f>
        <v>0</v>
      </c>
      <c r="N33" s="1233">
        <f>J33+L33</f>
        <v>24</v>
      </c>
      <c r="O33" s="1363">
        <f t="shared" si="7"/>
        <v>3293.5199999999995</v>
      </c>
      <c r="P33" s="1937">
        <f t="shared" si="8"/>
        <v>1</v>
      </c>
      <c r="Q33" s="1938">
        <f>E33-N33</f>
        <v>0</v>
      </c>
      <c r="R33" s="1234">
        <f>ROUND((Q33*F33),2)</f>
        <v>0</v>
      </c>
      <c r="S33" s="1939">
        <f>+IF(H33=0,"",R33/H33)</f>
        <v>0</v>
      </c>
      <c r="T33" s="1230">
        <f t="shared" si="1"/>
        <v>3293.5199999999995</v>
      </c>
      <c r="U33" s="1230">
        <f>+H33</f>
        <v>3247.44</v>
      </c>
      <c r="V33" s="1230">
        <f t="shared" si="2"/>
        <v>-46.079999999999472</v>
      </c>
    </row>
    <row r="34" spans="1:24" s="1229" customFormat="1" ht="11.25" customHeight="1" thickBot="1">
      <c r="A34" s="1229" t="s">
        <v>3619</v>
      </c>
      <c r="B34" s="1947" t="s">
        <v>548</v>
      </c>
      <c r="C34" s="1928" t="s">
        <v>4235</v>
      </c>
      <c r="D34" s="1929" t="s">
        <v>36</v>
      </c>
      <c r="E34" s="1930">
        <v>10</v>
      </c>
      <c r="F34" s="1931">
        <v>81.31</v>
      </c>
      <c r="G34" s="1932">
        <v>83.23</v>
      </c>
      <c r="H34" s="1933">
        <f>+E34*F34</f>
        <v>813.1</v>
      </c>
      <c r="I34" s="1933">
        <f t="shared" si="0"/>
        <v>832.30000000000007</v>
      </c>
      <c r="J34" s="1934">
        <v>10</v>
      </c>
      <c r="K34" s="1232">
        <f t="shared" si="6"/>
        <v>832.30000000000007</v>
      </c>
      <c r="L34" s="1935">
        <v>0</v>
      </c>
      <c r="M34" s="1936">
        <f>L34*F34</f>
        <v>0</v>
      </c>
      <c r="N34" s="1233">
        <f>J34+L34</f>
        <v>10</v>
      </c>
      <c r="O34" s="1363">
        <f t="shared" si="7"/>
        <v>832.30000000000007</v>
      </c>
      <c r="P34" s="1937">
        <f t="shared" si="8"/>
        <v>1</v>
      </c>
      <c r="Q34" s="1938">
        <f>E34-N34</f>
        <v>0</v>
      </c>
      <c r="R34" s="1234">
        <f>ROUND((Q34*F34),2)</f>
        <v>0</v>
      </c>
      <c r="S34" s="1939">
        <f>+IF(H34=0,"",R34/H34)</f>
        <v>0</v>
      </c>
      <c r="T34" s="1230">
        <f t="shared" si="1"/>
        <v>832.30000000000007</v>
      </c>
      <c r="U34" s="1230">
        <f>+H34</f>
        <v>813.1</v>
      </c>
      <c r="V34" s="1230">
        <f t="shared" si="2"/>
        <v>-19.200000000000045</v>
      </c>
    </row>
    <row r="35" spans="1:24" s="1229" customFormat="1" ht="11.25" customHeight="1">
      <c r="B35" s="1941" t="s">
        <v>4236</v>
      </c>
      <c r="C35" s="1913" t="s">
        <v>4237</v>
      </c>
      <c r="D35" s="1929"/>
      <c r="E35" s="1930"/>
      <c r="F35" s="1931"/>
      <c r="G35" s="1932"/>
      <c r="H35" s="1933"/>
      <c r="I35" s="1933"/>
      <c r="J35" s="1934"/>
      <c r="K35" s="1232"/>
      <c r="L35" s="1935"/>
      <c r="M35" s="1936"/>
      <c r="N35" s="1233"/>
      <c r="O35" s="1363"/>
      <c r="P35" s="1937"/>
      <c r="Q35" s="1938"/>
      <c r="R35" s="1234"/>
      <c r="S35" s="1939"/>
      <c r="T35" s="1230"/>
      <c r="U35" s="1230"/>
      <c r="V35" s="1230"/>
    </row>
    <row r="36" spans="1:24" s="1229" customFormat="1" ht="15" customHeight="1" thickBot="1">
      <c r="B36" s="1927" t="s">
        <v>4238</v>
      </c>
      <c r="C36" s="1928" t="s">
        <v>4239</v>
      </c>
      <c r="D36" s="1929" t="s">
        <v>36</v>
      </c>
      <c r="E36" s="1930">
        <v>300</v>
      </c>
      <c r="F36" s="1931">
        <v>170</v>
      </c>
      <c r="G36" s="1932">
        <v>170</v>
      </c>
      <c r="H36" s="1933">
        <f>+E36*F36</f>
        <v>51000</v>
      </c>
      <c r="I36" s="1933">
        <f t="shared" si="0"/>
        <v>51000</v>
      </c>
      <c r="J36" s="1934">
        <v>300</v>
      </c>
      <c r="K36" s="1232">
        <f>J36*G36</f>
        <v>51000</v>
      </c>
      <c r="L36" s="1935">
        <v>0</v>
      </c>
      <c r="M36" s="1936">
        <f>L36*F36</f>
        <v>0</v>
      </c>
      <c r="N36" s="1233">
        <f>J36+L36</f>
        <v>300</v>
      </c>
      <c r="O36" s="1363">
        <f>N36*G36</f>
        <v>51000</v>
      </c>
      <c r="P36" s="1937">
        <f>+IF(D36=0,"",O36/I36)</f>
        <v>1</v>
      </c>
      <c r="Q36" s="1938">
        <f>E36-N36</f>
        <v>0</v>
      </c>
      <c r="R36" s="1234">
        <f>ROUND((Q36*F36),2)</f>
        <v>0</v>
      </c>
      <c r="S36" s="1939">
        <f>+IF(H36=0,"",R36/H36)</f>
        <v>0</v>
      </c>
      <c r="T36" s="1230">
        <f t="shared" si="1"/>
        <v>51000</v>
      </c>
      <c r="U36" s="1230">
        <f>+H36</f>
        <v>51000</v>
      </c>
      <c r="V36" s="1230">
        <f t="shared" si="2"/>
        <v>0</v>
      </c>
    </row>
    <row r="37" spans="1:24" s="561" customFormat="1" ht="15.6" customHeight="1">
      <c r="B37" s="1253"/>
      <c r="C37" s="1325" t="s">
        <v>59</v>
      </c>
      <c r="D37" s="1326"/>
      <c r="E37" s="1326"/>
      <c r="F37" s="1326"/>
      <c r="G37" s="1326"/>
      <c r="H37" s="1327">
        <f>(SUM(H16:H36))</f>
        <v>164897.29999999999</v>
      </c>
      <c r="I37" s="1327">
        <f>(SUM(I16:I36))</f>
        <v>165006.5</v>
      </c>
      <c r="J37" s="1900">
        <f>K37/I37</f>
        <v>1</v>
      </c>
      <c r="K37" s="1328">
        <f>SUM(K16:K36)</f>
        <v>165006.5</v>
      </c>
      <c r="L37" s="1329">
        <f>M37/H37</f>
        <v>0</v>
      </c>
      <c r="M37" s="1328">
        <f>SUM(M16:M36)</f>
        <v>0</v>
      </c>
      <c r="N37" s="1329">
        <f>O37/I37</f>
        <v>1</v>
      </c>
      <c r="O37" s="1328">
        <f>SUM(O16:O36)</f>
        <v>165006.5</v>
      </c>
      <c r="P37" s="1329"/>
      <c r="Q37" s="1254"/>
      <c r="R37" s="1327">
        <f>SUM(R16:R36)</f>
        <v>0</v>
      </c>
      <c r="S37" s="1373">
        <f>R37/I37</f>
        <v>0</v>
      </c>
      <c r="T37" s="562">
        <f>+R37+O37</f>
        <v>165006.5</v>
      </c>
      <c r="U37" s="562"/>
      <c r="V37" s="562"/>
      <c r="W37" s="562">
        <f>+H37</f>
        <v>164897.29999999999</v>
      </c>
      <c r="X37" s="562">
        <f>+T37-W37</f>
        <v>109.20000000001164</v>
      </c>
    </row>
    <row r="38" spans="1:24" s="561" customFormat="1" ht="14.45" customHeight="1">
      <c r="B38" s="1255"/>
      <c r="C38" s="1335" t="s">
        <v>256</v>
      </c>
      <c r="D38" s="1436"/>
      <c r="E38" s="1330"/>
      <c r="F38" s="1330"/>
      <c r="G38" s="1330"/>
      <c r="H38" s="1331">
        <v>100529.56</v>
      </c>
      <c r="I38" s="1331">
        <v>100529.56</v>
      </c>
      <c r="J38" s="1948"/>
      <c r="K38" s="1332">
        <f>+I38</f>
        <v>100529.56</v>
      </c>
      <c r="L38" s="1333"/>
      <c r="M38" s="1332">
        <v>0</v>
      </c>
      <c r="N38" s="1333"/>
      <c r="O38" s="1332">
        <f>K38+M38</f>
        <v>100529.56</v>
      </c>
      <c r="P38" s="1333"/>
      <c r="Q38" s="1275"/>
      <c r="R38" s="1331">
        <f>H38-O38</f>
        <v>0</v>
      </c>
      <c r="S38" s="1334"/>
      <c r="T38" s="562"/>
      <c r="U38" s="562"/>
      <c r="V38" s="562"/>
      <c r="W38" s="562"/>
    </row>
    <row r="39" spans="1:24" s="1229" customFormat="1" ht="15.75" customHeight="1" thickBot="1">
      <c r="B39" s="1256"/>
      <c r="C39" s="1808" t="s">
        <v>61</v>
      </c>
      <c r="D39" s="1257"/>
      <c r="E39" s="1257"/>
      <c r="F39" s="1257"/>
      <c r="G39" s="1257"/>
      <c r="H39" s="1258">
        <f>+H38+H37</f>
        <v>265426.86</v>
      </c>
      <c r="I39" s="1258">
        <f>+I38+I37</f>
        <v>265536.06</v>
      </c>
      <c r="J39" s="1261">
        <f>K39/I39</f>
        <v>1</v>
      </c>
      <c r="K39" s="1259">
        <f>+K38+K37</f>
        <v>265536.06</v>
      </c>
      <c r="L39" s="1261">
        <f>M39/H39</f>
        <v>0</v>
      </c>
      <c r="M39" s="1259">
        <f>+M38+M37</f>
        <v>0</v>
      </c>
      <c r="N39" s="1261">
        <f>O39/I39</f>
        <v>1</v>
      </c>
      <c r="O39" s="1259">
        <f>+O38+O37</f>
        <v>265536.06</v>
      </c>
      <c r="P39" s="1261"/>
      <c r="Q39" s="1260"/>
      <c r="R39" s="1258">
        <f>+R38+R37</f>
        <v>0</v>
      </c>
      <c r="S39" s="1949">
        <f>R39/H39</f>
        <v>0</v>
      </c>
      <c r="T39" s="562">
        <f>+H39</f>
        <v>265426.86</v>
      </c>
      <c r="U39" s="562"/>
      <c r="V39" s="562"/>
      <c r="W39" s="562">
        <f>+O39+R39</f>
        <v>265536.06</v>
      </c>
      <c r="X39" s="562">
        <f>+T39-W39</f>
        <v>-109.20000000001164</v>
      </c>
    </row>
    <row r="40" spans="1:24" s="561" customFormat="1" ht="12.75" hidden="1">
      <c r="B40" s="1244"/>
      <c r="C40" s="1246"/>
      <c r="D40" s="1247"/>
      <c r="E40" s="1248"/>
      <c r="F40" s="1249"/>
      <c r="G40" s="1249"/>
      <c r="H40" s="1250"/>
      <c r="I40" s="1250"/>
      <c r="J40" s="1251"/>
      <c r="K40" s="1252"/>
      <c r="L40" s="1251"/>
      <c r="M40" s="1251"/>
      <c r="N40" s="1247"/>
      <c r="O40" s="1251"/>
      <c r="P40" s="1251"/>
      <c r="Q40" s="1249"/>
      <c r="R40" s="1246"/>
      <c r="S40" s="1246"/>
      <c r="T40" s="562"/>
      <c r="U40" s="562"/>
      <c r="V40" s="562"/>
    </row>
    <row r="41" spans="1:24" s="561" customFormat="1" ht="12.75" hidden="1">
      <c r="B41" s="1688"/>
      <c r="C41" s="1689"/>
      <c r="D41" s="638"/>
      <c r="E41" s="1690"/>
      <c r="F41" s="1809"/>
      <c r="G41" s="1809"/>
      <c r="H41" s="1691"/>
      <c r="I41" s="1691"/>
      <c r="J41" s="1692"/>
      <c r="K41" s="638"/>
      <c r="L41" s="1692"/>
      <c r="M41" s="1692"/>
      <c r="N41" s="638"/>
      <c r="O41" s="1692"/>
      <c r="P41" s="1692"/>
      <c r="Q41" s="1809"/>
      <c r="R41" s="1689"/>
      <c r="S41" s="1689"/>
    </row>
    <row r="42" spans="1:24" s="561" customFormat="1" ht="13.15" hidden="1" customHeight="1">
      <c r="B42" s="1695"/>
      <c r="C42" s="1696"/>
      <c r="D42" s="3191" t="s">
        <v>62</v>
      </c>
      <c r="E42" s="3192"/>
      <c r="F42" s="3192"/>
      <c r="G42" s="3192"/>
      <c r="H42" s="3192"/>
      <c r="I42" s="3192"/>
      <c r="J42" s="3193"/>
      <c r="K42" s="1697">
        <f>+K37/H37</f>
        <v>1.0006622303700548</v>
      </c>
      <c r="L42" s="1699"/>
      <c r="M42" s="1700">
        <f>+M37/H37</f>
        <v>0</v>
      </c>
      <c r="N42" s="683"/>
      <c r="O42" s="1699"/>
      <c r="P42" s="1700">
        <f>+O37/H37</f>
        <v>1.0006622303700548</v>
      </c>
      <c r="Q42" s="1810"/>
      <c r="R42" s="1701"/>
      <c r="S42" s="1702">
        <f>+R37/H37</f>
        <v>0</v>
      </c>
      <c r="T42" s="1703"/>
      <c r="U42" s="1703"/>
      <c r="V42" s="1703"/>
    </row>
    <row r="43" spans="1:24" s="561" customFormat="1" hidden="1">
      <c r="B43" s="1688"/>
      <c r="C43" s="1689"/>
      <c r="D43" s="683"/>
      <c r="E43" s="1704"/>
      <c r="F43" s="1811"/>
      <c r="G43" s="1811"/>
      <c r="H43" s="1705"/>
      <c r="I43" s="1705"/>
      <c r="J43" s="683"/>
      <c r="K43" s="683"/>
      <c r="L43" s="1699"/>
      <c r="M43" s="1699"/>
      <c r="N43" s="683"/>
      <c r="O43" s="1699"/>
      <c r="P43" s="683"/>
      <c r="Q43" s="1810"/>
      <c r="R43" s="1701"/>
      <c r="S43" s="1706"/>
    </row>
    <row r="44" spans="1:24" s="561" customFormat="1" hidden="1">
      <c r="B44" s="1688"/>
      <c r="C44" s="1812" t="s">
        <v>1805</v>
      </c>
      <c r="D44" s="683">
        <v>0.13514169600000001</v>
      </c>
      <c r="E44" s="1704"/>
      <c r="F44" s="1811"/>
      <c r="G44" s="1811"/>
      <c r="H44" s="1705">
        <f>H37*D44</f>
        <v>22284.500787820798</v>
      </c>
      <c r="I44" s="1705"/>
      <c r="J44" s="683"/>
      <c r="K44" s="683"/>
      <c r="L44" s="1699"/>
      <c r="M44" s="1699"/>
      <c r="N44" s="683"/>
      <c r="O44" s="1699"/>
      <c r="P44" s="683"/>
      <c r="Q44" s="1810"/>
      <c r="R44" s="1701"/>
      <c r="S44" s="1706"/>
    </row>
    <row r="45" spans="1:24" s="561" customFormat="1" hidden="1">
      <c r="B45" s="1688"/>
      <c r="C45" s="1812" t="s">
        <v>1806</v>
      </c>
      <c r="D45" s="683">
        <v>2.5765203E-2</v>
      </c>
      <c r="E45" s="1704"/>
      <c r="F45" s="1811"/>
      <c r="G45" s="1811"/>
      <c r="H45" s="1705" t="e">
        <f>#REF!*D45</f>
        <v>#REF!</v>
      </c>
      <c r="I45" s="1705"/>
      <c r="J45" s="683"/>
      <c r="K45" s="683"/>
      <c r="L45" s="1699"/>
      <c r="M45" s="1699"/>
      <c r="N45" s="683"/>
      <c r="O45" s="1699"/>
      <c r="P45" s="683"/>
      <c r="Q45" s="1810"/>
      <c r="R45" s="1701"/>
      <c r="S45" s="1706"/>
    </row>
    <row r="46" spans="1:24" s="561" customFormat="1" hidden="1">
      <c r="B46" s="1688"/>
      <c r="C46" s="1812" t="s">
        <v>1807</v>
      </c>
      <c r="D46" s="683">
        <v>5.4089901000000003E-2</v>
      </c>
      <c r="E46" s="1704"/>
      <c r="F46" s="1811"/>
      <c r="G46" s="1811"/>
      <c r="H46" s="1705" t="e">
        <f>#REF!*D46</f>
        <v>#REF!</v>
      </c>
      <c r="I46" s="1705"/>
      <c r="J46" s="683"/>
      <c r="K46" s="683"/>
      <c r="L46" s="1699"/>
      <c r="M46" s="1699"/>
      <c r="N46" s="683"/>
      <c r="O46" s="1699"/>
      <c r="P46" s="683"/>
      <c r="Q46" s="1810"/>
      <c r="R46" s="1701"/>
      <c r="S46" s="1706"/>
    </row>
    <row r="47" spans="1:24" s="561" customFormat="1" hidden="1">
      <c r="B47" s="1688"/>
      <c r="C47" s="1812" t="s">
        <v>1808</v>
      </c>
      <c r="D47" s="683">
        <v>1.4803359E-2</v>
      </c>
      <c r="E47" s="1704"/>
      <c r="F47" s="1811"/>
      <c r="G47" s="1811"/>
      <c r="H47" s="1705" t="e">
        <f>#REF!*D47</f>
        <v>#REF!</v>
      </c>
      <c r="I47" s="1705"/>
      <c r="J47" s="683"/>
      <c r="K47" s="683"/>
      <c r="L47" s="1699"/>
      <c r="M47" s="1699"/>
      <c r="N47" s="683"/>
      <c r="O47" s="1699"/>
      <c r="P47" s="683"/>
      <c r="Q47" s="1810"/>
      <c r="R47" s="1701"/>
      <c r="S47" s="1706"/>
    </row>
    <row r="48" spans="1:24" s="561" customFormat="1" hidden="1">
      <c r="B48" s="1688"/>
      <c r="C48" s="1812" t="s">
        <v>1809</v>
      </c>
      <c r="D48" s="683">
        <v>3.2312274000000002E-2</v>
      </c>
      <c r="E48" s="1704"/>
      <c r="F48" s="1811"/>
      <c r="G48" s="1811"/>
      <c r="H48" s="1705" t="e">
        <f>#REF!*D48</f>
        <v>#REF!</v>
      </c>
      <c r="I48" s="1705"/>
      <c r="J48" s="683"/>
      <c r="K48" s="683"/>
      <c r="L48" s="1699"/>
      <c r="M48" s="1699"/>
      <c r="N48" s="683"/>
      <c r="O48" s="1699"/>
      <c r="P48" s="683"/>
      <c r="Q48" s="1810"/>
      <c r="R48" s="1701"/>
      <c r="S48" s="1706"/>
    </row>
    <row r="49" spans="2:19" s="561" customFormat="1" hidden="1">
      <c r="B49" s="1688"/>
      <c r="C49" s="1812" t="s">
        <v>1810</v>
      </c>
      <c r="D49" s="683"/>
      <c r="E49" s="1704"/>
      <c r="F49" s="1811"/>
      <c r="G49" s="1811"/>
      <c r="H49" s="1705"/>
      <c r="I49" s="1705"/>
      <c r="J49" s="683"/>
      <c r="K49" s="683"/>
      <c r="L49" s="1699"/>
      <c r="M49" s="1699"/>
      <c r="N49" s="683"/>
      <c r="O49" s="1699"/>
      <c r="P49" s="683"/>
      <c r="Q49" s="1810"/>
      <c r="R49" s="1701"/>
      <c r="S49" s="1706"/>
    </row>
    <row r="50" spans="2:19" s="561" customFormat="1" hidden="1">
      <c r="B50" s="1688"/>
      <c r="C50" s="1812" t="s">
        <v>1811</v>
      </c>
      <c r="D50" s="683"/>
      <c r="E50" s="1704"/>
      <c r="F50" s="1811"/>
      <c r="G50" s="1811"/>
      <c r="H50" s="1705"/>
      <c r="I50" s="1705"/>
      <c r="J50" s="683"/>
      <c r="K50" s="683"/>
      <c r="L50" s="1699"/>
      <c r="M50" s="1699"/>
      <c r="N50" s="683"/>
      <c r="O50" s="1699"/>
      <c r="P50" s="683"/>
      <c r="Q50" s="1810"/>
      <c r="R50" s="1701"/>
      <c r="S50" s="1706"/>
    </row>
    <row r="51" spans="2:19" s="561" customFormat="1" hidden="1">
      <c r="B51" s="1688"/>
      <c r="C51" s="1812" t="s">
        <v>1812</v>
      </c>
      <c r="D51" s="683"/>
      <c r="E51" s="1704"/>
      <c r="F51" s="1811"/>
      <c r="G51" s="1811"/>
      <c r="H51" s="1705"/>
      <c r="I51" s="1705"/>
      <c r="J51" s="683"/>
      <c r="K51" s="683"/>
      <c r="L51" s="1699"/>
      <c r="M51" s="1699"/>
      <c r="N51" s="683"/>
      <c r="O51" s="1699"/>
      <c r="P51" s="683"/>
      <c r="Q51" s="1810"/>
      <c r="R51" s="1701"/>
      <c r="S51" s="1706"/>
    </row>
    <row r="52" spans="2:19" s="561" customFormat="1" hidden="1">
      <c r="B52" s="1688"/>
      <c r="C52" s="1812" t="s">
        <v>1813</v>
      </c>
      <c r="D52" s="683"/>
      <c r="E52" s="1704"/>
      <c r="F52" s="1811"/>
      <c r="G52" s="1811"/>
      <c r="H52" s="1705"/>
      <c r="I52" s="1705"/>
      <c r="J52" s="683"/>
      <c r="K52" s="683"/>
      <c r="L52" s="1699"/>
      <c r="M52" s="1699"/>
      <c r="N52" s="683"/>
      <c r="O52" s="1699"/>
      <c r="P52" s="683"/>
      <c r="Q52" s="1810"/>
      <c r="R52" s="1701"/>
      <c r="S52" s="1706"/>
    </row>
    <row r="53" spans="2:19" s="561" customFormat="1" hidden="1">
      <c r="B53" s="1688"/>
      <c r="C53" s="1812" t="s">
        <v>1814</v>
      </c>
      <c r="D53" s="683"/>
      <c r="E53" s="1704"/>
      <c r="F53" s="1811"/>
      <c r="G53" s="1811"/>
      <c r="H53" s="1705"/>
      <c r="I53" s="1705"/>
      <c r="J53" s="683"/>
      <c r="K53" s="683"/>
      <c r="L53" s="1699"/>
      <c r="M53" s="1699"/>
      <c r="N53" s="683"/>
      <c r="O53" s="1699"/>
      <c r="P53" s="683"/>
      <c r="Q53" s="1810"/>
      <c r="R53" s="1701"/>
      <c r="S53" s="1706"/>
    </row>
    <row r="54" spans="2:19" s="561" customFormat="1" hidden="1">
      <c r="B54" s="1688"/>
      <c r="C54" s="1812" t="s">
        <v>1815</v>
      </c>
      <c r="D54" s="683"/>
      <c r="E54" s="1704"/>
      <c r="F54" s="1811"/>
      <c r="G54" s="1811"/>
      <c r="H54" s="1705"/>
      <c r="I54" s="1705"/>
      <c r="J54" s="683"/>
      <c r="K54" s="683"/>
      <c r="L54" s="1699"/>
      <c r="M54" s="1699"/>
      <c r="N54" s="683"/>
      <c r="O54" s="1699"/>
      <c r="P54" s="683"/>
      <c r="Q54" s="1810"/>
      <c r="R54" s="1701"/>
      <c r="S54" s="1706"/>
    </row>
    <row r="55" spans="2:19" s="561" customFormat="1" ht="12.75" hidden="1">
      <c r="B55" s="1813"/>
      <c r="C55" s="1813"/>
      <c r="D55" s="1814"/>
      <c r="E55" s="1815"/>
      <c r="F55" s="1815"/>
      <c r="G55" s="1815"/>
      <c r="H55" s="1815"/>
      <c r="I55" s="1815"/>
      <c r="J55" s="1816"/>
      <c r="K55" s="1817"/>
      <c r="L55" s="1816"/>
      <c r="M55" s="1817"/>
      <c r="N55" s="1816"/>
      <c r="O55" s="1817"/>
      <c r="P55" s="1820"/>
      <c r="Q55" s="1821"/>
      <c r="R55" s="1821"/>
      <c r="S55" s="1822"/>
    </row>
    <row r="56" spans="2:19" s="561" customFormat="1" ht="12.75">
      <c r="D56" s="1173"/>
      <c r="E56" s="562"/>
      <c r="F56" s="562"/>
      <c r="G56" s="562"/>
      <c r="H56" s="562"/>
      <c r="I56" s="562"/>
      <c r="J56" s="1173"/>
      <c r="K56" s="1173"/>
      <c r="L56" s="1173"/>
      <c r="M56" s="1173"/>
      <c r="N56" s="1173"/>
      <c r="O56" s="1173"/>
      <c r="P56" s="1173"/>
      <c r="R56" s="562"/>
    </row>
    <row r="57" spans="2:19" s="18" customFormat="1">
      <c r="D57" s="97"/>
      <c r="E57" s="26"/>
      <c r="F57" s="26"/>
      <c r="G57" s="26"/>
      <c r="I57" s="1950">
        <f>I37-H37</f>
        <v>109.20000000001164</v>
      </c>
      <c r="J57" s="1208"/>
      <c r="K57" s="97"/>
      <c r="L57" s="1348"/>
      <c r="M57" s="524"/>
      <c r="N57" s="524"/>
      <c r="O57" s="524"/>
      <c r="P57" s="524"/>
      <c r="R57" s="26"/>
    </row>
    <row r="58" spans="2:19" s="18" customFormat="1">
      <c r="D58" s="97"/>
      <c r="E58" s="26"/>
      <c r="F58" s="26"/>
      <c r="G58" s="26"/>
      <c r="H58" s="26"/>
      <c r="I58" s="26"/>
      <c r="J58" s="1208"/>
      <c r="K58" s="1825"/>
      <c r="L58" s="1348"/>
      <c r="M58" s="1709"/>
      <c r="N58" s="524"/>
      <c r="O58" s="524"/>
      <c r="P58" s="524"/>
      <c r="R58" s="26"/>
    </row>
    <row r="59" spans="2:19" s="18" customFormat="1">
      <c r="D59" s="1711"/>
      <c r="E59" s="26"/>
      <c r="F59" s="26"/>
      <c r="G59" s="26"/>
      <c r="H59" s="26">
        <v>15398736.550000001</v>
      </c>
      <c r="I59" s="26"/>
      <c r="J59" s="1209"/>
      <c r="K59" s="1951"/>
      <c r="L59" s="1348"/>
      <c r="M59" s="524"/>
      <c r="N59" s="1952">
        <v>50558.33</v>
      </c>
      <c r="O59" s="524"/>
      <c r="P59" s="524"/>
      <c r="S59" s="200"/>
    </row>
    <row r="60" spans="2:19" s="18" customFormat="1">
      <c r="D60" s="97"/>
      <c r="E60" s="26"/>
      <c r="F60" s="26"/>
      <c r="G60" s="26"/>
      <c r="H60" s="26"/>
      <c r="I60" s="26"/>
      <c r="J60" s="1209"/>
      <c r="K60" s="1825"/>
      <c r="L60" s="1348"/>
      <c r="M60" s="524"/>
      <c r="N60" s="524">
        <v>50558.33</v>
      </c>
      <c r="O60" s="524"/>
      <c r="P60" s="524"/>
      <c r="R60" s="26"/>
    </row>
    <row r="61" spans="2:19" s="18" customFormat="1">
      <c r="D61" s="1216"/>
      <c r="E61" s="1216"/>
      <c r="F61" s="1216"/>
      <c r="G61" s="1216"/>
      <c r="H61" s="26">
        <f>+H59-H37</f>
        <v>15233839.25</v>
      </c>
      <c r="I61" s="26"/>
      <c r="J61" s="1209"/>
      <c r="K61" s="1320"/>
      <c r="L61" s="1348"/>
      <c r="M61" s="524"/>
      <c r="N61" s="524"/>
      <c r="O61" s="524"/>
      <c r="P61" s="524"/>
    </row>
    <row r="62" spans="2:19">
      <c r="H62" s="1716"/>
      <c r="I62" s="1716"/>
      <c r="J62" s="1716"/>
      <c r="K62" s="1320"/>
      <c r="M62" s="1718"/>
      <c r="N62" s="1718"/>
      <c r="O62" s="1718"/>
      <c r="P62" s="1718"/>
      <c r="Q62" s="1718"/>
    </row>
    <row r="63" spans="2:19">
      <c r="H63" s="1716"/>
      <c r="I63" s="1716"/>
      <c r="J63" s="1716"/>
      <c r="K63" s="1320"/>
      <c r="L63" s="1231"/>
      <c r="M63" s="1718"/>
      <c r="N63" s="1718"/>
      <c r="O63" s="1718"/>
      <c r="P63" s="1718"/>
      <c r="Q63" s="1718"/>
    </row>
    <row r="64" spans="2:19">
      <c r="H64" s="1716"/>
      <c r="I64" s="1716"/>
      <c r="J64" s="1716"/>
      <c r="K64" s="1321"/>
      <c r="L64" s="1231"/>
      <c r="M64" s="1718"/>
      <c r="N64" s="1718"/>
      <c r="O64" s="1718"/>
      <c r="P64" s="1718"/>
      <c r="Q64" s="1718"/>
    </row>
    <row r="65" spans="4:17" ht="15.75">
      <c r="D65" s="1237"/>
      <c r="H65" s="1716"/>
      <c r="I65" s="1716"/>
      <c r="J65" s="1716"/>
      <c r="K65" s="1302"/>
      <c r="L65" s="1231"/>
      <c r="M65" s="1718"/>
      <c r="N65" s="1718"/>
      <c r="O65" s="1718"/>
      <c r="P65" s="1718"/>
      <c r="Q65" s="1718"/>
    </row>
    <row r="66" spans="4:17">
      <c r="H66" s="1716"/>
      <c r="I66" s="1716"/>
      <c r="J66" s="1716"/>
      <c r="K66" s="18"/>
      <c r="L66" s="1231"/>
      <c r="M66" s="1718"/>
      <c r="N66" s="1718"/>
      <c r="O66" s="1718"/>
      <c r="P66" s="1718"/>
      <c r="Q66" s="1718"/>
    </row>
    <row r="67" spans="4:17">
      <c r="H67" s="1716"/>
      <c r="I67" s="1716"/>
      <c r="J67" s="1716"/>
      <c r="K67" s="1716"/>
      <c r="L67" s="1231"/>
      <c r="M67" s="1718"/>
      <c r="N67" s="1718"/>
      <c r="O67" s="1718"/>
      <c r="P67" s="1718"/>
      <c r="Q67" s="1718"/>
    </row>
    <row r="68" spans="4:17">
      <c r="H68" s="1716"/>
      <c r="I68" s="1716"/>
      <c r="J68" s="1716"/>
      <c r="K68" s="1716"/>
      <c r="L68" s="1231"/>
      <c r="M68" s="1718"/>
      <c r="N68" s="1718"/>
      <c r="O68" s="1718"/>
      <c r="P68" s="1718"/>
      <c r="Q68" s="1718"/>
    </row>
    <row r="69" spans="4:17">
      <c r="H69" s="1716"/>
      <c r="I69" s="1716"/>
      <c r="J69" s="1716"/>
      <c r="K69" s="1716"/>
      <c r="L69" s="1231"/>
      <c r="M69" s="1718"/>
      <c r="N69" s="1718"/>
      <c r="O69" s="1718"/>
      <c r="P69" s="1718"/>
      <c r="Q69" s="1718"/>
    </row>
    <row r="70" spans="4:17">
      <c r="H70" s="1716"/>
      <c r="I70" s="1716"/>
      <c r="J70" s="1716"/>
      <c r="K70" s="1716"/>
      <c r="L70" s="1231"/>
      <c r="M70" s="1718"/>
      <c r="N70" s="1718"/>
      <c r="O70" s="1718"/>
      <c r="P70" s="1718"/>
      <c r="Q70" s="1718"/>
    </row>
    <row r="71" spans="4:17">
      <c r="H71" s="1716"/>
      <c r="I71" s="1716"/>
      <c r="J71" s="1716"/>
      <c r="K71" s="1716"/>
      <c r="L71" s="1231"/>
      <c r="M71" s="1718"/>
      <c r="N71" s="1718"/>
      <c r="O71" s="1718"/>
      <c r="P71" s="1718"/>
      <c r="Q71" s="1718"/>
    </row>
    <row r="72" spans="4:17">
      <c r="H72" s="1716"/>
      <c r="I72" s="1716"/>
      <c r="J72" s="1716"/>
      <c r="K72" s="1720"/>
      <c r="L72" s="1231"/>
      <c r="M72" s="1718"/>
      <c r="N72" s="1718"/>
      <c r="O72" s="1718"/>
      <c r="P72" s="1718"/>
      <c r="Q72" s="1718"/>
    </row>
    <row r="73" spans="4:17">
      <c r="H73" s="1716"/>
      <c r="I73" s="1716"/>
      <c r="J73" s="1716"/>
      <c r="K73" s="1716"/>
      <c r="L73" s="1231"/>
      <c r="M73" s="1718"/>
      <c r="N73" s="1718"/>
      <c r="O73" s="1718"/>
      <c r="P73" s="1718"/>
      <c r="Q73" s="1718"/>
    </row>
  </sheetData>
  <autoFilter ref="A14:S39" xr:uid="{00000000-0009-0000-0000-00001B000000}"/>
  <mergeCells count="31">
    <mergeCell ref="W12:Y12"/>
    <mergeCell ref="D42:J42"/>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1048576">
    <cfRule type="cellIs" dxfId="33" priority="3" operator="lessThan">
      <formula>0</formula>
    </cfRule>
  </conditionalFormatting>
  <conditionalFormatting sqref="Q2 Q4:Q1048576">
    <cfRule type="cellIs" dxfId="32" priority="1" operator="lessThan">
      <formula>0</formula>
    </cfRule>
    <cfRule type="cellIs" dxfId="3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zoomScale="85" zoomScaleNormal="70" zoomScaleSheetLayoutView="85" workbookViewId="0">
      <selection activeCell="B2" sqref="B2:S2"/>
    </sheetView>
  </sheetViews>
  <sheetFormatPr baseColWidth="10" defaultRowHeight="13.5"/>
  <cols>
    <col min="1" max="1" width="2.5703125" style="1215" customWidth="1"/>
    <col min="2" max="2" width="10.140625" style="1215" customWidth="1"/>
    <col min="3" max="3" width="64.42578125" style="1225" customWidth="1"/>
    <col min="4" max="4" width="10.5703125" style="1218" customWidth="1"/>
    <col min="5" max="5" width="12.85546875" style="1226" customWidth="1"/>
    <col min="6" max="7" width="13.42578125" style="1226" customWidth="1"/>
    <col min="8" max="8" width="15" style="1226" hidden="1" customWidth="1"/>
    <col min="9" max="9" width="15" style="1226" customWidth="1"/>
    <col min="10" max="10" width="12.5703125" style="1218" customWidth="1"/>
    <col min="11" max="11" width="16.42578125" style="1218" customWidth="1"/>
    <col min="12" max="12" width="12.42578125" style="1432" customWidth="1"/>
    <col min="13" max="13" width="14.85546875" style="1406" customWidth="1"/>
    <col min="14" max="14" width="12" style="1218" customWidth="1"/>
    <col min="15" max="15" width="16.42578125" style="1218" customWidth="1"/>
    <col min="16" max="16" width="13.42578125" style="1218" customWidth="1"/>
    <col min="17" max="17" width="12.42578125" style="1215" customWidth="1"/>
    <col min="18" max="18" width="13.5703125" style="1215" customWidth="1"/>
    <col min="19" max="19" width="12.5703125" style="1215" customWidth="1"/>
    <col min="20" max="20" width="13" style="1215" bestFit="1" customWidth="1"/>
    <col min="21" max="22" width="13" style="1215" customWidth="1"/>
    <col min="23" max="23" width="10.85546875" style="1218"/>
    <col min="24" max="24" width="10.85546875" style="1215"/>
    <col min="25" max="25" width="14.140625" style="1215" customWidth="1"/>
    <col min="26" max="261" width="10.85546875" style="1215"/>
    <col min="262" max="262" width="8.85546875" style="1215" customWidth="1"/>
    <col min="263" max="263" width="50" style="1215" customWidth="1"/>
    <col min="264" max="264" width="6.42578125" style="1215" bestFit="1" customWidth="1"/>
    <col min="265" max="265" width="8.85546875" style="1215" customWidth="1"/>
    <col min="266" max="266" width="8.5703125" style="1215" customWidth="1"/>
    <col min="267" max="267" width="11.42578125" style="1215" bestFit="1" customWidth="1"/>
    <col min="268" max="268" width="7.85546875" style="1215" bestFit="1" customWidth="1"/>
    <col min="269" max="269" width="11.5703125" style="1215" bestFit="1" customWidth="1"/>
    <col min="270" max="270" width="8" style="1215" bestFit="1" customWidth="1"/>
    <col min="271" max="271" width="11.5703125" style="1215" bestFit="1" customWidth="1"/>
    <col min="272" max="272" width="8.140625" style="1215" bestFit="1" customWidth="1"/>
    <col min="273" max="273" width="11.5703125" style="1215" bestFit="1" customWidth="1"/>
    <col min="274" max="274" width="8.42578125" style="1215" customWidth="1"/>
    <col min="275" max="275" width="7.42578125" style="1215" bestFit="1" customWidth="1"/>
    <col min="276" max="276" width="11.5703125" style="1215" bestFit="1" customWidth="1"/>
    <col min="277" max="277" width="8.140625" style="1215" customWidth="1"/>
    <col min="278" max="278" width="13" style="1215" bestFit="1" customWidth="1"/>
    <col min="279" max="517" width="10.85546875" style="1215"/>
    <col min="518" max="518" width="8.85546875" style="1215" customWidth="1"/>
    <col min="519" max="519" width="50" style="1215" customWidth="1"/>
    <col min="520" max="520" width="6.42578125" style="1215" bestFit="1" customWidth="1"/>
    <col min="521" max="521" width="8.85546875" style="1215" customWidth="1"/>
    <col min="522" max="522" width="8.5703125" style="1215" customWidth="1"/>
    <col min="523" max="523" width="11.42578125" style="1215" bestFit="1" customWidth="1"/>
    <col min="524" max="524" width="7.85546875" style="1215" bestFit="1" customWidth="1"/>
    <col min="525" max="525" width="11.5703125" style="1215" bestFit="1" customWidth="1"/>
    <col min="526" max="526" width="8" style="1215" bestFit="1" customWidth="1"/>
    <col min="527" max="527" width="11.5703125" style="1215" bestFit="1" customWidth="1"/>
    <col min="528" max="528" width="8.140625" style="1215" bestFit="1" customWidth="1"/>
    <col min="529" max="529" width="11.5703125" style="1215" bestFit="1" customWidth="1"/>
    <col min="530" max="530" width="8.42578125" style="1215" customWidth="1"/>
    <col min="531" max="531" width="7.42578125" style="1215" bestFit="1" customWidth="1"/>
    <col min="532" max="532" width="11.5703125" style="1215" bestFit="1" customWidth="1"/>
    <col min="533" max="533" width="8.140625" style="1215" customWidth="1"/>
    <col min="534" max="534" width="13" style="1215" bestFit="1" customWidth="1"/>
    <col min="535" max="773" width="10.85546875" style="1215"/>
    <col min="774" max="774" width="8.85546875" style="1215" customWidth="1"/>
    <col min="775" max="775" width="50" style="1215" customWidth="1"/>
    <col min="776" max="776" width="6.42578125" style="1215" bestFit="1" customWidth="1"/>
    <col min="777" max="777" width="8.85546875" style="1215" customWidth="1"/>
    <col min="778" max="778" width="8.5703125" style="1215" customWidth="1"/>
    <col min="779" max="779" width="11.42578125" style="1215" bestFit="1" customWidth="1"/>
    <col min="780" max="780" width="7.85546875" style="1215" bestFit="1" customWidth="1"/>
    <col min="781" max="781" width="11.5703125" style="1215" bestFit="1" customWidth="1"/>
    <col min="782" max="782" width="8" style="1215" bestFit="1" customWidth="1"/>
    <col min="783" max="783" width="11.5703125" style="1215" bestFit="1" customWidth="1"/>
    <col min="784" max="784" width="8.140625" style="1215" bestFit="1" customWidth="1"/>
    <col min="785" max="785" width="11.5703125" style="1215" bestFit="1" customWidth="1"/>
    <col min="786" max="786" width="8.42578125" style="1215" customWidth="1"/>
    <col min="787" max="787" width="7.42578125" style="1215" bestFit="1" customWidth="1"/>
    <col min="788" max="788" width="11.5703125" style="1215" bestFit="1" customWidth="1"/>
    <col min="789" max="789" width="8.140625" style="1215" customWidth="1"/>
    <col min="790" max="790" width="13" style="1215" bestFit="1" customWidth="1"/>
    <col min="791" max="1029" width="10.85546875" style="1215"/>
    <col min="1030" max="1030" width="8.85546875" style="1215" customWidth="1"/>
    <col min="1031" max="1031" width="50" style="1215" customWidth="1"/>
    <col min="1032" max="1032" width="6.42578125" style="1215" bestFit="1" customWidth="1"/>
    <col min="1033" max="1033" width="8.85546875" style="1215" customWidth="1"/>
    <col min="1034" max="1034" width="8.5703125" style="1215" customWidth="1"/>
    <col min="1035" max="1035" width="11.42578125" style="1215" bestFit="1" customWidth="1"/>
    <col min="1036" max="1036" width="7.85546875" style="1215" bestFit="1" customWidth="1"/>
    <col min="1037" max="1037" width="11.5703125" style="1215" bestFit="1" customWidth="1"/>
    <col min="1038" max="1038" width="8" style="1215" bestFit="1" customWidth="1"/>
    <col min="1039" max="1039" width="11.5703125" style="1215" bestFit="1" customWidth="1"/>
    <col min="1040" max="1040" width="8.140625" style="1215" bestFit="1" customWidth="1"/>
    <col min="1041" max="1041" width="11.5703125" style="1215" bestFit="1" customWidth="1"/>
    <col min="1042" max="1042" width="8.42578125" style="1215" customWidth="1"/>
    <col min="1043" max="1043" width="7.42578125" style="1215" bestFit="1" customWidth="1"/>
    <col min="1044" max="1044" width="11.5703125" style="1215" bestFit="1" customWidth="1"/>
    <col min="1045" max="1045" width="8.140625" style="1215" customWidth="1"/>
    <col min="1046" max="1046" width="13" style="1215" bestFit="1" customWidth="1"/>
    <col min="1047" max="1285" width="10.85546875" style="1215"/>
    <col min="1286" max="1286" width="8.85546875" style="1215" customWidth="1"/>
    <col min="1287" max="1287" width="50" style="1215" customWidth="1"/>
    <col min="1288" max="1288" width="6.42578125" style="1215" bestFit="1" customWidth="1"/>
    <col min="1289" max="1289" width="8.85546875" style="1215" customWidth="1"/>
    <col min="1290" max="1290" width="8.5703125" style="1215" customWidth="1"/>
    <col min="1291" max="1291" width="11.42578125" style="1215" bestFit="1" customWidth="1"/>
    <col min="1292" max="1292" width="7.85546875" style="1215" bestFit="1" customWidth="1"/>
    <col min="1293" max="1293" width="11.5703125" style="1215" bestFit="1" customWidth="1"/>
    <col min="1294" max="1294" width="8" style="1215" bestFit="1" customWidth="1"/>
    <col min="1295" max="1295" width="11.5703125" style="1215" bestFit="1" customWidth="1"/>
    <col min="1296" max="1296" width="8.140625" style="1215" bestFit="1" customWidth="1"/>
    <col min="1297" max="1297" width="11.5703125" style="1215" bestFit="1" customWidth="1"/>
    <col min="1298" max="1298" width="8.42578125" style="1215" customWidth="1"/>
    <col min="1299" max="1299" width="7.42578125" style="1215" bestFit="1" customWidth="1"/>
    <col min="1300" max="1300" width="11.5703125" style="1215" bestFit="1" customWidth="1"/>
    <col min="1301" max="1301" width="8.140625" style="1215" customWidth="1"/>
    <col min="1302" max="1302" width="13" style="1215" bestFit="1" customWidth="1"/>
    <col min="1303" max="1541" width="10.85546875" style="1215"/>
    <col min="1542" max="1542" width="8.85546875" style="1215" customWidth="1"/>
    <col min="1543" max="1543" width="50" style="1215" customWidth="1"/>
    <col min="1544" max="1544" width="6.42578125" style="1215" bestFit="1" customWidth="1"/>
    <col min="1545" max="1545" width="8.85546875" style="1215" customWidth="1"/>
    <col min="1546" max="1546" width="8.5703125" style="1215" customWidth="1"/>
    <col min="1547" max="1547" width="11.42578125" style="1215" bestFit="1" customWidth="1"/>
    <col min="1548" max="1548" width="7.85546875" style="1215" bestFit="1" customWidth="1"/>
    <col min="1549" max="1549" width="11.5703125" style="1215" bestFit="1" customWidth="1"/>
    <col min="1550" max="1550" width="8" style="1215" bestFit="1" customWidth="1"/>
    <col min="1551" max="1551" width="11.5703125" style="1215" bestFit="1" customWidth="1"/>
    <col min="1552" max="1552" width="8.140625" style="1215" bestFit="1" customWidth="1"/>
    <col min="1553" max="1553" width="11.5703125" style="1215" bestFit="1" customWidth="1"/>
    <col min="1554" max="1554" width="8.42578125" style="1215" customWidth="1"/>
    <col min="1555" max="1555" width="7.42578125" style="1215" bestFit="1" customWidth="1"/>
    <col min="1556" max="1556" width="11.5703125" style="1215" bestFit="1" customWidth="1"/>
    <col min="1557" max="1557" width="8.140625" style="1215" customWidth="1"/>
    <col min="1558" max="1558" width="13" style="1215" bestFit="1" customWidth="1"/>
    <col min="1559" max="1797" width="10.85546875" style="1215"/>
    <col min="1798" max="1798" width="8.85546875" style="1215" customWidth="1"/>
    <col min="1799" max="1799" width="50" style="1215" customWidth="1"/>
    <col min="1800" max="1800" width="6.42578125" style="1215" bestFit="1" customWidth="1"/>
    <col min="1801" max="1801" width="8.85546875" style="1215" customWidth="1"/>
    <col min="1802" max="1802" width="8.5703125" style="1215" customWidth="1"/>
    <col min="1803" max="1803" width="11.42578125" style="1215" bestFit="1" customWidth="1"/>
    <col min="1804" max="1804" width="7.85546875" style="1215" bestFit="1" customWidth="1"/>
    <col min="1805" max="1805" width="11.5703125" style="1215" bestFit="1" customWidth="1"/>
    <col min="1806" max="1806" width="8" style="1215" bestFit="1" customWidth="1"/>
    <col min="1807" max="1807" width="11.5703125" style="1215" bestFit="1" customWidth="1"/>
    <col min="1808" max="1808" width="8.140625" style="1215" bestFit="1" customWidth="1"/>
    <col min="1809" max="1809" width="11.5703125" style="1215" bestFit="1" customWidth="1"/>
    <col min="1810" max="1810" width="8.42578125" style="1215" customWidth="1"/>
    <col min="1811" max="1811" width="7.42578125" style="1215" bestFit="1" customWidth="1"/>
    <col min="1812" max="1812" width="11.5703125" style="1215" bestFit="1" customWidth="1"/>
    <col min="1813" max="1813" width="8.140625" style="1215" customWidth="1"/>
    <col min="1814" max="1814" width="13" style="1215" bestFit="1" customWidth="1"/>
    <col min="1815" max="2053" width="10.85546875" style="1215"/>
    <col min="2054" max="2054" width="8.85546875" style="1215" customWidth="1"/>
    <col min="2055" max="2055" width="50" style="1215" customWidth="1"/>
    <col min="2056" max="2056" width="6.42578125" style="1215" bestFit="1" customWidth="1"/>
    <col min="2057" max="2057" width="8.85546875" style="1215" customWidth="1"/>
    <col min="2058" max="2058" width="8.5703125" style="1215" customWidth="1"/>
    <col min="2059" max="2059" width="11.42578125" style="1215" bestFit="1" customWidth="1"/>
    <col min="2060" max="2060" width="7.85546875" style="1215" bestFit="1" customWidth="1"/>
    <col min="2061" max="2061" width="11.5703125" style="1215" bestFit="1" customWidth="1"/>
    <col min="2062" max="2062" width="8" style="1215" bestFit="1" customWidth="1"/>
    <col min="2063" max="2063" width="11.5703125" style="1215" bestFit="1" customWidth="1"/>
    <col min="2064" max="2064" width="8.140625" style="1215" bestFit="1" customWidth="1"/>
    <col min="2065" max="2065" width="11.5703125" style="1215" bestFit="1" customWidth="1"/>
    <col min="2066" max="2066" width="8.42578125" style="1215" customWidth="1"/>
    <col min="2067" max="2067" width="7.42578125" style="1215" bestFit="1" customWidth="1"/>
    <col min="2068" max="2068" width="11.5703125" style="1215" bestFit="1" customWidth="1"/>
    <col min="2069" max="2069" width="8.140625" style="1215" customWidth="1"/>
    <col min="2070" max="2070" width="13" style="1215" bestFit="1" customWidth="1"/>
    <col min="2071" max="2309" width="10.85546875" style="1215"/>
    <col min="2310" max="2310" width="8.85546875" style="1215" customWidth="1"/>
    <col min="2311" max="2311" width="50" style="1215" customWidth="1"/>
    <col min="2312" max="2312" width="6.42578125" style="1215" bestFit="1" customWidth="1"/>
    <col min="2313" max="2313" width="8.85546875" style="1215" customWidth="1"/>
    <col min="2314" max="2314" width="8.5703125" style="1215" customWidth="1"/>
    <col min="2315" max="2315" width="11.42578125" style="1215" bestFit="1" customWidth="1"/>
    <col min="2316" max="2316" width="7.85546875" style="1215" bestFit="1" customWidth="1"/>
    <col min="2317" max="2317" width="11.5703125" style="1215" bestFit="1" customWidth="1"/>
    <col min="2318" max="2318" width="8" style="1215" bestFit="1" customWidth="1"/>
    <col min="2319" max="2319" width="11.5703125" style="1215" bestFit="1" customWidth="1"/>
    <col min="2320" max="2320" width="8.140625" style="1215" bestFit="1" customWidth="1"/>
    <col min="2321" max="2321" width="11.5703125" style="1215" bestFit="1" customWidth="1"/>
    <col min="2322" max="2322" width="8.42578125" style="1215" customWidth="1"/>
    <col min="2323" max="2323" width="7.42578125" style="1215" bestFit="1" customWidth="1"/>
    <col min="2324" max="2324" width="11.5703125" style="1215" bestFit="1" customWidth="1"/>
    <col min="2325" max="2325" width="8.140625" style="1215" customWidth="1"/>
    <col min="2326" max="2326" width="13" style="1215" bestFit="1" customWidth="1"/>
    <col min="2327" max="2565" width="10.85546875" style="1215"/>
    <col min="2566" max="2566" width="8.85546875" style="1215" customWidth="1"/>
    <col min="2567" max="2567" width="50" style="1215" customWidth="1"/>
    <col min="2568" max="2568" width="6.42578125" style="1215" bestFit="1" customWidth="1"/>
    <col min="2569" max="2569" width="8.85546875" style="1215" customWidth="1"/>
    <col min="2570" max="2570" width="8.5703125" style="1215" customWidth="1"/>
    <col min="2571" max="2571" width="11.42578125" style="1215" bestFit="1" customWidth="1"/>
    <col min="2572" max="2572" width="7.85546875" style="1215" bestFit="1" customWidth="1"/>
    <col min="2573" max="2573" width="11.5703125" style="1215" bestFit="1" customWidth="1"/>
    <col min="2574" max="2574" width="8" style="1215" bestFit="1" customWidth="1"/>
    <col min="2575" max="2575" width="11.5703125" style="1215" bestFit="1" customWidth="1"/>
    <col min="2576" max="2576" width="8.140625" style="1215" bestFit="1" customWidth="1"/>
    <col min="2577" max="2577" width="11.5703125" style="1215" bestFit="1" customWidth="1"/>
    <col min="2578" max="2578" width="8.42578125" style="1215" customWidth="1"/>
    <col min="2579" max="2579" width="7.42578125" style="1215" bestFit="1" customWidth="1"/>
    <col min="2580" max="2580" width="11.5703125" style="1215" bestFit="1" customWidth="1"/>
    <col min="2581" max="2581" width="8.140625" style="1215" customWidth="1"/>
    <col min="2582" max="2582" width="13" style="1215" bestFit="1" customWidth="1"/>
    <col min="2583" max="2821" width="10.85546875" style="1215"/>
    <col min="2822" max="2822" width="8.85546875" style="1215" customWidth="1"/>
    <col min="2823" max="2823" width="50" style="1215" customWidth="1"/>
    <col min="2824" max="2824" width="6.42578125" style="1215" bestFit="1" customWidth="1"/>
    <col min="2825" max="2825" width="8.85546875" style="1215" customWidth="1"/>
    <col min="2826" max="2826" width="8.5703125" style="1215" customWidth="1"/>
    <col min="2827" max="2827" width="11.42578125" style="1215" bestFit="1" customWidth="1"/>
    <col min="2828" max="2828" width="7.85546875" style="1215" bestFit="1" customWidth="1"/>
    <col min="2829" max="2829" width="11.5703125" style="1215" bestFit="1" customWidth="1"/>
    <col min="2830" max="2830" width="8" style="1215" bestFit="1" customWidth="1"/>
    <col min="2831" max="2831" width="11.5703125" style="1215" bestFit="1" customWidth="1"/>
    <col min="2832" max="2832" width="8.140625" style="1215" bestFit="1" customWidth="1"/>
    <col min="2833" max="2833" width="11.5703125" style="1215" bestFit="1" customWidth="1"/>
    <col min="2834" max="2834" width="8.42578125" style="1215" customWidth="1"/>
    <col min="2835" max="2835" width="7.42578125" style="1215" bestFit="1" customWidth="1"/>
    <col min="2836" max="2836" width="11.5703125" style="1215" bestFit="1" customWidth="1"/>
    <col min="2837" max="2837" width="8.140625" style="1215" customWidth="1"/>
    <col min="2838" max="2838" width="13" style="1215" bestFit="1" customWidth="1"/>
    <col min="2839" max="3077" width="10.85546875" style="1215"/>
    <col min="3078" max="3078" width="8.85546875" style="1215" customWidth="1"/>
    <col min="3079" max="3079" width="50" style="1215" customWidth="1"/>
    <col min="3080" max="3080" width="6.42578125" style="1215" bestFit="1" customWidth="1"/>
    <col min="3081" max="3081" width="8.85546875" style="1215" customWidth="1"/>
    <col min="3082" max="3082" width="8.5703125" style="1215" customWidth="1"/>
    <col min="3083" max="3083" width="11.42578125" style="1215" bestFit="1" customWidth="1"/>
    <col min="3084" max="3084" width="7.85546875" style="1215" bestFit="1" customWidth="1"/>
    <col min="3085" max="3085" width="11.5703125" style="1215" bestFit="1" customWidth="1"/>
    <col min="3086" max="3086" width="8" style="1215" bestFit="1" customWidth="1"/>
    <col min="3087" max="3087" width="11.5703125" style="1215" bestFit="1" customWidth="1"/>
    <col min="3088" max="3088" width="8.140625" style="1215" bestFit="1" customWidth="1"/>
    <col min="3089" max="3089" width="11.5703125" style="1215" bestFit="1" customWidth="1"/>
    <col min="3090" max="3090" width="8.42578125" style="1215" customWidth="1"/>
    <col min="3091" max="3091" width="7.42578125" style="1215" bestFit="1" customWidth="1"/>
    <col min="3092" max="3092" width="11.5703125" style="1215" bestFit="1" customWidth="1"/>
    <col min="3093" max="3093" width="8.140625" style="1215" customWidth="1"/>
    <col min="3094" max="3094" width="13" style="1215" bestFit="1" customWidth="1"/>
    <col min="3095" max="3333" width="10.85546875" style="1215"/>
    <col min="3334" max="3334" width="8.85546875" style="1215" customWidth="1"/>
    <col min="3335" max="3335" width="50" style="1215" customWidth="1"/>
    <col min="3336" max="3336" width="6.42578125" style="1215" bestFit="1" customWidth="1"/>
    <col min="3337" max="3337" width="8.85546875" style="1215" customWidth="1"/>
    <col min="3338" max="3338" width="8.5703125" style="1215" customWidth="1"/>
    <col min="3339" max="3339" width="11.42578125" style="1215" bestFit="1" customWidth="1"/>
    <col min="3340" max="3340" width="7.85546875" style="1215" bestFit="1" customWidth="1"/>
    <col min="3341" max="3341" width="11.5703125" style="1215" bestFit="1" customWidth="1"/>
    <col min="3342" max="3342" width="8" style="1215" bestFit="1" customWidth="1"/>
    <col min="3343" max="3343" width="11.5703125" style="1215" bestFit="1" customWidth="1"/>
    <col min="3344" max="3344" width="8.140625" style="1215" bestFit="1" customWidth="1"/>
    <col min="3345" max="3345" width="11.5703125" style="1215" bestFit="1" customWidth="1"/>
    <col min="3346" max="3346" width="8.42578125" style="1215" customWidth="1"/>
    <col min="3347" max="3347" width="7.42578125" style="1215" bestFit="1" customWidth="1"/>
    <col min="3348" max="3348" width="11.5703125" style="1215" bestFit="1" customWidth="1"/>
    <col min="3349" max="3349" width="8.140625" style="1215" customWidth="1"/>
    <col min="3350" max="3350" width="13" style="1215" bestFit="1" customWidth="1"/>
    <col min="3351" max="3589" width="10.85546875" style="1215"/>
    <col min="3590" max="3590" width="8.85546875" style="1215" customWidth="1"/>
    <col min="3591" max="3591" width="50" style="1215" customWidth="1"/>
    <col min="3592" max="3592" width="6.42578125" style="1215" bestFit="1" customWidth="1"/>
    <col min="3593" max="3593" width="8.85546875" style="1215" customWidth="1"/>
    <col min="3594" max="3594" width="8.5703125" style="1215" customWidth="1"/>
    <col min="3595" max="3595" width="11.42578125" style="1215" bestFit="1" customWidth="1"/>
    <col min="3596" max="3596" width="7.85546875" style="1215" bestFit="1" customWidth="1"/>
    <col min="3597" max="3597" width="11.5703125" style="1215" bestFit="1" customWidth="1"/>
    <col min="3598" max="3598" width="8" style="1215" bestFit="1" customWidth="1"/>
    <col min="3599" max="3599" width="11.5703125" style="1215" bestFit="1" customWidth="1"/>
    <col min="3600" max="3600" width="8.140625" style="1215" bestFit="1" customWidth="1"/>
    <col min="3601" max="3601" width="11.5703125" style="1215" bestFit="1" customWidth="1"/>
    <col min="3602" max="3602" width="8.42578125" style="1215" customWidth="1"/>
    <col min="3603" max="3603" width="7.42578125" style="1215" bestFit="1" customWidth="1"/>
    <col min="3604" max="3604" width="11.5703125" style="1215" bestFit="1" customWidth="1"/>
    <col min="3605" max="3605" width="8.140625" style="1215" customWidth="1"/>
    <col min="3606" max="3606" width="13" style="1215" bestFit="1" customWidth="1"/>
    <col min="3607" max="3845" width="10.85546875" style="1215"/>
    <col min="3846" max="3846" width="8.85546875" style="1215" customWidth="1"/>
    <col min="3847" max="3847" width="50" style="1215" customWidth="1"/>
    <col min="3848" max="3848" width="6.42578125" style="1215" bestFit="1" customWidth="1"/>
    <col min="3849" max="3849" width="8.85546875" style="1215" customWidth="1"/>
    <col min="3850" max="3850" width="8.5703125" style="1215" customWidth="1"/>
    <col min="3851" max="3851" width="11.42578125" style="1215" bestFit="1" customWidth="1"/>
    <col min="3852" max="3852" width="7.85546875" style="1215" bestFit="1" customWidth="1"/>
    <col min="3853" max="3853" width="11.5703125" style="1215" bestFit="1" customWidth="1"/>
    <col min="3854" max="3854" width="8" style="1215" bestFit="1" customWidth="1"/>
    <col min="3855" max="3855" width="11.5703125" style="1215" bestFit="1" customWidth="1"/>
    <col min="3856" max="3856" width="8.140625" style="1215" bestFit="1" customWidth="1"/>
    <col min="3857" max="3857" width="11.5703125" style="1215" bestFit="1" customWidth="1"/>
    <col min="3858" max="3858" width="8.42578125" style="1215" customWidth="1"/>
    <col min="3859" max="3859" width="7.42578125" style="1215" bestFit="1" customWidth="1"/>
    <col min="3860" max="3860" width="11.5703125" style="1215" bestFit="1" customWidth="1"/>
    <col min="3861" max="3861" width="8.140625" style="1215" customWidth="1"/>
    <col min="3862" max="3862" width="13" style="1215" bestFit="1" customWidth="1"/>
    <col min="3863" max="4101" width="10.85546875" style="1215"/>
    <col min="4102" max="4102" width="8.85546875" style="1215" customWidth="1"/>
    <col min="4103" max="4103" width="50" style="1215" customWidth="1"/>
    <col min="4104" max="4104" width="6.42578125" style="1215" bestFit="1" customWidth="1"/>
    <col min="4105" max="4105" width="8.85546875" style="1215" customWidth="1"/>
    <col min="4106" max="4106" width="8.5703125" style="1215" customWidth="1"/>
    <col min="4107" max="4107" width="11.42578125" style="1215" bestFit="1" customWidth="1"/>
    <col min="4108" max="4108" width="7.85546875" style="1215" bestFit="1" customWidth="1"/>
    <col min="4109" max="4109" width="11.5703125" style="1215" bestFit="1" customWidth="1"/>
    <col min="4110" max="4110" width="8" style="1215" bestFit="1" customWidth="1"/>
    <col min="4111" max="4111" width="11.5703125" style="1215" bestFit="1" customWidth="1"/>
    <col min="4112" max="4112" width="8.140625" style="1215" bestFit="1" customWidth="1"/>
    <col min="4113" max="4113" width="11.5703125" style="1215" bestFit="1" customWidth="1"/>
    <col min="4114" max="4114" width="8.42578125" style="1215" customWidth="1"/>
    <col min="4115" max="4115" width="7.42578125" style="1215" bestFit="1" customWidth="1"/>
    <col min="4116" max="4116" width="11.5703125" style="1215" bestFit="1" customWidth="1"/>
    <col min="4117" max="4117" width="8.140625" style="1215" customWidth="1"/>
    <col min="4118" max="4118" width="13" style="1215" bestFit="1" customWidth="1"/>
    <col min="4119" max="4357" width="10.85546875" style="1215"/>
    <col min="4358" max="4358" width="8.85546875" style="1215" customWidth="1"/>
    <col min="4359" max="4359" width="50" style="1215" customWidth="1"/>
    <col min="4360" max="4360" width="6.42578125" style="1215" bestFit="1" customWidth="1"/>
    <col min="4361" max="4361" width="8.85546875" style="1215" customWidth="1"/>
    <col min="4362" max="4362" width="8.5703125" style="1215" customWidth="1"/>
    <col min="4363" max="4363" width="11.42578125" style="1215" bestFit="1" customWidth="1"/>
    <col min="4364" max="4364" width="7.85546875" style="1215" bestFit="1" customWidth="1"/>
    <col min="4365" max="4365" width="11.5703125" style="1215" bestFit="1" customWidth="1"/>
    <col min="4366" max="4366" width="8" style="1215" bestFit="1" customWidth="1"/>
    <col min="4367" max="4367" width="11.5703125" style="1215" bestFit="1" customWidth="1"/>
    <col min="4368" max="4368" width="8.140625" style="1215" bestFit="1" customWidth="1"/>
    <col min="4369" max="4369" width="11.5703125" style="1215" bestFit="1" customWidth="1"/>
    <col min="4370" max="4370" width="8.42578125" style="1215" customWidth="1"/>
    <col min="4371" max="4371" width="7.42578125" style="1215" bestFit="1" customWidth="1"/>
    <col min="4372" max="4372" width="11.5703125" style="1215" bestFit="1" customWidth="1"/>
    <col min="4373" max="4373" width="8.140625" style="1215" customWidth="1"/>
    <col min="4374" max="4374" width="13" style="1215" bestFit="1" customWidth="1"/>
    <col min="4375" max="4613" width="10.85546875" style="1215"/>
    <col min="4614" max="4614" width="8.85546875" style="1215" customWidth="1"/>
    <col min="4615" max="4615" width="50" style="1215" customWidth="1"/>
    <col min="4616" max="4616" width="6.42578125" style="1215" bestFit="1" customWidth="1"/>
    <col min="4617" max="4617" width="8.85546875" style="1215" customWidth="1"/>
    <col min="4618" max="4618" width="8.5703125" style="1215" customWidth="1"/>
    <col min="4619" max="4619" width="11.42578125" style="1215" bestFit="1" customWidth="1"/>
    <col min="4620" max="4620" width="7.85546875" style="1215" bestFit="1" customWidth="1"/>
    <col min="4621" max="4621" width="11.5703125" style="1215" bestFit="1" customWidth="1"/>
    <col min="4622" max="4622" width="8" style="1215" bestFit="1" customWidth="1"/>
    <col min="4623" max="4623" width="11.5703125" style="1215" bestFit="1" customWidth="1"/>
    <col min="4624" max="4624" width="8.140625" style="1215" bestFit="1" customWidth="1"/>
    <col min="4625" max="4625" width="11.5703125" style="1215" bestFit="1" customWidth="1"/>
    <col min="4626" max="4626" width="8.42578125" style="1215" customWidth="1"/>
    <col min="4627" max="4627" width="7.42578125" style="1215" bestFit="1" customWidth="1"/>
    <col min="4628" max="4628" width="11.5703125" style="1215" bestFit="1" customWidth="1"/>
    <col min="4629" max="4629" width="8.140625" style="1215" customWidth="1"/>
    <col min="4630" max="4630" width="13" style="1215" bestFit="1" customWidth="1"/>
    <col min="4631" max="4869" width="10.85546875" style="1215"/>
    <col min="4870" max="4870" width="8.85546875" style="1215" customWidth="1"/>
    <col min="4871" max="4871" width="50" style="1215" customWidth="1"/>
    <col min="4872" max="4872" width="6.42578125" style="1215" bestFit="1" customWidth="1"/>
    <col min="4873" max="4873" width="8.85546875" style="1215" customWidth="1"/>
    <col min="4874" max="4874" width="8.5703125" style="1215" customWidth="1"/>
    <col min="4875" max="4875" width="11.42578125" style="1215" bestFit="1" customWidth="1"/>
    <col min="4876" max="4876" width="7.85546875" style="1215" bestFit="1" customWidth="1"/>
    <col min="4877" max="4877" width="11.5703125" style="1215" bestFit="1" customWidth="1"/>
    <col min="4878" max="4878" width="8" style="1215" bestFit="1" customWidth="1"/>
    <col min="4879" max="4879" width="11.5703125" style="1215" bestFit="1" customWidth="1"/>
    <col min="4880" max="4880" width="8.140625" style="1215" bestFit="1" customWidth="1"/>
    <col min="4881" max="4881" width="11.5703125" style="1215" bestFit="1" customWidth="1"/>
    <col min="4882" max="4882" width="8.42578125" style="1215" customWidth="1"/>
    <col min="4883" max="4883" width="7.42578125" style="1215" bestFit="1" customWidth="1"/>
    <col min="4884" max="4884" width="11.5703125" style="1215" bestFit="1" customWidth="1"/>
    <col min="4885" max="4885" width="8.140625" style="1215" customWidth="1"/>
    <col min="4886" max="4886" width="13" style="1215" bestFit="1" customWidth="1"/>
    <col min="4887" max="5125" width="10.85546875" style="1215"/>
    <col min="5126" max="5126" width="8.85546875" style="1215" customWidth="1"/>
    <col min="5127" max="5127" width="50" style="1215" customWidth="1"/>
    <col min="5128" max="5128" width="6.42578125" style="1215" bestFit="1" customWidth="1"/>
    <col min="5129" max="5129" width="8.85546875" style="1215" customWidth="1"/>
    <col min="5130" max="5130" width="8.5703125" style="1215" customWidth="1"/>
    <col min="5131" max="5131" width="11.42578125" style="1215" bestFit="1" customWidth="1"/>
    <col min="5132" max="5132" width="7.85546875" style="1215" bestFit="1" customWidth="1"/>
    <col min="5133" max="5133" width="11.5703125" style="1215" bestFit="1" customWidth="1"/>
    <col min="5134" max="5134" width="8" style="1215" bestFit="1" customWidth="1"/>
    <col min="5135" max="5135" width="11.5703125" style="1215" bestFit="1" customWidth="1"/>
    <col min="5136" max="5136" width="8.140625" style="1215" bestFit="1" customWidth="1"/>
    <col min="5137" max="5137" width="11.5703125" style="1215" bestFit="1" customWidth="1"/>
    <col min="5138" max="5138" width="8.42578125" style="1215" customWidth="1"/>
    <col min="5139" max="5139" width="7.42578125" style="1215" bestFit="1" customWidth="1"/>
    <col min="5140" max="5140" width="11.5703125" style="1215" bestFit="1" customWidth="1"/>
    <col min="5141" max="5141" width="8.140625" style="1215" customWidth="1"/>
    <col min="5142" max="5142" width="13" style="1215" bestFit="1" customWidth="1"/>
    <col min="5143" max="5381" width="10.85546875" style="1215"/>
    <col min="5382" max="5382" width="8.85546875" style="1215" customWidth="1"/>
    <col min="5383" max="5383" width="50" style="1215" customWidth="1"/>
    <col min="5384" max="5384" width="6.42578125" style="1215" bestFit="1" customWidth="1"/>
    <col min="5385" max="5385" width="8.85546875" style="1215" customWidth="1"/>
    <col min="5386" max="5386" width="8.5703125" style="1215" customWidth="1"/>
    <col min="5387" max="5387" width="11.42578125" style="1215" bestFit="1" customWidth="1"/>
    <col min="5388" max="5388" width="7.85546875" style="1215" bestFit="1" customWidth="1"/>
    <col min="5389" max="5389" width="11.5703125" style="1215" bestFit="1" customWidth="1"/>
    <col min="5390" max="5390" width="8" style="1215" bestFit="1" customWidth="1"/>
    <col min="5391" max="5391" width="11.5703125" style="1215" bestFit="1" customWidth="1"/>
    <col min="5392" max="5392" width="8.140625" style="1215" bestFit="1" customWidth="1"/>
    <col min="5393" max="5393" width="11.5703125" style="1215" bestFit="1" customWidth="1"/>
    <col min="5394" max="5394" width="8.42578125" style="1215" customWidth="1"/>
    <col min="5395" max="5395" width="7.42578125" style="1215" bestFit="1" customWidth="1"/>
    <col min="5396" max="5396" width="11.5703125" style="1215" bestFit="1" customWidth="1"/>
    <col min="5397" max="5397" width="8.140625" style="1215" customWidth="1"/>
    <col min="5398" max="5398" width="13" style="1215" bestFit="1" customWidth="1"/>
    <col min="5399" max="5637" width="10.85546875" style="1215"/>
    <col min="5638" max="5638" width="8.85546875" style="1215" customWidth="1"/>
    <col min="5639" max="5639" width="50" style="1215" customWidth="1"/>
    <col min="5640" max="5640" width="6.42578125" style="1215" bestFit="1" customWidth="1"/>
    <col min="5641" max="5641" width="8.85546875" style="1215" customWidth="1"/>
    <col min="5642" max="5642" width="8.5703125" style="1215" customWidth="1"/>
    <col min="5643" max="5643" width="11.42578125" style="1215" bestFit="1" customWidth="1"/>
    <col min="5644" max="5644" width="7.85546875" style="1215" bestFit="1" customWidth="1"/>
    <col min="5645" max="5645" width="11.5703125" style="1215" bestFit="1" customWidth="1"/>
    <col min="5646" max="5646" width="8" style="1215" bestFit="1" customWidth="1"/>
    <col min="5647" max="5647" width="11.5703125" style="1215" bestFit="1" customWidth="1"/>
    <col min="5648" max="5648" width="8.140625" style="1215" bestFit="1" customWidth="1"/>
    <col min="5649" max="5649" width="11.5703125" style="1215" bestFit="1" customWidth="1"/>
    <col min="5650" max="5650" width="8.42578125" style="1215" customWidth="1"/>
    <col min="5651" max="5651" width="7.42578125" style="1215" bestFit="1" customWidth="1"/>
    <col min="5652" max="5652" width="11.5703125" style="1215" bestFit="1" customWidth="1"/>
    <col min="5653" max="5653" width="8.140625" style="1215" customWidth="1"/>
    <col min="5654" max="5654" width="13" style="1215" bestFit="1" customWidth="1"/>
    <col min="5655" max="5893" width="10.85546875" style="1215"/>
    <col min="5894" max="5894" width="8.85546875" style="1215" customWidth="1"/>
    <col min="5895" max="5895" width="50" style="1215" customWidth="1"/>
    <col min="5896" max="5896" width="6.42578125" style="1215" bestFit="1" customWidth="1"/>
    <col min="5897" max="5897" width="8.85546875" style="1215" customWidth="1"/>
    <col min="5898" max="5898" width="8.5703125" style="1215" customWidth="1"/>
    <col min="5899" max="5899" width="11.42578125" style="1215" bestFit="1" customWidth="1"/>
    <col min="5900" max="5900" width="7.85546875" style="1215" bestFit="1" customWidth="1"/>
    <col min="5901" max="5901" width="11.5703125" style="1215" bestFit="1" customWidth="1"/>
    <col min="5902" max="5902" width="8" style="1215" bestFit="1" customWidth="1"/>
    <col min="5903" max="5903" width="11.5703125" style="1215" bestFit="1" customWidth="1"/>
    <col min="5904" max="5904" width="8.140625" style="1215" bestFit="1" customWidth="1"/>
    <col min="5905" max="5905" width="11.5703125" style="1215" bestFit="1" customWidth="1"/>
    <col min="5906" max="5906" width="8.42578125" style="1215" customWidth="1"/>
    <col min="5907" max="5907" width="7.42578125" style="1215" bestFit="1" customWidth="1"/>
    <col min="5908" max="5908" width="11.5703125" style="1215" bestFit="1" customWidth="1"/>
    <col min="5909" max="5909" width="8.140625" style="1215" customWidth="1"/>
    <col min="5910" max="5910" width="13" style="1215" bestFit="1" customWidth="1"/>
    <col min="5911" max="6149" width="10.85546875" style="1215"/>
    <col min="6150" max="6150" width="8.85546875" style="1215" customWidth="1"/>
    <col min="6151" max="6151" width="50" style="1215" customWidth="1"/>
    <col min="6152" max="6152" width="6.42578125" style="1215" bestFit="1" customWidth="1"/>
    <col min="6153" max="6153" width="8.85546875" style="1215" customWidth="1"/>
    <col min="6154" max="6154" width="8.5703125" style="1215" customWidth="1"/>
    <col min="6155" max="6155" width="11.42578125" style="1215" bestFit="1" customWidth="1"/>
    <col min="6156" max="6156" width="7.85546875" style="1215" bestFit="1" customWidth="1"/>
    <col min="6157" max="6157" width="11.5703125" style="1215" bestFit="1" customWidth="1"/>
    <col min="6158" max="6158" width="8" style="1215" bestFit="1" customWidth="1"/>
    <col min="6159" max="6159" width="11.5703125" style="1215" bestFit="1" customWidth="1"/>
    <col min="6160" max="6160" width="8.140625" style="1215" bestFit="1" customWidth="1"/>
    <col min="6161" max="6161" width="11.5703125" style="1215" bestFit="1" customWidth="1"/>
    <col min="6162" max="6162" width="8.42578125" style="1215" customWidth="1"/>
    <col min="6163" max="6163" width="7.42578125" style="1215" bestFit="1" customWidth="1"/>
    <col min="6164" max="6164" width="11.5703125" style="1215" bestFit="1" customWidth="1"/>
    <col min="6165" max="6165" width="8.140625" style="1215" customWidth="1"/>
    <col min="6166" max="6166" width="13" style="1215" bestFit="1" customWidth="1"/>
    <col min="6167" max="6405" width="10.85546875" style="1215"/>
    <col min="6406" max="6406" width="8.85546875" style="1215" customWidth="1"/>
    <col min="6407" max="6407" width="50" style="1215" customWidth="1"/>
    <col min="6408" max="6408" width="6.42578125" style="1215" bestFit="1" customWidth="1"/>
    <col min="6409" max="6409" width="8.85546875" style="1215" customWidth="1"/>
    <col min="6410" max="6410" width="8.5703125" style="1215" customWidth="1"/>
    <col min="6411" max="6411" width="11.42578125" style="1215" bestFit="1" customWidth="1"/>
    <col min="6412" max="6412" width="7.85546875" style="1215" bestFit="1" customWidth="1"/>
    <col min="6413" max="6413" width="11.5703125" style="1215" bestFit="1" customWidth="1"/>
    <col min="6414" max="6414" width="8" style="1215" bestFit="1" customWidth="1"/>
    <col min="6415" max="6415" width="11.5703125" style="1215" bestFit="1" customWidth="1"/>
    <col min="6416" max="6416" width="8.140625" style="1215" bestFit="1" customWidth="1"/>
    <col min="6417" max="6417" width="11.5703125" style="1215" bestFit="1" customWidth="1"/>
    <col min="6418" max="6418" width="8.42578125" style="1215" customWidth="1"/>
    <col min="6419" max="6419" width="7.42578125" style="1215" bestFit="1" customWidth="1"/>
    <col min="6420" max="6420" width="11.5703125" style="1215" bestFit="1" customWidth="1"/>
    <col min="6421" max="6421" width="8.140625" style="1215" customWidth="1"/>
    <col min="6422" max="6422" width="13" style="1215" bestFit="1" customWidth="1"/>
    <col min="6423" max="6661" width="10.85546875" style="1215"/>
    <col min="6662" max="6662" width="8.85546875" style="1215" customWidth="1"/>
    <col min="6663" max="6663" width="50" style="1215" customWidth="1"/>
    <col min="6664" max="6664" width="6.42578125" style="1215" bestFit="1" customWidth="1"/>
    <col min="6665" max="6665" width="8.85546875" style="1215" customWidth="1"/>
    <col min="6666" max="6666" width="8.5703125" style="1215" customWidth="1"/>
    <col min="6667" max="6667" width="11.42578125" style="1215" bestFit="1" customWidth="1"/>
    <col min="6668" max="6668" width="7.85546875" style="1215" bestFit="1" customWidth="1"/>
    <col min="6669" max="6669" width="11.5703125" style="1215" bestFit="1" customWidth="1"/>
    <col min="6670" max="6670" width="8" style="1215" bestFit="1" customWidth="1"/>
    <col min="6671" max="6671" width="11.5703125" style="1215" bestFit="1" customWidth="1"/>
    <col min="6672" max="6672" width="8.140625" style="1215" bestFit="1" customWidth="1"/>
    <col min="6673" max="6673" width="11.5703125" style="1215" bestFit="1" customWidth="1"/>
    <col min="6674" max="6674" width="8.42578125" style="1215" customWidth="1"/>
    <col min="6675" max="6675" width="7.42578125" style="1215" bestFit="1" customWidth="1"/>
    <col min="6676" max="6676" width="11.5703125" style="1215" bestFit="1" customWidth="1"/>
    <col min="6677" max="6677" width="8.140625" style="1215" customWidth="1"/>
    <col min="6678" max="6678" width="13" style="1215" bestFit="1" customWidth="1"/>
    <col min="6679" max="6917" width="10.85546875" style="1215"/>
    <col min="6918" max="6918" width="8.85546875" style="1215" customWidth="1"/>
    <col min="6919" max="6919" width="50" style="1215" customWidth="1"/>
    <col min="6920" max="6920" width="6.42578125" style="1215" bestFit="1" customWidth="1"/>
    <col min="6921" max="6921" width="8.85546875" style="1215" customWidth="1"/>
    <col min="6922" max="6922" width="8.5703125" style="1215" customWidth="1"/>
    <col min="6923" max="6923" width="11.42578125" style="1215" bestFit="1" customWidth="1"/>
    <col min="6924" max="6924" width="7.85546875" style="1215" bestFit="1" customWidth="1"/>
    <col min="6925" max="6925" width="11.5703125" style="1215" bestFit="1" customWidth="1"/>
    <col min="6926" max="6926" width="8" style="1215" bestFit="1" customWidth="1"/>
    <col min="6927" max="6927" width="11.5703125" style="1215" bestFit="1" customWidth="1"/>
    <col min="6928" max="6928" width="8.140625" style="1215" bestFit="1" customWidth="1"/>
    <col min="6929" max="6929" width="11.5703125" style="1215" bestFit="1" customWidth="1"/>
    <col min="6930" max="6930" width="8.42578125" style="1215" customWidth="1"/>
    <col min="6931" max="6931" width="7.42578125" style="1215" bestFit="1" customWidth="1"/>
    <col min="6932" max="6932" width="11.5703125" style="1215" bestFit="1" customWidth="1"/>
    <col min="6933" max="6933" width="8.140625" style="1215" customWidth="1"/>
    <col min="6934" max="6934" width="13" style="1215" bestFit="1" customWidth="1"/>
    <col min="6935" max="7173" width="10.85546875" style="1215"/>
    <col min="7174" max="7174" width="8.85546875" style="1215" customWidth="1"/>
    <col min="7175" max="7175" width="50" style="1215" customWidth="1"/>
    <col min="7176" max="7176" width="6.42578125" style="1215" bestFit="1" customWidth="1"/>
    <col min="7177" max="7177" width="8.85546875" style="1215" customWidth="1"/>
    <col min="7178" max="7178" width="8.5703125" style="1215" customWidth="1"/>
    <col min="7179" max="7179" width="11.42578125" style="1215" bestFit="1" customWidth="1"/>
    <col min="7180" max="7180" width="7.85546875" style="1215" bestFit="1" customWidth="1"/>
    <col min="7181" max="7181" width="11.5703125" style="1215" bestFit="1" customWidth="1"/>
    <col min="7182" max="7182" width="8" style="1215" bestFit="1" customWidth="1"/>
    <col min="7183" max="7183" width="11.5703125" style="1215" bestFit="1" customWidth="1"/>
    <col min="7184" max="7184" width="8.140625" style="1215" bestFit="1" customWidth="1"/>
    <col min="7185" max="7185" width="11.5703125" style="1215" bestFit="1" customWidth="1"/>
    <col min="7186" max="7186" width="8.42578125" style="1215" customWidth="1"/>
    <col min="7187" max="7187" width="7.42578125" style="1215" bestFit="1" customWidth="1"/>
    <col min="7188" max="7188" width="11.5703125" style="1215" bestFit="1" customWidth="1"/>
    <col min="7189" max="7189" width="8.140625" style="1215" customWidth="1"/>
    <col min="7190" max="7190" width="13" style="1215" bestFit="1" customWidth="1"/>
    <col min="7191" max="7429" width="10.85546875" style="1215"/>
    <col min="7430" max="7430" width="8.85546875" style="1215" customWidth="1"/>
    <col min="7431" max="7431" width="50" style="1215" customWidth="1"/>
    <col min="7432" max="7432" width="6.42578125" style="1215" bestFit="1" customWidth="1"/>
    <col min="7433" max="7433" width="8.85546875" style="1215" customWidth="1"/>
    <col min="7434" max="7434" width="8.5703125" style="1215" customWidth="1"/>
    <col min="7435" max="7435" width="11.42578125" style="1215" bestFit="1" customWidth="1"/>
    <col min="7436" max="7436" width="7.85546875" style="1215" bestFit="1" customWidth="1"/>
    <col min="7437" max="7437" width="11.5703125" style="1215" bestFit="1" customWidth="1"/>
    <col min="7438" max="7438" width="8" style="1215" bestFit="1" customWidth="1"/>
    <col min="7439" max="7439" width="11.5703125" style="1215" bestFit="1" customWidth="1"/>
    <col min="7440" max="7440" width="8.140625" style="1215" bestFit="1" customWidth="1"/>
    <col min="7441" max="7441" width="11.5703125" style="1215" bestFit="1" customWidth="1"/>
    <col min="7442" max="7442" width="8.42578125" style="1215" customWidth="1"/>
    <col min="7443" max="7443" width="7.42578125" style="1215" bestFit="1" customWidth="1"/>
    <col min="7444" max="7444" width="11.5703125" style="1215" bestFit="1" customWidth="1"/>
    <col min="7445" max="7445" width="8.140625" style="1215" customWidth="1"/>
    <col min="7446" max="7446" width="13" style="1215" bestFit="1" customWidth="1"/>
    <col min="7447" max="7685" width="10.85546875" style="1215"/>
    <col min="7686" max="7686" width="8.85546875" style="1215" customWidth="1"/>
    <col min="7687" max="7687" width="50" style="1215" customWidth="1"/>
    <col min="7688" max="7688" width="6.42578125" style="1215" bestFit="1" customWidth="1"/>
    <col min="7689" max="7689" width="8.85546875" style="1215" customWidth="1"/>
    <col min="7690" max="7690" width="8.5703125" style="1215" customWidth="1"/>
    <col min="7691" max="7691" width="11.42578125" style="1215" bestFit="1" customWidth="1"/>
    <col min="7692" max="7692" width="7.85546875" style="1215" bestFit="1" customWidth="1"/>
    <col min="7693" max="7693" width="11.5703125" style="1215" bestFit="1" customWidth="1"/>
    <col min="7694" max="7694" width="8" style="1215" bestFit="1" customWidth="1"/>
    <col min="7695" max="7695" width="11.5703125" style="1215" bestFit="1" customWidth="1"/>
    <col min="7696" max="7696" width="8.140625" style="1215" bestFit="1" customWidth="1"/>
    <col min="7697" max="7697" width="11.5703125" style="1215" bestFit="1" customWidth="1"/>
    <col min="7698" max="7698" width="8.42578125" style="1215" customWidth="1"/>
    <col min="7699" max="7699" width="7.42578125" style="1215" bestFit="1" customWidth="1"/>
    <col min="7700" max="7700" width="11.5703125" style="1215" bestFit="1" customWidth="1"/>
    <col min="7701" max="7701" width="8.140625" style="1215" customWidth="1"/>
    <col min="7702" max="7702" width="13" style="1215" bestFit="1" customWidth="1"/>
    <col min="7703" max="7941" width="10.85546875" style="1215"/>
    <col min="7942" max="7942" width="8.85546875" style="1215" customWidth="1"/>
    <col min="7943" max="7943" width="50" style="1215" customWidth="1"/>
    <col min="7944" max="7944" width="6.42578125" style="1215" bestFit="1" customWidth="1"/>
    <col min="7945" max="7945" width="8.85546875" style="1215" customWidth="1"/>
    <col min="7946" max="7946" width="8.5703125" style="1215" customWidth="1"/>
    <col min="7947" max="7947" width="11.42578125" style="1215" bestFit="1" customWidth="1"/>
    <col min="7948" max="7948" width="7.85546875" style="1215" bestFit="1" customWidth="1"/>
    <col min="7949" max="7949" width="11.5703125" style="1215" bestFit="1" customWidth="1"/>
    <col min="7950" max="7950" width="8" style="1215" bestFit="1" customWidth="1"/>
    <col min="7951" max="7951" width="11.5703125" style="1215" bestFit="1" customWidth="1"/>
    <col min="7952" max="7952" width="8.140625" style="1215" bestFit="1" customWidth="1"/>
    <col min="7953" max="7953" width="11.5703125" style="1215" bestFit="1" customWidth="1"/>
    <col min="7954" max="7954" width="8.42578125" style="1215" customWidth="1"/>
    <col min="7955" max="7955" width="7.42578125" style="1215" bestFit="1" customWidth="1"/>
    <col min="7956" max="7956" width="11.5703125" style="1215" bestFit="1" customWidth="1"/>
    <col min="7957" max="7957" width="8.140625" style="1215" customWidth="1"/>
    <col min="7958" max="7958" width="13" style="1215" bestFit="1" customWidth="1"/>
    <col min="7959" max="8197" width="10.85546875" style="1215"/>
    <col min="8198" max="8198" width="8.85546875" style="1215" customWidth="1"/>
    <col min="8199" max="8199" width="50" style="1215" customWidth="1"/>
    <col min="8200" max="8200" width="6.42578125" style="1215" bestFit="1" customWidth="1"/>
    <col min="8201" max="8201" width="8.85546875" style="1215" customWidth="1"/>
    <col min="8202" max="8202" width="8.5703125" style="1215" customWidth="1"/>
    <col min="8203" max="8203" width="11.42578125" style="1215" bestFit="1" customWidth="1"/>
    <col min="8204" max="8204" width="7.85546875" style="1215" bestFit="1" customWidth="1"/>
    <col min="8205" max="8205" width="11.5703125" style="1215" bestFit="1" customWidth="1"/>
    <col min="8206" max="8206" width="8" style="1215" bestFit="1" customWidth="1"/>
    <col min="8207" max="8207" width="11.5703125" style="1215" bestFit="1" customWidth="1"/>
    <col min="8208" max="8208" width="8.140625" style="1215" bestFit="1" customWidth="1"/>
    <col min="8209" max="8209" width="11.5703125" style="1215" bestFit="1" customWidth="1"/>
    <col min="8210" max="8210" width="8.42578125" style="1215" customWidth="1"/>
    <col min="8211" max="8211" width="7.42578125" style="1215" bestFit="1" customWidth="1"/>
    <col min="8212" max="8212" width="11.5703125" style="1215" bestFit="1" customWidth="1"/>
    <col min="8213" max="8213" width="8.140625" style="1215" customWidth="1"/>
    <col min="8214" max="8214" width="13" style="1215" bestFit="1" customWidth="1"/>
    <col min="8215" max="8453" width="10.85546875" style="1215"/>
    <col min="8454" max="8454" width="8.85546875" style="1215" customWidth="1"/>
    <col min="8455" max="8455" width="50" style="1215" customWidth="1"/>
    <col min="8456" max="8456" width="6.42578125" style="1215" bestFit="1" customWidth="1"/>
    <col min="8457" max="8457" width="8.85546875" style="1215" customWidth="1"/>
    <col min="8458" max="8458" width="8.5703125" style="1215" customWidth="1"/>
    <col min="8459" max="8459" width="11.42578125" style="1215" bestFit="1" customWidth="1"/>
    <col min="8460" max="8460" width="7.85546875" style="1215" bestFit="1" customWidth="1"/>
    <col min="8461" max="8461" width="11.5703125" style="1215" bestFit="1" customWidth="1"/>
    <col min="8462" max="8462" width="8" style="1215" bestFit="1" customWidth="1"/>
    <col min="8463" max="8463" width="11.5703125" style="1215" bestFit="1" customWidth="1"/>
    <col min="8464" max="8464" width="8.140625" style="1215" bestFit="1" customWidth="1"/>
    <col min="8465" max="8465" width="11.5703125" style="1215" bestFit="1" customWidth="1"/>
    <col min="8466" max="8466" width="8.42578125" style="1215" customWidth="1"/>
    <col min="8467" max="8467" width="7.42578125" style="1215" bestFit="1" customWidth="1"/>
    <col min="8468" max="8468" width="11.5703125" style="1215" bestFit="1" customWidth="1"/>
    <col min="8469" max="8469" width="8.140625" style="1215" customWidth="1"/>
    <col min="8470" max="8470" width="13" style="1215" bestFit="1" customWidth="1"/>
    <col min="8471" max="8709" width="10.85546875" style="1215"/>
    <col min="8710" max="8710" width="8.85546875" style="1215" customWidth="1"/>
    <col min="8711" max="8711" width="50" style="1215" customWidth="1"/>
    <col min="8712" max="8712" width="6.42578125" style="1215" bestFit="1" customWidth="1"/>
    <col min="8713" max="8713" width="8.85546875" style="1215" customWidth="1"/>
    <col min="8714" max="8714" width="8.5703125" style="1215" customWidth="1"/>
    <col min="8715" max="8715" width="11.42578125" style="1215" bestFit="1" customWidth="1"/>
    <col min="8716" max="8716" width="7.85546875" style="1215" bestFit="1" customWidth="1"/>
    <col min="8717" max="8717" width="11.5703125" style="1215" bestFit="1" customWidth="1"/>
    <col min="8718" max="8718" width="8" style="1215" bestFit="1" customWidth="1"/>
    <col min="8719" max="8719" width="11.5703125" style="1215" bestFit="1" customWidth="1"/>
    <col min="8720" max="8720" width="8.140625" style="1215" bestFit="1" customWidth="1"/>
    <col min="8721" max="8721" width="11.5703125" style="1215" bestFit="1" customWidth="1"/>
    <col min="8722" max="8722" width="8.42578125" style="1215" customWidth="1"/>
    <col min="8723" max="8723" width="7.42578125" style="1215" bestFit="1" customWidth="1"/>
    <col min="8724" max="8724" width="11.5703125" style="1215" bestFit="1" customWidth="1"/>
    <col min="8725" max="8725" width="8.140625" style="1215" customWidth="1"/>
    <col min="8726" max="8726" width="13" style="1215" bestFit="1" customWidth="1"/>
    <col min="8727" max="8965" width="10.85546875" style="1215"/>
    <col min="8966" max="8966" width="8.85546875" style="1215" customWidth="1"/>
    <col min="8967" max="8967" width="50" style="1215" customWidth="1"/>
    <col min="8968" max="8968" width="6.42578125" style="1215" bestFit="1" customWidth="1"/>
    <col min="8969" max="8969" width="8.85546875" style="1215" customWidth="1"/>
    <col min="8970" max="8970" width="8.5703125" style="1215" customWidth="1"/>
    <col min="8971" max="8971" width="11.42578125" style="1215" bestFit="1" customWidth="1"/>
    <col min="8972" max="8972" width="7.85546875" style="1215" bestFit="1" customWidth="1"/>
    <col min="8973" max="8973" width="11.5703125" style="1215" bestFit="1" customWidth="1"/>
    <col min="8974" max="8974" width="8" style="1215" bestFit="1" customWidth="1"/>
    <col min="8975" max="8975" width="11.5703125" style="1215" bestFit="1" customWidth="1"/>
    <col min="8976" max="8976" width="8.140625" style="1215" bestFit="1" customWidth="1"/>
    <col min="8977" max="8977" width="11.5703125" style="1215" bestFit="1" customWidth="1"/>
    <col min="8978" max="8978" width="8.42578125" style="1215" customWidth="1"/>
    <col min="8979" max="8979" width="7.42578125" style="1215" bestFit="1" customWidth="1"/>
    <col min="8980" max="8980" width="11.5703125" style="1215" bestFit="1" customWidth="1"/>
    <col min="8981" max="8981" width="8.140625" style="1215" customWidth="1"/>
    <col min="8982" max="8982" width="13" style="1215" bestFit="1" customWidth="1"/>
    <col min="8983" max="9221" width="10.85546875" style="1215"/>
    <col min="9222" max="9222" width="8.85546875" style="1215" customWidth="1"/>
    <col min="9223" max="9223" width="50" style="1215" customWidth="1"/>
    <col min="9224" max="9224" width="6.42578125" style="1215" bestFit="1" customWidth="1"/>
    <col min="9225" max="9225" width="8.85546875" style="1215" customWidth="1"/>
    <col min="9226" max="9226" width="8.5703125" style="1215" customWidth="1"/>
    <col min="9227" max="9227" width="11.42578125" style="1215" bestFit="1" customWidth="1"/>
    <col min="9228" max="9228" width="7.85546875" style="1215" bestFit="1" customWidth="1"/>
    <col min="9229" max="9229" width="11.5703125" style="1215" bestFit="1" customWidth="1"/>
    <col min="9230" max="9230" width="8" style="1215" bestFit="1" customWidth="1"/>
    <col min="9231" max="9231" width="11.5703125" style="1215" bestFit="1" customWidth="1"/>
    <col min="9232" max="9232" width="8.140625" style="1215" bestFit="1" customWidth="1"/>
    <col min="9233" max="9233" width="11.5703125" style="1215" bestFit="1" customWidth="1"/>
    <col min="9234" max="9234" width="8.42578125" style="1215" customWidth="1"/>
    <col min="9235" max="9235" width="7.42578125" style="1215" bestFit="1" customWidth="1"/>
    <col min="9236" max="9236" width="11.5703125" style="1215" bestFit="1" customWidth="1"/>
    <col min="9237" max="9237" width="8.140625" style="1215" customWidth="1"/>
    <col min="9238" max="9238" width="13" style="1215" bestFit="1" customWidth="1"/>
    <col min="9239" max="9477" width="10.85546875" style="1215"/>
    <col min="9478" max="9478" width="8.85546875" style="1215" customWidth="1"/>
    <col min="9479" max="9479" width="50" style="1215" customWidth="1"/>
    <col min="9480" max="9480" width="6.42578125" style="1215" bestFit="1" customWidth="1"/>
    <col min="9481" max="9481" width="8.85546875" style="1215" customWidth="1"/>
    <col min="9482" max="9482" width="8.5703125" style="1215" customWidth="1"/>
    <col min="9483" max="9483" width="11.42578125" style="1215" bestFit="1" customWidth="1"/>
    <col min="9484" max="9484" width="7.85546875" style="1215" bestFit="1" customWidth="1"/>
    <col min="9485" max="9485" width="11.5703125" style="1215" bestFit="1" customWidth="1"/>
    <col min="9486" max="9486" width="8" style="1215" bestFit="1" customWidth="1"/>
    <col min="9487" max="9487" width="11.5703125" style="1215" bestFit="1" customWidth="1"/>
    <col min="9488" max="9488" width="8.140625" style="1215" bestFit="1" customWidth="1"/>
    <col min="9489" max="9489" width="11.5703125" style="1215" bestFit="1" customWidth="1"/>
    <col min="9490" max="9490" width="8.42578125" style="1215" customWidth="1"/>
    <col min="9491" max="9491" width="7.42578125" style="1215" bestFit="1" customWidth="1"/>
    <col min="9492" max="9492" width="11.5703125" style="1215" bestFit="1" customWidth="1"/>
    <col min="9493" max="9493" width="8.140625" style="1215" customWidth="1"/>
    <col min="9494" max="9494" width="13" style="1215" bestFit="1" customWidth="1"/>
    <col min="9495" max="9733" width="10.85546875" style="1215"/>
    <col min="9734" max="9734" width="8.85546875" style="1215" customWidth="1"/>
    <col min="9735" max="9735" width="50" style="1215" customWidth="1"/>
    <col min="9736" max="9736" width="6.42578125" style="1215" bestFit="1" customWidth="1"/>
    <col min="9737" max="9737" width="8.85546875" style="1215" customWidth="1"/>
    <col min="9738" max="9738" width="8.5703125" style="1215" customWidth="1"/>
    <col min="9739" max="9739" width="11.42578125" style="1215" bestFit="1" customWidth="1"/>
    <col min="9740" max="9740" width="7.85546875" style="1215" bestFit="1" customWidth="1"/>
    <col min="9741" max="9741" width="11.5703125" style="1215" bestFit="1" customWidth="1"/>
    <col min="9742" max="9742" width="8" style="1215" bestFit="1" customWidth="1"/>
    <col min="9743" max="9743" width="11.5703125" style="1215" bestFit="1" customWidth="1"/>
    <col min="9744" max="9744" width="8.140625" style="1215" bestFit="1" customWidth="1"/>
    <col min="9745" max="9745" width="11.5703125" style="1215" bestFit="1" customWidth="1"/>
    <col min="9746" max="9746" width="8.42578125" style="1215" customWidth="1"/>
    <col min="9747" max="9747" width="7.42578125" style="1215" bestFit="1" customWidth="1"/>
    <col min="9748" max="9748" width="11.5703125" style="1215" bestFit="1" customWidth="1"/>
    <col min="9749" max="9749" width="8.140625" style="1215" customWidth="1"/>
    <col min="9750" max="9750" width="13" style="1215" bestFit="1" customWidth="1"/>
    <col min="9751" max="9989" width="10.85546875" style="1215"/>
    <col min="9990" max="9990" width="8.85546875" style="1215" customWidth="1"/>
    <col min="9991" max="9991" width="50" style="1215" customWidth="1"/>
    <col min="9992" max="9992" width="6.42578125" style="1215" bestFit="1" customWidth="1"/>
    <col min="9993" max="9993" width="8.85546875" style="1215" customWidth="1"/>
    <col min="9994" max="9994" width="8.5703125" style="1215" customWidth="1"/>
    <col min="9995" max="9995" width="11.42578125" style="1215" bestFit="1" customWidth="1"/>
    <col min="9996" max="9996" width="7.85546875" style="1215" bestFit="1" customWidth="1"/>
    <col min="9997" max="9997" width="11.5703125" style="1215" bestFit="1" customWidth="1"/>
    <col min="9998" max="9998" width="8" style="1215" bestFit="1" customWidth="1"/>
    <col min="9999" max="9999" width="11.5703125" style="1215" bestFit="1" customWidth="1"/>
    <col min="10000" max="10000" width="8.140625" style="1215" bestFit="1" customWidth="1"/>
    <col min="10001" max="10001" width="11.5703125" style="1215" bestFit="1" customWidth="1"/>
    <col min="10002" max="10002" width="8.42578125" style="1215" customWidth="1"/>
    <col min="10003" max="10003" width="7.42578125" style="1215" bestFit="1" customWidth="1"/>
    <col min="10004" max="10004" width="11.5703125" style="1215" bestFit="1" customWidth="1"/>
    <col min="10005" max="10005" width="8.140625" style="1215" customWidth="1"/>
    <col min="10006" max="10006" width="13" style="1215" bestFit="1" customWidth="1"/>
    <col min="10007" max="10245" width="10.85546875" style="1215"/>
    <col min="10246" max="10246" width="8.85546875" style="1215" customWidth="1"/>
    <col min="10247" max="10247" width="50" style="1215" customWidth="1"/>
    <col min="10248" max="10248" width="6.42578125" style="1215" bestFit="1" customWidth="1"/>
    <col min="10249" max="10249" width="8.85546875" style="1215" customWidth="1"/>
    <col min="10250" max="10250" width="8.5703125" style="1215" customWidth="1"/>
    <col min="10251" max="10251" width="11.42578125" style="1215" bestFit="1" customWidth="1"/>
    <col min="10252" max="10252" width="7.85546875" style="1215" bestFit="1" customWidth="1"/>
    <col min="10253" max="10253" width="11.5703125" style="1215" bestFit="1" customWidth="1"/>
    <col min="10254" max="10254" width="8" style="1215" bestFit="1" customWidth="1"/>
    <col min="10255" max="10255" width="11.5703125" style="1215" bestFit="1" customWidth="1"/>
    <col min="10256" max="10256" width="8.140625" style="1215" bestFit="1" customWidth="1"/>
    <col min="10257" max="10257" width="11.5703125" style="1215" bestFit="1" customWidth="1"/>
    <col min="10258" max="10258" width="8.42578125" style="1215" customWidth="1"/>
    <col min="10259" max="10259" width="7.42578125" style="1215" bestFit="1" customWidth="1"/>
    <col min="10260" max="10260" width="11.5703125" style="1215" bestFit="1" customWidth="1"/>
    <col min="10261" max="10261" width="8.140625" style="1215" customWidth="1"/>
    <col min="10262" max="10262" width="13" style="1215" bestFit="1" customWidth="1"/>
    <col min="10263" max="10501" width="10.85546875" style="1215"/>
    <col min="10502" max="10502" width="8.85546875" style="1215" customWidth="1"/>
    <col min="10503" max="10503" width="50" style="1215" customWidth="1"/>
    <col min="10504" max="10504" width="6.42578125" style="1215" bestFit="1" customWidth="1"/>
    <col min="10505" max="10505" width="8.85546875" style="1215" customWidth="1"/>
    <col min="10506" max="10506" width="8.5703125" style="1215" customWidth="1"/>
    <col min="10507" max="10507" width="11.42578125" style="1215" bestFit="1" customWidth="1"/>
    <col min="10508" max="10508" width="7.85546875" style="1215" bestFit="1" customWidth="1"/>
    <col min="10509" max="10509" width="11.5703125" style="1215" bestFit="1" customWidth="1"/>
    <col min="10510" max="10510" width="8" style="1215" bestFit="1" customWidth="1"/>
    <col min="10511" max="10511" width="11.5703125" style="1215" bestFit="1" customWidth="1"/>
    <col min="10512" max="10512" width="8.140625" style="1215" bestFit="1" customWidth="1"/>
    <col min="10513" max="10513" width="11.5703125" style="1215" bestFit="1" customWidth="1"/>
    <col min="10514" max="10514" width="8.42578125" style="1215" customWidth="1"/>
    <col min="10515" max="10515" width="7.42578125" style="1215" bestFit="1" customWidth="1"/>
    <col min="10516" max="10516" width="11.5703125" style="1215" bestFit="1" customWidth="1"/>
    <col min="10517" max="10517" width="8.140625" style="1215" customWidth="1"/>
    <col min="10518" max="10518" width="13" style="1215" bestFit="1" customWidth="1"/>
    <col min="10519" max="10757" width="10.85546875" style="1215"/>
    <col min="10758" max="10758" width="8.85546875" style="1215" customWidth="1"/>
    <col min="10759" max="10759" width="50" style="1215" customWidth="1"/>
    <col min="10760" max="10760" width="6.42578125" style="1215" bestFit="1" customWidth="1"/>
    <col min="10761" max="10761" width="8.85546875" style="1215" customWidth="1"/>
    <col min="10762" max="10762" width="8.5703125" style="1215" customWidth="1"/>
    <col min="10763" max="10763" width="11.42578125" style="1215" bestFit="1" customWidth="1"/>
    <col min="10764" max="10764" width="7.85546875" style="1215" bestFit="1" customWidth="1"/>
    <col min="10765" max="10765" width="11.5703125" style="1215" bestFit="1" customWidth="1"/>
    <col min="10766" max="10766" width="8" style="1215" bestFit="1" customWidth="1"/>
    <col min="10767" max="10767" width="11.5703125" style="1215" bestFit="1" customWidth="1"/>
    <col min="10768" max="10768" width="8.140625" style="1215" bestFit="1" customWidth="1"/>
    <col min="10769" max="10769" width="11.5703125" style="1215" bestFit="1" customWidth="1"/>
    <col min="10770" max="10770" width="8.42578125" style="1215" customWidth="1"/>
    <col min="10771" max="10771" width="7.42578125" style="1215" bestFit="1" customWidth="1"/>
    <col min="10772" max="10772" width="11.5703125" style="1215" bestFit="1" customWidth="1"/>
    <col min="10773" max="10773" width="8.140625" style="1215" customWidth="1"/>
    <col min="10774" max="10774" width="13" style="1215" bestFit="1" customWidth="1"/>
    <col min="10775" max="11013" width="10.85546875" style="1215"/>
    <col min="11014" max="11014" width="8.85546875" style="1215" customWidth="1"/>
    <col min="11015" max="11015" width="50" style="1215" customWidth="1"/>
    <col min="11016" max="11016" width="6.42578125" style="1215" bestFit="1" customWidth="1"/>
    <col min="11017" max="11017" width="8.85546875" style="1215" customWidth="1"/>
    <col min="11018" max="11018" width="8.5703125" style="1215" customWidth="1"/>
    <col min="11019" max="11019" width="11.42578125" style="1215" bestFit="1" customWidth="1"/>
    <col min="11020" max="11020" width="7.85546875" style="1215" bestFit="1" customWidth="1"/>
    <col min="11021" max="11021" width="11.5703125" style="1215" bestFit="1" customWidth="1"/>
    <col min="11022" max="11022" width="8" style="1215" bestFit="1" customWidth="1"/>
    <col min="11023" max="11023" width="11.5703125" style="1215" bestFit="1" customWidth="1"/>
    <col min="11024" max="11024" width="8.140625" style="1215" bestFit="1" customWidth="1"/>
    <col min="11025" max="11025" width="11.5703125" style="1215" bestFit="1" customWidth="1"/>
    <col min="11026" max="11026" width="8.42578125" style="1215" customWidth="1"/>
    <col min="11027" max="11027" width="7.42578125" style="1215" bestFit="1" customWidth="1"/>
    <col min="11028" max="11028" width="11.5703125" style="1215" bestFit="1" customWidth="1"/>
    <col min="11029" max="11029" width="8.140625" style="1215" customWidth="1"/>
    <col min="11030" max="11030" width="13" style="1215" bestFit="1" customWidth="1"/>
    <col min="11031" max="11269" width="10.85546875" style="1215"/>
    <col min="11270" max="11270" width="8.85546875" style="1215" customWidth="1"/>
    <col min="11271" max="11271" width="50" style="1215" customWidth="1"/>
    <col min="11272" max="11272" width="6.42578125" style="1215" bestFit="1" customWidth="1"/>
    <col min="11273" max="11273" width="8.85546875" style="1215" customWidth="1"/>
    <col min="11274" max="11274" width="8.5703125" style="1215" customWidth="1"/>
    <col min="11275" max="11275" width="11.42578125" style="1215" bestFit="1" customWidth="1"/>
    <col min="11276" max="11276" width="7.85546875" style="1215" bestFit="1" customWidth="1"/>
    <col min="11277" max="11277" width="11.5703125" style="1215" bestFit="1" customWidth="1"/>
    <col min="11278" max="11278" width="8" style="1215" bestFit="1" customWidth="1"/>
    <col min="11279" max="11279" width="11.5703125" style="1215" bestFit="1" customWidth="1"/>
    <col min="11280" max="11280" width="8.140625" style="1215" bestFit="1" customWidth="1"/>
    <col min="11281" max="11281" width="11.5703125" style="1215" bestFit="1" customWidth="1"/>
    <col min="11282" max="11282" width="8.42578125" style="1215" customWidth="1"/>
    <col min="11283" max="11283" width="7.42578125" style="1215" bestFit="1" customWidth="1"/>
    <col min="11284" max="11284" width="11.5703125" style="1215" bestFit="1" customWidth="1"/>
    <col min="11285" max="11285" width="8.140625" style="1215" customWidth="1"/>
    <col min="11286" max="11286" width="13" style="1215" bestFit="1" customWidth="1"/>
    <col min="11287" max="11525" width="10.85546875" style="1215"/>
    <col min="11526" max="11526" width="8.85546875" style="1215" customWidth="1"/>
    <col min="11527" max="11527" width="50" style="1215" customWidth="1"/>
    <col min="11528" max="11528" width="6.42578125" style="1215" bestFit="1" customWidth="1"/>
    <col min="11529" max="11529" width="8.85546875" style="1215" customWidth="1"/>
    <col min="11530" max="11530" width="8.5703125" style="1215" customWidth="1"/>
    <col min="11531" max="11531" width="11.42578125" style="1215" bestFit="1" customWidth="1"/>
    <col min="11532" max="11532" width="7.85546875" style="1215" bestFit="1" customWidth="1"/>
    <col min="11533" max="11533" width="11.5703125" style="1215" bestFit="1" customWidth="1"/>
    <col min="11534" max="11534" width="8" style="1215" bestFit="1" customWidth="1"/>
    <col min="11535" max="11535" width="11.5703125" style="1215" bestFit="1" customWidth="1"/>
    <col min="11536" max="11536" width="8.140625" style="1215" bestFit="1" customWidth="1"/>
    <col min="11537" max="11537" width="11.5703125" style="1215" bestFit="1" customWidth="1"/>
    <col min="11538" max="11538" width="8.42578125" style="1215" customWidth="1"/>
    <col min="11539" max="11539" width="7.42578125" style="1215" bestFit="1" customWidth="1"/>
    <col min="11540" max="11540" width="11.5703125" style="1215" bestFit="1" customWidth="1"/>
    <col min="11541" max="11541" width="8.140625" style="1215" customWidth="1"/>
    <col min="11542" max="11542" width="13" style="1215" bestFit="1" customWidth="1"/>
    <col min="11543" max="11781" width="10.85546875" style="1215"/>
    <col min="11782" max="11782" width="8.85546875" style="1215" customWidth="1"/>
    <col min="11783" max="11783" width="50" style="1215" customWidth="1"/>
    <col min="11784" max="11784" width="6.42578125" style="1215" bestFit="1" customWidth="1"/>
    <col min="11785" max="11785" width="8.85546875" style="1215" customWidth="1"/>
    <col min="11786" max="11786" width="8.5703125" style="1215" customWidth="1"/>
    <col min="11787" max="11787" width="11.42578125" style="1215" bestFit="1" customWidth="1"/>
    <col min="11788" max="11788" width="7.85546875" style="1215" bestFit="1" customWidth="1"/>
    <col min="11789" max="11789" width="11.5703125" style="1215" bestFit="1" customWidth="1"/>
    <col min="11790" max="11790" width="8" style="1215" bestFit="1" customWidth="1"/>
    <col min="11791" max="11791" width="11.5703125" style="1215" bestFit="1" customWidth="1"/>
    <col min="11792" max="11792" width="8.140625" style="1215" bestFit="1" customWidth="1"/>
    <col min="11793" max="11793" width="11.5703125" style="1215" bestFit="1" customWidth="1"/>
    <col min="11794" max="11794" width="8.42578125" style="1215" customWidth="1"/>
    <col min="11795" max="11795" width="7.42578125" style="1215" bestFit="1" customWidth="1"/>
    <col min="11796" max="11796" width="11.5703125" style="1215" bestFit="1" customWidth="1"/>
    <col min="11797" max="11797" width="8.140625" style="1215" customWidth="1"/>
    <col min="11798" max="11798" width="13" style="1215" bestFit="1" customWidth="1"/>
    <col min="11799" max="12037" width="10.85546875" style="1215"/>
    <col min="12038" max="12038" width="8.85546875" style="1215" customWidth="1"/>
    <col min="12039" max="12039" width="50" style="1215" customWidth="1"/>
    <col min="12040" max="12040" width="6.42578125" style="1215" bestFit="1" customWidth="1"/>
    <col min="12041" max="12041" width="8.85546875" style="1215" customWidth="1"/>
    <col min="12042" max="12042" width="8.5703125" style="1215" customWidth="1"/>
    <col min="12043" max="12043" width="11.42578125" style="1215" bestFit="1" customWidth="1"/>
    <col min="12044" max="12044" width="7.85546875" style="1215" bestFit="1" customWidth="1"/>
    <col min="12045" max="12045" width="11.5703125" style="1215" bestFit="1" customWidth="1"/>
    <col min="12046" max="12046" width="8" style="1215" bestFit="1" customWidth="1"/>
    <col min="12047" max="12047" width="11.5703125" style="1215" bestFit="1" customWidth="1"/>
    <col min="12048" max="12048" width="8.140625" style="1215" bestFit="1" customWidth="1"/>
    <col min="12049" max="12049" width="11.5703125" style="1215" bestFit="1" customWidth="1"/>
    <col min="12050" max="12050" width="8.42578125" style="1215" customWidth="1"/>
    <col min="12051" max="12051" width="7.42578125" style="1215" bestFit="1" customWidth="1"/>
    <col min="12052" max="12052" width="11.5703125" style="1215" bestFit="1" customWidth="1"/>
    <col min="12053" max="12053" width="8.140625" style="1215" customWidth="1"/>
    <col min="12054" max="12054" width="13" style="1215" bestFit="1" customWidth="1"/>
    <col min="12055" max="12293" width="10.85546875" style="1215"/>
    <col min="12294" max="12294" width="8.85546875" style="1215" customWidth="1"/>
    <col min="12295" max="12295" width="50" style="1215" customWidth="1"/>
    <col min="12296" max="12296" width="6.42578125" style="1215" bestFit="1" customWidth="1"/>
    <col min="12297" max="12297" width="8.85546875" style="1215" customWidth="1"/>
    <col min="12298" max="12298" width="8.5703125" style="1215" customWidth="1"/>
    <col min="12299" max="12299" width="11.42578125" style="1215" bestFit="1" customWidth="1"/>
    <col min="12300" max="12300" width="7.85546875" style="1215" bestFit="1" customWidth="1"/>
    <col min="12301" max="12301" width="11.5703125" style="1215" bestFit="1" customWidth="1"/>
    <col min="12302" max="12302" width="8" style="1215" bestFit="1" customWidth="1"/>
    <col min="12303" max="12303" width="11.5703125" style="1215" bestFit="1" customWidth="1"/>
    <col min="12304" max="12304" width="8.140625" style="1215" bestFit="1" customWidth="1"/>
    <col min="12305" max="12305" width="11.5703125" style="1215" bestFit="1" customWidth="1"/>
    <col min="12306" max="12306" width="8.42578125" style="1215" customWidth="1"/>
    <col min="12307" max="12307" width="7.42578125" style="1215" bestFit="1" customWidth="1"/>
    <col min="12308" max="12308" width="11.5703125" style="1215" bestFit="1" customWidth="1"/>
    <col min="12309" max="12309" width="8.140625" style="1215" customWidth="1"/>
    <col min="12310" max="12310" width="13" style="1215" bestFit="1" customWidth="1"/>
    <col min="12311" max="12549" width="10.85546875" style="1215"/>
    <col min="12550" max="12550" width="8.85546875" style="1215" customWidth="1"/>
    <col min="12551" max="12551" width="50" style="1215" customWidth="1"/>
    <col min="12552" max="12552" width="6.42578125" style="1215" bestFit="1" customWidth="1"/>
    <col min="12553" max="12553" width="8.85546875" style="1215" customWidth="1"/>
    <col min="12554" max="12554" width="8.5703125" style="1215" customWidth="1"/>
    <col min="12555" max="12555" width="11.42578125" style="1215" bestFit="1" customWidth="1"/>
    <col min="12556" max="12556" width="7.85546875" style="1215" bestFit="1" customWidth="1"/>
    <col min="12557" max="12557" width="11.5703125" style="1215" bestFit="1" customWidth="1"/>
    <col min="12558" max="12558" width="8" style="1215" bestFit="1" customWidth="1"/>
    <col min="12559" max="12559" width="11.5703125" style="1215" bestFit="1" customWidth="1"/>
    <col min="12560" max="12560" width="8.140625" style="1215" bestFit="1" customWidth="1"/>
    <col min="12561" max="12561" width="11.5703125" style="1215" bestFit="1" customWidth="1"/>
    <col min="12562" max="12562" width="8.42578125" style="1215" customWidth="1"/>
    <col min="12563" max="12563" width="7.42578125" style="1215" bestFit="1" customWidth="1"/>
    <col min="12564" max="12564" width="11.5703125" style="1215" bestFit="1" customWidth="1"/>
    <col min="12565" max="12565" width="8.140625" style="1215" customWidth="1"/>
    <col min="12566" max="12566" width="13" style="1215" bestFit="1" customWidth="1"/>
    <col min="12567" max="12805" width="10.85546875" style="1215"/>
    <col min="12806" max="12806" width="8.85546875" style="1215" customWidth="1"/>
    <col min="12807" max="12807" width="50" style="1215" customWidth="1"/>
    <col min="12808" max="12808" width="6.42578125" style="1215" bestFit="1" customWidth="1"/>
    <col min="12809" max="12809" width="8.85546875" style="1215" customWidth="1"/>
    <col min="12810" max="12810" width="8.5703125" style="1215" customWidth="1"/>
    <col min="12811" max="12811" width="11.42578125" style="1215" bestFit="1" customWidth="1"/>
    <col min="12812" max="12812" width="7.85546875" style="1215" bestFit="1" customWidth="1"/>
    <col min="12813" max="12813" width="11.5703125" style="1215" bestFit="1" customWidth="1"/>
    <col min="12814" max="12814" width="8" style="1215" bestFit="1" customWidth="1"/>
    <col min="12815" max="12815" width="11.5703125" style="1215" bestFit="1" customWidth="1"/>
    <col min="12816" max="12816" width="8.140625" style="1215" bestFit="1" customWidth="1"/>
    <col min="12817" max="12817" width="11.5703125" style="1215" bestFit="1" customWidth="1"/>
    <col min="12818" max="12818" width="8.42578125" style="1215" customWidth="1"/>
    <col min="12819" max="12819" width="7.42578125" style="1215" bestFit="1" customWidth="1"/>
    <col min="12820" max="12820" width="11.5703125" style="1215" bestFit="1" customWidth="1"/>
    <col min="12821" max="12821" width="8.140625" style="1215" customWidth="1"/>
    <col min="12822" max="12822" width="13" style="1215" bestFit="1" customWidth="1"/>
    <col min="12823" max="13061" width="10.85546875" style="1215"/>
    <col min="13062" max="13062" width="8.85546875" style="1215" customWidth="1"/>
    <col min="13063" max="13063" width="50" style="1215" customWidth="1"/>
    <col min="13064" max="13064" width="6.42578125" style="1215" bestFit="1" customWidth="1"/>
    <col min="13065" max="13065" width="8.85546875" style="1215" customWidth="1"/>
    <col min="13066" max="13066" width="8.5703125" style="1215" customWidth="1"/>
    <col min="13067" max="13067" width="11.42578125" style="1215" bestFit="1" customWidth="1"/>
    <col min="13068" max="13068" width="7.85546875" style="1215" bestFit="1" customWidth="1"/>
    <col min="13069" max="13069" width="11.5703125" style="1215" bestFit="1" customWidth="1"/>
    <col min="13070" max="13070" width="8" style="1215" bestFit="1" customWidth="1"/>
    <col min="13071" max="13071" width="11.5703125" style="1215" bestFit="1" customWidth="1"/>
    <col min="13072" max="13072" width="8.140625" style="1215" bestFit="1" customWidth="1"/>
    <col min="13073" max="13073" width="11.5703125" style="1215" bestFit="1" customWidth="1"/>
    <col min="13074" max="13074" width="8.42578125" style="1215" customWidth="1"/>
    <col min="13075" max="13075" width="7.42578125" style="1215" bestFit="1" customWidth="1"/>
    <col min="13076" max="13076" width="11.5703125" style="1215" bestFit="1" customWidth="1"/>
    <col min="13077" max="13077" width="8.140625" style="1215" customWidth="1"/>
    <col min="13078" max="13078" width="13" style="1215" bestFit="1" customWidth="1"/>
    <col min="13079" max="13317" width="10.85546875" style="1215"/>
    <col min="13318" max="13318" width="8.85546875" style="1215" customWidth="1"/>
    <col min="13319" max="13319" width="50" style="1215" customWidth="1"/>
    <col min="13320" max="13320" width="6.42578125" style="1215" bestFit="1" customWidth="1"/>
    <col min="13321" max="13321" width="8.85546875" style="1215" customWidth="1"/>
    <col min="13322" max="13322" width="8.5703125" style="1215" customWidth="1"/>
    <col min="13323" max="13323" width="11.42578125" style="1215" bestFit="1" customWidth="1"/>
    <col min="13324" max="13324" width="7.85546875" style="1215" bestFit="1" customWidth="1"/>
    <col min="13325" max="13325" width="11.5703125" style="1215" bestFit="1" customWidth="1"/>
    <col min="13326" max="13326" width="8" style="1215" bestFit="1" customWidth="1"/>
    <col min="13327" max="13327" width="11.5703125" style="1215" bestFit="1" customWidth="1"/>
    <col min="13328" max="13328" width="8.140625" style="1215" bestFit="1" customWidth="1"/>
    <col min="13329" max="13329" width="11.5703125" style="1215" bestFit="1" customWidth="1"/>
    <col min="13330" max="13330" width="8.42578125" style="1215" customWidth="1"/>
    <col min="13331" max="13331" width="7.42578125" style="1215" bestFit="1" customWidth="1"/>
    <col min="13332" max="13332" width="11.5703125" style="1215" bestFit="1" customWidth="1"/>
    <col min="13333" max="13333" width="8.140625" style="1215" customWidth="1"/>
    <col min="13334" max="13334" width="13" style="1215" bestFit="1" customWidth="1"/>
    <col min="13335" max="13573" width="10.85546875" style="1215"/>
    <col min="13574" max="13574" width="8.85546875" style="1215" customWidth="1"/>
    <col min="13575" max="13575" width="50" style="1215" customWidth="1"/>
    <col min="13576" max="13576" width="6.42578125" style="1215" bestFit="1" customWidth="1"/>
    <col min="13577" max="13577" width="8.85546875" style="1215" customWidth="1"/>
    <col min="13578" max="13578" width="8.5703125" style="1215" customWidth="1"/>
    <col min="13579" max="13579" width="11.42578125" style="1215" bestFit="1" customWidth="1"/>
    <col min="13580" max="13580" width="7.85546875" style="1215" bestFit="1" customWidth="1"/>
    <col min="13581" max="13581" width="11.5703125" style="1215" bestFit="1" customWidth="1"/>
    <col min="13582" max="13582" width="8" style="1215" bestFit="1" customWidth="1"/>
    <col min="13583" max="13583" width="11.5703125" style="1215" bestFit="1" customWidth="1"/>
    <col min="13584" max="13584" width="8.140625" style="1215" bestFit="1" customWidth="1"/>
    <col min="13585" max="13585" width="11.5703125" style="1215" bestFit="1" customWidth="1"/>
    <col min="13586" max="13586" width="8.42578125" style="1215" customWidth="1"/>
    <col min="13587" max="13587" width="7.42578125" style="1215" bestFit="1" customWidth="1"/>
    <col min="13588" max="13588" width="11.5703125" style="1215" bestFit="1" customWidth="1"/>
    <col min="13589" max="13589" width="8.140625" style="1215" customWidth="1"/>
    <col min="13590" max="13590" width="13" style="1215" bestFit="1" customWidth="1"/>
    <col min="13591" max="13829" width="10.85546875" style="1215"/>
    <col min="13830" max="13830" width="8.85546875" style="1215" customWidth="1"/>
    <col min="13831" max="13831" width="50" style="1215" customWidth="1"/>
    <col min="13832" max="13832" width="6.42578125" style="1215" bestFit="1" customWidth="1"/>
    <col min="13833" max="13833" width="8.85546875" style="1215" customWidth="1"/>
    <col min="13834" max="13834" width="8.5703125" style="1215" customWidth="1"/>
    <col min="13835" max="13835" width="11.42578125" style="1215" bestFit="1" customWidth="1"/>
    <col min="13836" max="13836" width="7.85546875" style="1215" bestFit="1" customWidth="1"/>
    <col min="13837" max="13837" width="11.5703125" style="1215" bestFit="1" customWidth="1"/>
    <col min="13838" max="13838" width="8" style="1215" bestFit="1" customWidth="1"/>
    <col min="13839" max="13839" width="11.5703125" style="1215" bestFit="1" customWidth="1"/>
    <col min="13840" max="13840" width="8.140625" style="1215" bestFit="1" customWidth="1"/>
    <col min="13841" max="13841" width="11.5703125" style="1215" bestFit="1" customWidth="1"/>
    <col min="13842" max="13842" width="8.42578125" style="1215" customWidth="1"/>
    <col min="13843" max="13843" width="7.42578125" style="1215" bestFit="1" customWidth="1"/>
    <col min="13844" max="13844" width="11.5703125" style="1215" bestFit="1" customWidth="1"/>
    <col min="13845" max="13845" width="8.140625" style="1215" customWidth="1"/>
    <col min="13846" max="13846" width="13" style="1215" bestFit="1" customWidth="1"/>
    <col min="13847" max="14085" width="10.85546875" style="1215"/>
    <col min="14086" max="14086" width="8.85546875" style="1215" customWidth="1"/>
    <col min="14087" max="14087" width="50" style="1215" customWidth="1"/>
    <col min="14088" max="14088" width="6.42578125" style="1215" bestFit="1" customWidth="1"/>
    <col min="14089" max="14089" width="8.85546875" style="1215" customWidth="1"/>
    <col min="14090" max="14090" width="8.5703125" style="1215" customWidth="1"/>
    <col min="14091" max="14091" width="11.42578125" style="1215" bestFit="1" customWidth="1"/>
    <col min="14092" max="14092" width="7.85546875" style="1215" bestFit="1" customWidth="1"/>
    <col min="14093" max="14093" width="11.5703125" style="1215" bestFit="1" customWidth="1"/>
    <col min="14094" max="14094" width="8" style="1215" bestFit="1" customWidth="1"/>
    <col min="14095" max="14095" width="11.5703125" style="1215" bestFit="1" customWidth="1"/>
    <col min="14096" max="14096" width="8.140625" style="1215" bestFit="1" customWidth="1"/>
    <col min="14097" max="14097" width="11.5703125" style="1215" bestFit="1" customWidth="1"/>
    <col min="14098" max="14098" width="8.42578125" style="1215" customWidth="1"/>
    <col min="14099" max="14099" width="7.42578125" style="1215" bestFit="1" customWidth="1"/>
    <col min="14100" max="14100" width="11.5703125" style="1215" bestFit="1" customWidth="1"/>
    <col min="14101" max="14101" width="8.140625" style="1215" customWidth="1"/>
    <col min="14102" max="14102" width="13" style="1215" bestFit="1" customWidth="1"/>
    <col min="14103" max="14341" width="10.85546875" style="1215"/>
    <col min="14342" max="14342" width="8.85546875" style="1215" customWidth="1"/>
    <col min="14343" max="14343" width="50" style="1215" customWidth="1"/>
    <col min="14344" max="14344" width="6.42578125" style="1215" bestFit="1" customWidth="1"/>
    <col min="14345" max="14345" width="8.85546875" style="1215" customWidth="1"/>
    <col min="14346" max="14346" width="8.5703125" style="1215" customWidth="1"/>
    <col min="14347" max="14347" width="11.42578125" style="1215" bestFit="1" customWidth="1"/>
    <col min="14348" max="14348" width="7.85546875" style="1215" bestFit="1" customWidth="1"/>
    <col min="14349" max="14349" width="11.5703125" style="1215" bestFit="1" customWidth="1"/>
    <col min="14350" max="14350" width="8" style="1215" bestFit="1" customWidth="1"/>
    <col min="14351" max="14351" width="11.5703125" style="1215" bestFit="1" customWidth="1"/>
    <col min="14352" max="14352" width="8.140625" style="1215" bestFit="1" customWidth="1"/>
    <col min="14353" max="14353" width="11.5703125" style="1215" bestFit="1" customWidth="1"/>
    <col min="14354" max="14354" width="8.42578125" style="1215" customWidth="1"/>
    <col min="14355" max="14355" width="7.42578125" style="1215" bestFit="1" customWidth="1"/>
    <col min="14356" max="14356" width="11.5703125" style="1215" bestFit="1" customWidth="1"/>
    <col min="14357" max="14357" width="8.140625" style="1215" customWidth="1"/>
    <col min="14358" max="14358" width="13" style="1215" bestFit="1" customWidth="1"/>
    <col min="14359" max="14597" width="10.85546875" style="1215"/>
    <col min="14598" max="14598" width="8.85546875" style="1215" customWidth="1"/>
    <col min="14599" max="14599" width="50" style="1215" customWidth="1"/>
    <col min="14600" max="14600" width="6.42578125" style="1215" bestFit="1" customWidth="1"/>
    <col min="14601" max="14601" width="8.85546875" style="1215" customWidth="1"/>
    <col min="14602" max="14602" width="8.5703125" style="1215" customWidth="1"/>
    <col min="14603" max="14603" width="11.42578125" style="1215" bestFit="1" customWidth="1"/>
    <col min="14604" max="14604" width="7.85546875" style="1215" bestFit="1" customWidth="1"/>
    <col min="14605" max="14605" width="11.5703125" style="1215" bestFit="1" customWidth="1"/>
    <col min="14606" max="14606" width="8" style="1215" bestFit="1" customWidth="1"/>
    <col min="14607" max="14607" width="11.5703125" style="1215" bestFit="1" customWidth="1"/>
    <col min="14608" max="14608" width="8.140625" style="1215" bestFit="1" customWidth="1"/>
    <col min="14609" max="14609" width="11.5703125" style="1215" bestFit="1" customWidth="1"/>
    <col min="14610" max="14610" width="8.42578125" style="1215" customWidth="1"/>
    <col min="14611" max="14611" width="7.42578125" style="1215" bestFit="1" customWidth="1"/>
    <col min="14612" max="14612" width="11.5703125" style="1215" bestFit="1" customWidth="1"/>
    <col min="14613" max="14613" width="8.140625" style="1215" customWidth="1"/>
    <col min="14614" max="14614" width="13" style="1215" bestFit="1" customWidth="1"/>
    <col min="14615" max="14853" width="10.85546875" style="1215"/>
    <col min="14854" max="14854" width="8.85546875" style="1215" customWidth="1"/>
    <col min="14855" max="14855" width="50" style="1215" customWidth="1"/>
    <col min="14856" max="14856" width="6.42578125" style="1215" bestFit="1" customWidth="1"/>
    <col min="14857" max="14857" width="8.85546875" style="1215" customWidth="1"/>
    <col min="14858" max="14858" width="8.5703125" style="1215" customWidth="1"/>
    <col min="14859" max="14859" width="11.42578125" style="1215" bestFit="1" customWidth="1"/>
    <col min="14860" max="14860" width="7.85546875" style="1215" bestFit="1" customWidth="1"/>
    <col min="14861" max="14861" width="11.5703125" style="1215" bestFit="1" customWidth="1"/>
    <col min="14862" max="14862" width="8" style="1215" bestFit="1" customWidth="1"/>
    <col min="14863" max="14863" width="11.5703125" style="1215" bestFit="1" customWidth="1"/>
    <col min="14864" max="14864" width="8.140625" style="1215" bestFit="1" customWidth="1"/>
    <col min="14865" max="14865" width="11.5703125" style="1215" bestFit="1" customWidth="1"/>
    <col min="14866" max="14866" width="8.42578125" style="1215" customWidth="1"/>
    <col min="14867" max="14867" width="7.42578125" style="1215" bestFit="1" customWidth="1"/>
    <col min="14868" max="14868" width="11.5703125" style="1215" bestFit="1" customWidth="1"/>
    <col min="14869" max="14869" width="8.140625" style="1215" customWidth="1"/>
    <col min="14870" max="14870" width="13" style="1215" bestFit="1" customWidth="1"/>
    <col min="14871" max="15109" width="10.85546875" style="1215"/>
    <col min="15110" max="15110" width="8.85546875" style="1215" customWidth="1"/>
    <col min="15111" max="15111" width="50" style="1215" customWidth="1"/>
    <col min="15112" max="15112" width="6.42578125" style="1215" bestFit="1" customWidth="1"/>
    <col min="15113" max="15113" width="8.85546875" style="1215" customWidth="1"/>
    <col min="15114" max="15114" width="8.5703125" style="1215" customWidth="1"/>
    <col min="15115" max="15115" width="11.42578125" style="1215" bestFit="1" customWidth="1"/>
    <col min="15116" max="15116" width="7.85546875" style="1215" bestFit="1" customWidth="1"/>
    <col min="15117" max="15117" width="11.5703125" style="1215" bestFit="1" customWidth="1"/>
    <col min="15118" max="15118" width="8" style="1215" bestFit="1" customWidth="1"/>
    <col min="15119" max="15119" width="11.5703125" style="1215" bestFit="1" customWidth="1"/>
    <col min="15120" max="15120" width="8.140625" style="1215" bestFit="1" customWidth="1"/>
    <col min="15121" max="15121" width="11.5703125" style="1215" bestFit="1" customWidth="1"/>
    <col min="15122" max="15122" width="8.42578125" style="1215" customWidth="1"/>
    <col min="15123" max="15123" width="7.42578125" style="1215" bestFit="1" customWidth="1"/>
    <col min="15124" max="15124" width="11.5703125" style="1215" bestFit="1" customWidth="1"/>
    <col min="15125" max="15125" width="8.140625" style="1215" customWidth="1"/>
    <col min="15126" max="15126" width="13" style="1215" bestFit="1" customWidth="1"/>
    <col min="15127" max="15365" width="10.85546875" style="1215"/>
    <col min="15366" max="15366" width="8.85546875" style="1215" customWidth="1"/>
    <col min="15367" max="15367" width="50" style="1215" customWidth="1"/>
    <col min="15368" max="15368" width="6.42578125" style="1215" bestFit="1" customWidth="1"/>
    <col min="15369" max="15369" width="8.85546875" style="1215" customWidth="1"/>
    <col min="15370" max="15370" width="8.5703125" style="1215" customWidth="1"/>
    <col min="15371" max="15371" width="11.42578125" style="1215" bestFit="1" customWidth="1"/>
    <col min="15372" max="15372" width="7.85546875" style="1215" bestFit="1" customWidth="1"/>
    <col min="15373" max="15373" width="11.5703125" style="1215" bestFit="1" customWidth="1"/>
    <col min="15374" max="15374" width="8" style="1215" bestFit="1" customWidth="1"/>
    <col min="15375" max="15375" width="11.5703125" style="1215" bestFit="1" customWidth="1"/>
    <col min="15376" max="15376" width="8.140625" style="1215" bestFit="1" customWidth="1"/>
    <col min="15377" max="15377" width="11.5703125" style="1215" bestFit="1" customWidth="1"/>
    <col min="15378" max="15378" width="8.42578125" style="1215" customWidth="1"/>
    <col min="15379" max="15379" width="7.42578125" style="1215" bestFit="1" customWidth="1"/>
    <col min="15380" max="15380" width="11.5703125" style="1215" bestFit="1" customWidth="1"/>
    <col min="15381" max="15381" width="8.140625" style="1215" customWidth="1"/>
    <col min="15382" max="15382" width="13" style="1215" bestFit="1" customWidth="1"/>
    <col min="15383" max="15621" width="10.85546875" style="1215"/>
    <col min="15622" max="15622" width="8.85546875" style="1215" customWidth="1"/>
    <col min="15623" max="15623" width="50" style="1215" customWidth="1"/>
    <col min="15624" max="15624" width="6.42578125" style="1215" bestFit="1" customWidth="1"/>
    <col min="15625" max="15625" width="8.85546875" style="1215" customWidth="1"/>
    <col min="15626" max="15626" width="8.5703125" style="1215" customWidth="1"/>
    <col min="15627" max="15627" width="11.42578125" style="1215" bestFit="1" customWidth="1"/>
    <col min="15628" max="15628" width="7.85546875" style="1215" bestFit="1" customWidth="1"/>
    <col min="15629" max="15629" width="11.5703125" style="1215" bestFit="1" customWidth="1"/>
    <col min="15630" max="15630" width="8" style="1215" bestFit="1" customWidth="1"/>
    <col min="15631" max="15631" width="11.5703125" style="1215" bestFit="1" customWidth="1"/>
    <col min="15632" max="15632" width="8.140625" style="1215" bestFit="1" customWidth="1"/>
    <col min="15633" max="15633" width="11.5703125" style="1215" bestFit="1" customWidth="1"/>
    <col min="15634" max="15634" width="8.42578125" style="1215" customWidth="1"/>
    <col min="15635" max="15635" width="7.42578125" style="1215" bestFit="1" customWidth="1"/>
    <col min="15636" max="15636" width="11.5703125" style="1215" bestFit="1" customWidth="1"/>
    <col min="15637" max="15637" width="8.140625" style="1215" customWidth="1"/>
    <col min="15638" max="15638" width="13" style="1215" bestFit="1" customWidth="1"/>
    <col min="15639" max="15877" width="10.85546875" style="1215"/>
    <col min="15878" max="15878" width="8.85546875" style="1215" customWidth="1"/>
    <col min="15879" max="15879" width="50" style="1215" customWidth="1"/>
    <col min="15880" max="15880" width="6.42578125" style="1215" bestFit="1" customWidth="1"/>
    <col min="15881" max="15881" width="8.85546875" style="1215" customWidth="1"/>
    <col min="15882" max="15882" width="8.5703125" style="1215" customWidth="1"/>
    <col min="15883" max="15883" width="11.42578125" style="1215" bestFit="1" customWidth="1"/>
    <col min="15884" max="15884" width="7.85546875" style="1215" bestFit="1" customWidth="1"/>
    <col min="15885" max="15885" width="11.5703125" style="1215" bestFit="1" customWidth="1"/>
    <col min="15886" max="15886" width="8" style="1215" bestFit="1" customWidth="1"/>
    <col min="15887" max="15887" width="11.5703125" style="1215" bestFit="1" customWidth="1"/>
    <col min="15888" max="15888" width="8.140625" style="1215" bestFit="1" customWidth="1"/>
    <col min="15889" max="15889" width="11.5703125" style="1215" bestFit="1" customWidth="1"/>
    <col min="15890" max="15890" width="8.42578125" style="1215" customWidth="1"/>
    <col min="15891" max="15891" width="7.42578125" style="1215" bestFit="1" customWidth="1"/>
    <col min="15892" max="15892" width="11.5703125" style="1215" bestFit="1" customWidth="1"/>
    <col min="15893" max="15893" width="8.140625" style="1215" customWidth="1"/>
    <col min="15894" max="15894" width="13" style="1215" bestFit="1" customWidth="1"/>
    <col min="15895" max="16133" width="10.85546875" style="1215"/>
    <col min="16134" max="16134" width="8.85546875" style="1215" customWidth="1"/>
    <col min="16135" max="16135" width="50" style="1215" customWidth="1"/>
    <col min="16136" max="16136" width="6.42578125" style="1215" bestFit="1" customWidth="1"/>
    <col min="16137" max="16137" width="8.85546875" style="1215" customWidth="1"/>
    <col min="16138" max="16138" width="8.5703125" style="1215" customWidth="1"/>
    <col min="16139" max="16139" width="11.42578125" style="1215" bestFit="1" customWidth="1"/>
    <col min="16140" max="16140" width="7.85546875" style="1215" bestFit="1" customWidth="1"/>
    <col min="16141" max="16141" width="11.5703125" style="1215" bestFit="1" customWidth="1"/>
    <col min="16142" max="16142" width="8" style="1215" bestFit="1" customWidth="1"/>
    <col min="16143" max="16143" width="11.5703125" style="1215" bestFit="1" customWidth="1"/>
    <col min="16144" max="16144" width="8.140625" style="1215" bestFit="1" customWidth="1"/>
    <col min="16145" max="16145" width="11.5703125" style="1215" bestFit="1" customWidth="1"/>
    <col min="16146" max="16146" width="8.42578125" style="1215" customWidth="1"/>
    <col min="16147" max="16147" width="7.42578125" style="1215" bestFit="1" customWidth="1"/>
    <col min="16148" max="16148" width="11.5703125" style="1215" bestFit="1" customWidth="1"/>
    <col min="16149" max="16149" width="8.140625" style="1215" customWidth="1"/>
    <col min="16150" max="16150" width="13" style="1215" bestFit="1" customWidth="1"/>
    <col min="16151" max="16384" width="10.85546875" style="1215"/>
  </cols>
  <sheetData>
    <row r="1" spans="1:25" s="1736" customFormat="1" ht="15.75">
      <c r="B1" s="3198" t="s">
        <v>12</v>
      </c>
      <c r="C1" s="3198"/>
      <c r="D1" s="3198"/>
      <c r="E1" s="3198"/>
      <c r="F1" s="3198"/>
      <c r="G1" s="3198"/>
      <c r="H1" s="3198"/>
      <c r="I1" s="3198"/>
      <c r="J1" s="3198"/>
      <c r="K1" s="3198"/>
      <c r="L1" s="3198"/>
      <c r="M1" s="3198"/>
      <c r="N1" s="3198"/>
      <c r="O1" s="3198"/>
      <c r="P1" s="3198"/>
      <c r="Q1" s="3198"/>
      <c r="R1" s="3198"/>
      <c r="S1" s="3198"/>
      <c r="W1" s="1737"/>
    </row>
    <row r="2" spans="1:25" s="1736" customFormat="1" ht="15.75">
      <c r="B2" s="3198" t="s">
        <v>4410</v>
      </c>
      <c r="C2" s="3198"/>
      <c r="D2" s="3198"/>
      <c r="E2" s="3198"/>
      <c r="F2" s="3198"/>
      <c r="G2" s="3198"/>
      <c r="H2" s="3198"/>
      <c r="I2" s="3198"/>
      <c r="J2" s="3198"/>
      <c r="K2" s="3198"/>
      <c r="L2" s="3198"/>
      <c r="M2" s="3198"/>
      <c r="N2" s="3198"/>
      <c r="O2" s="3198"/>
      <c r="P2" s="3198"/>
      <c r="Q2" s="3198"/>
      <c r="R2" s="3198"/>
      <c r="S2" s="3198"/>
      <c r="W2" s="1737"/>
    </row>
    <row r="3" spans="1:25" s="1736" customFormat="1" ht="15.75">
      <c r="B3" s="3198" t="s">
        <v>4388</v>
      </c>
      <c r="C3" s="3198"/>
      <c r="D3" s="3198"/>
      <c r="E3" s="3198"/>
      <c r="F3" s="3198"/>
      <c r="G3" s="3198"/>
      <c r="H3" s="3198"/>
      <c r="I3" s="3198"/>
      <c r="J3" s="3198"/>
      <c r="K3" s="3198"/>
      <c r="L3" s="3198"/>
      <c r="M3" s="3198"/>
      <c r="N3" s="3198"/>
      <c r="O3" s="3198"/>
      <c r="P3" s="3198"/>
      <c r="Q3" s="3198"/>
      <c r="R3" s="3198"/>
      <c r="S3" s="3198"/>
      <c r="W3" s="1737"/>
    </row>
    <row r="4" spans="1:25" s="1231" customFormat="1" ht="28.35" customHeight="1">
      <c r="B4" s="1346"/>
      <c r="C4" s="1738" t="s">
        <v>6</v>
      </c>
      <c r="D4" s="1430" t="s">
        <v>4</v>
      </c>
      <c r="E4" s="3199" t="s">
        <v>2826</v>
      </c>
      <c r="F4" s="3199"/>
      <c r="G4" s="3199"/>
      <c r="H4" s="3199"/>
      <c r="I4" s="3199"/>
      <c r="J4" s="3199"/>
      <c r="K4" s="3199"/>
      <c r="L4" s="3199"/>
      <c r="M4" s="3199"/>
      <c r="N4" s="3199"/>
      <c r="O4" s="3199"/>
      <c r="P4" s="1429" t="s">
        <v>13</v>
      </c>
      <c r="Q4" s="1739"/>
      <c r="R4" s="3200">
        <v>44681</v>
      </c>
      <c r="S4" s="3200"/>
    </row>
    <row r="5" spans="1:25" s="1231" customFormat="1">
      <c r="B5" s="1347"/>
      <c r="C5" s="1740" t="s">
        <v>5</v>
      </c>
      <c r="D5" s="1431" t="s">
        <v>4</v>
      </c>
      <c r="E5" s="1741" t="s">
        <v>532</v>
      </c>
      <c r="F5" s="1347"/>
      <c r="G5" s="1347"/>
      <c r="H5" s="1347"/>
      <c r="I5" s="1347"/>
      <c r="J5" s="1347"/>
      <c r="K5" s="1346"/>
      <c r="L5" s="1347"/>
      <c r="M5" s="1346"/>
      <c r="N5" s="1346"/>
      <c r="O5" s="1346"/>
      <c r="P5" s="1347" t="s">
        <v>14</v>
      </c>
      <c r="R5" s="1347"/>
      <c r="S5" s="1742" t="s">
        <v>535</v>
      </c>
    </row>
    <row r="6" spans="1:25" s="1231" customFormat="1">
      <c r="C6" s="1740" t="s">
        <v>15</v>
      </c>
      <c r="D6" s="1431" t="s">
        <v>4</v>
      </c>
      <c r="E6" s="1741" t="s">
        <v>3663</v>
      </c>
      <c r="J6" s="1346"/>
      <c r="K6" s="1346"/>
      <c r="L6" s="1346"/>
      <c r="M6" s="1346"/>
      <c r="N6" s="1346"/>
      <c r="O6" s="1346"/>
      <c r="P6" s="1347" t="s">
        <v>16</v>
      </c>
      <c r="S6" s="1742" t="s">
        <v>535</v>
      </c>
    </row>
    <row r="7" spans="1:25" s="1231" customFormat="1">
      <c r="C7" s="1740" t="s">
        <v>17</v>
      </c>
      <c r="D7" s="1431" t="s">
        <v>4</v>
      </c>
      <c r="E7" s="1741" t="s">
        <v>11</v>
      </c>
      <c r="J7" s="1346"/>
      <c r="K7" s="1346"/>
      <c r="L7" s="1346"/>
      <c r="M7" s="1431"/>
      <c r="N7" s="1431"/>
      <c r="O7" s="1346"/>
      <c r="P7" s="1347" t="s">
        <v>18</v>
      </c>
      <c r="R7" s="1743"/>
      <c r="S7" s="1742" t="s">
        <v>10</v>
      </c>
    </row>
    <row r="8" spans="1:25" s="1231" customFormat="1">
      <c r="C8" s="1740" t="s">
        <v>19</v>
      </c>
      <c r="D8" s="1431" t="s">
        <v>4</v>
      </c>
      <c r="E8" s="1744">
        <v>2022</v>
      </c>
      <c r="J8" s="1346"/>
      <c r="K8" s="1346"/>
      <c r="L8" s="1346"/>
      <c r="M8" s="1346"/>
      <c r="N8" s="1431"/>
      <c r="O8" s="1745"/>
      <c r="P8" s="1346"/>
    </row>
    <row r="9" spans="1:25" s="1231" customFormat="1" ht="14.25" thickBot="1">
      <c r="C9" s="1746"/>
      <c r="D9" s="1346"/>
      <c r="E9" s="1230"/>
      <c r="F9" s="1230"/>
      <c r="G9" s="1230"/>
      <c r="H9" s="1230"/>
      <c r="I9" s="1230"/>
      <c r="J9" s="1346"/>
      <c r="K9" s="1346"/>
      <c r="L9" s="1346"/>
      <c r="M9" s="1346"/>
      <c r="N9" s="1346"/>
      <c r="O9" s="1346"/>
      <c r="P9" s="1346"/>
      <c r="W9" s="1346"/>
    </row>
    <row r="10" spans="1:25" ht="14.25" thickBot="1">
      <c r="B10" s="3038" t="s">
        <v>20</v>
      </c>
      <c r="C10" s="3038" t="s">
        <v>21</v>
      </c>
      <c r="D10" s="3167" t="s">
        <v>22</v>
      </c>
      <c r="E10" s="3170" t="s">
        <v>23</v>
      </c>
      <c r="F10" s="3171"/>
      <c r="G10" s="3171"/>
      <c r="H10" s="3172"/>
      <c r="I10" s="1586"/>
      <c r="J10" s="3176" t="s">
        <v>24</v>
      </c>
      <c r="K10" s="3177"/>
      <c r="L10" s="3196"/>
      <c r="M10" s="3197"/>
      <c r="N10" s="3177"/>
      <c r="O10" s="3177"/>
      <c r="P10" s="3178"/>
      <c r="Q10" s="3170" t="s">
        <v>25</v>
      </c>
      <c r="R10" s="3171"/>
      <c r="S10" s="3172"/>
    </row>
    <row r="11" spans="1:25" ht="14.25" thickBot="1">
      <c r="B11" s="3039"/>
      <c r="C11" s="3039"/>
      <c r="D11" s="3168"/>
      <c r="E11" s="3173"/>
      <c r="F11" s="3174"/>
      <c r="G11" s="3174"/>
      <c r="H11" s="3175"/>
      <c r="I11" s="1587"/>
      <c r="J11" s="3176" t="s">
        <v>26</v>
      </c>
      <c r="K11" s="3178"/>
      <c r="L11" s="3176" t="s">
        <v>27</v>
      </c>
      <c r="M11" s="3178"/>
      <c r="N11" s="3176" t="s">
        <v>28</v>
      </c>
      <c r="O11" s="3177"/>
      <c r="P11" s="3178"/>
      <c r="Q11" s="3173"/>
      <c r="R11" s="3174"/>
      <c r="S11" s="3175"/>
    </row>
    <row r="12" spans="1:25" ht="14.25" thickBot="1">
      <c r="B12" s="3039"/>
      <c r="C12" s="3039"/>
      <c r="D12" s="3168"/>
      <c r="E12" s="3038" t="s">
        <v>29</v>
      </c>
      <c r="F12" s="3038" t="s">
        <v>30</v>
      </c>
      <c r="G12" s="3184" t="s">
        <v>3924</v>
      </c>
      <c r="H12" s="3201" t="s">
        <v>3923</v>
      </c>
      <c r="I12" s="3184" t="s">
        <v>3925</v>
      </c>
      <c r="J12" s="3038" t="s">
        <v>3</v>
      </c>
      <c r="K12" s="3038" t="s">
        <v>32</v>
      </c>
      <c r="L12" s="3038" t="s">
        <v>3</v>
      </c>
      <c r="M12" s="3038" t="s">
        <v>32</v>
      </c>
      <c r="N12" s="3038" t="s">
        <v>3</v>
      </c>
      <c r="O12" s="3038" t="s">
        <v>32</v>
      </c>
      <c r="P12" s="3038" t="s">
        <v>0</v>
      </c>
      <c r="Q12" s="3038" t="s">
        <v>3</v>
      </c>
      <c r="R12" s="3186" t="s">
        <v>32</v>
      </c>
      <c r="S12" s="3038" t="s">
        <v>0</v>
      </c>
      <c r="W12" s="3188" t="s">
        <v>3613</v>
      </c>
      <c r="X12" s="3189"/>
      <c r="Y12" s="3190"/>
    </row>
    <row r="13" spans="1:25" ht="14.25" thickBot="1">
      <c r="B13" s="3040"/>
      <c r="C13" s="3040"/>
      <c r="D13" s="3169"/>
      <c r="E13" s="3040"/>
      <c r="F13" s="3040"/>
      <c r="G13" s="3185"/>
      <c r="H13" s="3202"/>
      <c r="I13" s="3185"/>
      <c r="J13" s="3040"/>
      <c r="K13" s="3040"/>
      <c r="L13" s="3040"/>
      <c r="M13" s="3040"/>
      <c r="N13" s="3040"/>
      <c r="O13" s="3040"/>
      <c r="P13" s="3040"/>
      <c r="Q13" s="3040"/>
      <c r="R13" s="3187"/>
      <c r="S13" s="3040"/>
    </row>
    <row r="14" spans="1:25" ht="9" customHeight="1" thickBot="1">
      <c r="B14" s="1354"/>
      <c r="C14" s="1355"/>
      <c r="D14" s="1356"/>
      <c r="E14" s="1354"/>
      <c r="F14" s="1355"/>
      <c r="G14" s="1355"/>
      <c r="H14" s="1585"/>
      <c r="I14" s="1355"/>
      <c r="J14" s="1354"/>
      <c r="K14" s="1356"/>
      <c r="L14" s="1356"/>
      <c r="M14" s="1356"/>
      <c r="N14" s="1354"/>
      <c r="O14" s="1355"/>
      <c r="P14" s="1585"/>
      <c r="Q14" s="1354"/>
      <c r="R14" s="1747"/>
      <c r="S14" s="1585"/>
    </row>
    <row r="15" spans="1:25" s="1631" customFormat="1" ht="28.5" customHeight="1">
      <c r="A15" s="1631" t="s">
        <v>3619</v>
      </c>
      <c r="B15" s="1748" t="s">
        <v>33</v>
      </c>
      <c r="C15" s="1749" t="s">
        <v>1131</v>
      </c>
      <c r="D15" s="1750"/>
      <c r="E15" s="1751"/>
      <c r="F15" s="1751"/>
      <c r="G15" s="1752"/>
      <c r="H15" s="1753"/>
      <c r="I15" s="1754"/>
      <c r="J15" s="1755"/>
      <c r="K15" s="1756"/>
      <c r="L15" s="1757"/>
      <c r="M15" s="1758"/>
      <c r="N15" s="1759"/>
      <c r="O15" s="1760"/>
      <c r="P15" s="1761"/>
      <c r="Q15" s="1759"/>
      <c r="R15" s="1762"/>
      <c r="S15" s="1763"/>
      <c r="T15" s="1628"/>
      <c r="U15" s="1628"/>
      <c r="V15" s="1628"/>
      <c r="W15" s="1629" t="s">
        <v>3614</v>
      </c>
      <c r="X15" s="1423"/>
      <c r="Y15" s="1630">
        <f>SUM(M17:M59)</f>
        <v>0</v>
      </c>
    </row>
    <row r="16" spans="1:25" s="1423" customFormat="1">
      <c r="B16" s="1764" t="s">
        <v>35</v>
      </c>
      <c r="C16" s="1764" t="s">
        <v>2844</v>
      </c>
      <c r="D16" s="1765"/>
      <c r="E16" s="1766"/>
      <c r="F16" s="1766"/>
      <c r="G16" s="1767"/>
      <c r="H16" s="1768"/>
      <c r="I16" s="1769"/>
      <c r="J16" s="1770"/>
      <c r="K16" s="1771"/>
      <c r="L16" s="1772"/>
      <c r="M16" s="1773"/>
      <c r="N16" s="1774"/>
      <c r="O16" s="1775"/>
      <c r="P16" s="1773" t="str">
        <f t="shared" ref="P16:P26" si="0">+IF(D16=0,"",O16/H16)</f>
        <v/>
      </c>
      <c r="Q16" s="1774"/>
      <c r="R16" s="1775"/>
      <c r="S16" s="1776"/>
      <c r="T16" s="1630"/>
      <c r="U16" s="1630"/>
      <c r="V16" s="1630"/>
      <c r="W16" s="1629" t="s">
        <v>3615</v>
      </c>
      <c r="Y16" s="1643" t="e">
        <f>SUM(#REF!)</f>
        <v>#REF!</v>
      </c>
    </row>
    <row r="17" spans="1:27" s="1410" customFormat="1">
      <c r="B17" s="1777" t="s">
        <v>536</v>
      </c>
      <c r="C17" s="1778" t="s">
        <v>3926</v>
      </c>
      <c r="D17" s="1420" t="s">
        <v>37</v>
      </c>
      <c r="E17" s="1779">
        <v>738.23</v>
      </c>
      <c r="F17" s="1779">
        <v>13.58</v>
      </c>
      <c r="G17" s="1780">
        <v>13.68</v>
      </c>
      <c r="H17" s="1781">
        <f>ROUND(E17*F17,2)</f>
        <v>10025.16</v>
      </c>
      <c r="I17" s="1781">
        <f>ROUND(E17*G17,2)</f>
        <v>10098.99</v>
      </c>
      <c r="J17" s="1766">
        <v>738.23</v>
      </c>
      <c r="K17" s="1232">
        <v>10098.9864</v>
      </c>
      <c r="L17" s="1782"/>
      <c r="M17" s="1783">
        <f>L17*G17</f>
        <v>0</v>
      </c>
      <c r="N17" s="1420">
        <f>J17+L17</f>
        <v>738.23</v>
      </c>
      <c r="O17" s="1363">
        <f>N17*G17</f>
        <v>10098.9864</v>
      </c>
      <c r="P17" s="1784">
        <f>+IF(D17=0,"",O17/I17)</f>
        <v>0.99999964352870929</v>
      </c>
      <c r="Q17" s="1421">
        <f t="shared" ref="Q17:Q25" si="1">E17-N17</f>
        <v>0</v>
      </c>
      <c r="R17" s="1234">
        <f>ROUND((Q17*G17),2)</f>
        <v>0</v>
      </c>
      <c r="S17" s="1422">
        <f>+IF(I17=0,"",R17/I17)</f>
        <v>0</v>
      </c>
      <c r="T17" s="1418">
        <f>+R17+O17</f>
        <v>10098.9864</v>
      </c>
      <c r="U17" s="1418">
        <f t="shared" ref="U17:U59" si="2">+H17</f>
        <v>10025.16</v>
      </c>
      <c r="V17" s="1418">
        <f>+U17-T17</f>
        <v>-73.826399999999921</v>
      </c>
      <c r="W17" s="1428" t="s">
        <v>1233</v>
      </c>
      <c r="Y17" s="1419" t="e">
        <f>SUM(#REF!)</f>
        <v>#REF!</v>
      </c>
    </row>
    <row r="18" spans="1:27" s="1409" customFormat="1">
      <c r="B18" s="1777" t="s">
        <v>537</v>
      </c>
      <c r="C18" s="1778" t="s">
        <v>3927</v>
      </c>
      <c r="D18" s="1420" t="s">
        <v>40</v>
      </c>
      <c r="E18" s="1779">
        <v>32.840000000000003</v>
      </c>
      <c r="F18" s="1779">
        <v>33.950000000000003</v>
      </c>
      <c r="G18" s="1780">
        <v>34.200000000000003</v>
      </c>
      <c r="H18" s="1781">
        <f t="shared" ref="H18:H59" si="3">ROUND(E18*F18,2)</f>
        <v>1114.92</v>
      </c>
      <c r="I18" s="1781">
        <f t="shared" ref="I18:I59" si="4">ROUND(E18*G18,2)</f>
        <v>1123.1300000000001</v>
      </c>
      <c r="J18" s="1766">
        <v>32.840000000000003</v>
      </c>
      <c r="K18" s="1232">
        <v>1123.1280000000002</v>
      </c>
      <c r="L18" s="1782"/>
      <c r="M18" s="1783">
        <f t="shared" ref="M18:M25" si="5">L18*G18</f>
        <v>0</v>
      </c>
      <c r="N18" s="1420">
        <f t="shared" ref="N18:N25" si="6">J18+L18</f>
        <v>32.840000000000003</v>
      </c>
      <c r="O18" s="1363">
        <f t="shared" ref="O18:O25" si="7">N18*G18</f>
        <v>1123.1280000000002</v>
      </c>
      <c r="P18" s="1784">
        <f t="shared" ref="P18:P25" si="8">+IF(D18=0,"",O18/I18)</f>
        <v>0.99999821926224042</v>
      </c>
      <c r="Q18" s="1421">
        <f t="shared" si="1"/>
        <v>0</v>
      </c>
      <c r="R18" s="1234">
        <f t="shared" ref="R18:R25" si="9">ROUND((Q18*G18),2)</f>
        <v>0</v>
      </c>
      <c r="S18" s="1422">
        <f t="shared" ref="S18:S25" si="10">+IF(I18=0,"",R18/I18)</f>
        <v>0</v>
      </c>
      <c r="T18" s="1418">
        <f t="shared" ref="T18:T59" si="11">+R18+O18</f>
        <v>1123.1280000000002</v>
      </c>
      <c r="U18" s="1418">
        <f t="shared" si="2"/>
        <v>1114.92</v>
      </c>
      <c r="V18" s="1418">
        <f t="shared" ref="V18:V59" si="12">+U18-T18</f>
        <v>-8.2080000000000837</v>
      </c>
      <c r="W18" s="1428" t="s">
        <v>3616</v>
      </c>
      <c r="X18" s="1410"/>
      <c r="Y18" s="1419" t="e">
        <f>SUM(#REF!)</f>
        <v>#REF!</v>
      </c>
    </row>
    <row r="19" spans="1:27" s="1409" customFormat="1">
      <c r="B19" s="1777" t="s">
        <v>538</v>
      </c>
      <c r="C19" s="1778" t="s">
        <v>3928</v>
      </c>
      <c r="D19" s="1420" t="s">
        <v>40</v>
      </c>
      <c r="E19" s="1779">
        <v>26.84</v>
      </c>
      <c r="F19" s="1779">
        <v>33.950000000000003</v>
      </c>
      <c r="G19" s="1780">
        <v>34.200000000000003</v>
      </c>
      <c r="H19" s="1781">
        <f t="shared" si="3"/>
        <v>911.22</v>
      </c>
      <c r="I19" s="1781">
        <f t="shared" si="4"/>
        <v>917.93</v>
      </c>
      <c r="J19" s="1766">
        <v>26.84</v>
      </c>
      <c r="K19" s="1232">
        <v>917.92800000000011</v>
      </c>
      <c r="L19" s="1782"/>
      <c r="M19" s="1783">
        <f t="shared" si="5"/>
        <v>0</v>
      </c>
      <c r="N19" s="1420">
        <f t="shared" si="6"/>
        <v>26.84</v>
      </c>
      <c r="O19" s="1363">
        <f t="shared" si="7"/>
        <v>917.92800000000011</v>
      </c>
      <c r="P19" s="1784">
        <f t="shared" si="8"/>
        <v>0.9999978211846221</v>
      </c>
      <c r="Q19" s="1421">
        <f t="shared" si="1"/>
        <v>0</v>
      </c>
      <c r="R19" s="1234">
        <f t="shared" si="9"/>
        <v>0</v>
      </c>
      <c r="S19" s="1422">
        <f t="shared" si="10"/>
        <v>0</v>
      </c>
      <c r="T19" s="1418">
        <f t="shared" si="11"/>
        <v>917.92800000000011</v>
      </c>
      <c r="U19" s="1418">
        <f t="shared" si="2"/>
        <v>911.22</v>
      </c>
      <c r="V19" s="1418">
        <f t="shared" si="12"/>
        <v>-6.7080000000000837</v>
      </c>
      <c r="W19" s="1428" t="s">
        <v>3617</v>
      </c>
      <c r="X19" s="1410"/>
      <c r="Y19" s="1419" t="e">
        <f>SUM(#REF!)</f>
        <v>#REF!</v>
      </c>
    </row>
    <row r="20" spans="1:27" s="1410" customFormat="1">
      <c r="B20" s="1777" t="s">
        <v>539</v>
      </c>
      <c r="C20" s="1778" t="s">
        <v>3929</v>
      </c>
      <c r="D20" s="1420" t="s">
        <v>40</v>
      </c>
      <c r="E20" s="1779">
        <v>88.28</v>
      </c>
      <c r="F20" s="1779">
        <v>33.950000000000003</v>
      </c>
      <c r="G20" s="1780">
        <v>34.200000000000003</v>
      </c>
      <c r="H20" s="1781">
        <f t="shared" si="3"/>
        <v>2997.11</v>
      </c>
      <c r="I20" s="1781">
        <f t="shared" si="4"/>
        <v>3019.18</v>
      </c>
      <c r="J20" s="1766">
        <v>88.28</v>
      </c>
      <c r="K20" s="1232">
        <v>3019.1760000000004</v>
      </c>
      <c r="L20" s="1782"/>
      <c r="M20" s="1783">
        <f t="shared" si="5"/>
        <v>0</v>
      </c>
      <c r="N20" s="1420">
        <f t="shared" si="6"/>
        <v>88.28</v>
      </c>
      <c r="O20" s="1363">
        <f t="shared" si="7"/>
        <v>3019.1760000000004</v>
      </c>
      <c r="P20" s="1784">
        <f t="shared" si="8"/>
        <v>0.99999867513695795</v>
      </c>
      <c r="Q20" s="1421">
        <f t="shared" si="1"/>
        <v>0</v>
      </c>
      <c r="R20" s="1234">
        <f t="shared" si="9"/>
        <v>0</v>
      </c>
      <c r="S20" s="1422">
        <f t="shared" si="10"/>
        <v>0</v>
      </c>
      <c r="T20" s="1418">
        <f t="shared" si="11"/>
        <v>3019.1760000000004</v>
      </c>
      <c r="U20" s="1418">
        <f t="shared" si="2"/>
        <v>2997.11</v>
      </c>
      <c r="V20" s="1418">
        <f t="shared" si="12"/>
        <v>-22.066000000000258</v>
      </c>
      <c r="W20" s="1428" t="s">
        <v>3618</v>
      </c>
      <c r="Y20" s="1419" t="e">
        <f>SUM(#REF!)</f>
        <v>#REF!</v>
      </c>
    </row>
    <row r="21" spans="1:27" s="1409" customFormat="1">
      <c r="B21" s="1777" t="s">
        <v>540</v>
      </c>
      <c r="C21" s="1778" t="s">
        <v>3930</v>
      </c>
      <c r="D21" s="1420" t="s">
        <v>40</v>
      </c>
      <c r="E21" s="1779">
        <v>2.96</v>
      </c>
      <c r="F21" s="1779">
        <v>33.950000000000003</v>
      </c>
      <c r="G21" s="1780">
        <v>34.200000000000003</v>
      </c>
      <c r="H21" s="1781">
        <f t="shared" si="3"/>
        <v>100.49</v>
      </c>
      <c r="I21" s="1781">
        <f t="shared" si="4"/>
        <v>101.23</v>
      </c>
      <c r="J21" s="1766">
        <v>2.96</v>
      </c>
      <c r="K21" s="1232">
        <v>101.23200000000001</v>
      </c>
      <c r="L21" s="1782"/>
      <c r="M21" s="1783">
        <f t="shared" si="5"/>
        <v>0</v>
      </c>
      <c r="N21" s="1420">
        <f t="shared" si="6"/>
        <v>2.96</v>
      </c>
      <c r="O21" s="1363">
        <f t="shared" si="7"/>
        <v>101.23200000000001</v>
      </c>
      <c r="P21" s="1784">
        <f t="shared" si="8"/>
        <v>1.000019756989035</v>
      </c>
      <c r="Q21" s="1421">
        <f t="shared" si="1"/>
        <v>0</v>
      </c>
      <c r="R21" s="1234">
        <f t="shared" si="9"/>
        <v>0</v>
      </c>
      <c r="S21" s="1422">
        <f t="shared" si="10"/>
        <v>0</v>
      </c>
      <c r="T21" s="1418">
        <f t="shared" si="11"/>
        <v>101.23200000000001</v>
      </c>
      <c r="U21" s="1418">
        <f t="shared" si="2"/>
        <v>100.49</v>
      </c>
      <c r="V21" s="1418">
        <f t="shared" si="12"/>
        <v>-0.74200000000001864</v>
      </c>
      <c r="W21" s="1429"/>
    </row>
    <row r="22" spans="1:27" s="1410" customFormat="1">
      <c r="B22" s="1777" t="s">
        <v>3724</v>
      </c>
      <c r="C22" s="1778" t="s">
        <v>3931</v>
      </c>
      <c r="D22" s="1420" t="s">
        <v>40</v>
      </c>
      <c r="E22" s="1779">
        <v>30.86</v>
      </c>
      <c r="F22" s="1779">
        <v>33.950000000000003</v>
      </c>
      <c r="G22" s="1780">
        <v>34.200000000000003</v>
      </c>
      <c r="H22" s="1781">
        <f t="shared" si="3"/>
        <v>1047.7</v>
      </c>
      <c r="I22" s="1781">
        <f t="shared" si="4"/>
        <v>1055.4100000000001</v>
      </c>
      <c r="J22" s="1766">
        <v>30.86</v>
      </c>
      <c r="K22" s="1232">
        <v>1055.412</v>
      </c>
      <c r="L22" s="1782"/>
      <c r="M22" s="1783">
        <f t="shared" si="5"/>
        <v>0</v>
      </c>
      <c r="N22" s="1420">
        <f t="shared" si="6"/>
        <v>30.86</v>
      </c>
      <c r="O22" s="1363">
        <f t="shared" si="7"/>
        <v>1055.412</v>
      </c>
      <c r="P22" s="1784">
        <f t="shared" si="8"/>
        <v>1.0000018949981524</v>
      </c>
      <c r="Q22" s="1421">
        <f t="shared" si="1"/>
        <v>0</v>
      </c>
      <c r="R22" s="1234">
        <f t="shared" si="9"/>
        <v>0</v>
      </c>
      <c r="S22" s="1422">
        <f t="shared" si="10"/>
        <v>0</v>
      </c>
      <c r="T22" s="1418">
        <f t="shared" si="11"/>
        <v>1055.412</v>
      </c>
      <c r="U22" s="1418">
        <f t="shared" si="2"/>
        <v>1047.7</v>
      </c>
      <c r="V22" s="1418">
        <f t="shared" si="12"/>
        <v>-7.7119999999999891</v>
      </c>
      <c r="W22" s="1428"/>
      <c r="X22" s="1409" t="s">
        <v>2</v>
      </c>
      <c r="Y22" s="1417" t="e">
        <f>SUM(Y15:Y21)</f>
        <v>#REF!</v>
      </c>
      <c r="Z22" s="1418">
        <f>+M60</f>
        <v>0</v>
      </c>
      <c r="AA22" s="1418" t="e">
        <f>+Y22-Z22</f>
        <v>#REF!</v>
      </c>
    </row>
    <row r="23" spans="1:27" s="1410" customFormat="1">
      <c r="B23" s="1777" t="s">
        <v>3932</v>
      </c>
      <c r="C23" s="1778" t="s">
        <v>3933</v>
      </c>
      <c r="D23" s="1420" t="s">
        <v>40</v>
      </c>
      <c r="E23" s="1779">
        <v>32.130000000000003</v>
      </c>
      <c r="F23" s="1779">
        <v>33.950000000000003</v>
      </c>
      <c r="G23" s="1780">
        <v>34.200000000000003</v>
      </c>
      <c r="H23" s="1781">
        <f t="shared" si="3"/>
        <v>1090.81</v>
      </c>
      <c r="I23" s="1781">
        <f t="shared" si="4"/>
        <v>1098.8499999999999</v>
      </c>
      <c r="J23" s="1766">
        <v>32.130000000000003</v>
      </c>
      <c r="K23" s="1232">
        <v>1098.8460000000002</v>
      </c>
      <c r="L23" s="1782"/>
      <c r="M23" s="1783">
        <f t="shared" si="5"/>
        <v>0</v>
      </c>
      <c r="N23" s="1420">
        <f t="shared" si="6"/>
        <v>32.130000000000003</v>
      </c>
      <c r="O23" s="1363">
        <f t="shared" si="7"/>
        <v>1098.8460000000002</v>
      </c>
      <c r="P23" s="1784">
        <f t="shared" si="8"/>
        <v>0.99999635983073243</v>
      </c>
      <c r="Q23" s="1421">
        <f t="shared" si="1"/>
        <v>0</v>
      </c>
      <c r="R23" s="1234">
        <f t="shared" si="9"/>
        <v>0</v>
      </c>
      <c r="S23" s="1422">
        <f t="shared" si="10"/>
        <v>0</v>
      </c>
      <c r="T23" s="1418">
        <f t="shared" si="11"/>
        <v>1098.8460000000002</v>
      </c>
      <c r="U23" s="1418">
        <f t="shared" si="2"/>
        <v>1090.81</v>
      </c>
      <c r="V23" s="1418">
        <f t="shared" si="12"/>
        <v>-8.0360000000002856</v>
      </c>
      <c r="W23" s="1428"/>
    </row>
    <row r="24" spans="1:27" s="1410" customFormat="1">
      <c r="A24" s="1410" t="s">
        <v>3619</v>
      </c>
      <c r="B24" s="1777" t="s">
        <v>3934</v>
      </c>
      <c r="C24" s="1778" t="s">
        <v>3935</v>
      </c>
      <c r="D24" s="1420" t="s">
        <v>37</v>
      </c>
      <c r="E24" s="1779">
        <v>3444.69</v>
      </c>
      <c r="F24" s="1779">
        <v>13.58</v>
      </c>
      <c r="G24" s="1780">
        <v>13.68</v>
      </c>
      <c r="H24" s="1781">
        <f t="shared" si="3"/>
        <v>46778.89</v>
      </c>
      <c r="I24" s="1781">
        <f t="shared" si="4"/>
        <v>47123.360000000001</v>
      </c>
      <c r="J24" s="1766">
        <v>3444.69</v>
      </c>
      <c r="K24" s="1232">
        <v>47123.359199999999</v>
      </c>
      <c r="L24" s="1782"/>
      <c r="M24" s="1783">
        <f t="shared" si="5"/>
        <v>0</v>
      </c>
      <c r="N24" s="1420">
        <f t="shared" si="6"/>
        <v>3444.69</v>
      </c>
      <c r="O24" s="1363">
        <f t="shared" si="7"/>
        <v>47123.359199999999</v>
      </c>
      <c r="P24" s="1784">
        <f t="shared" si="8"/>
        <v>0.99999998302328186</v>
      </c>
      <c r="Q24" s="1421">
        <f t="shared" si="1"/>
        <v>0</v>
      </c>
      <c r="R24" s="1234">
        <f t="shared" si="9"/>
        <v>0</v>
      </c>
      <c r="S24" s="1422">
        <f t="shared" si="10"/>
        <v>0</v>
      </c>
      <c r="T24" s="1418">
        <f t="shared" si="11"/>
        <v>47123.359199999999</v>
      </c>
      <c r="U24" s="1418">
        <f t="shared" si="2"/>
        <v>46778.89</v>
      </c>
      <c r="V24" s="1418">
        <f t="shared" si="12"/>
        <v>-344.46919999999955</v>
      </c>
      <c r="W24" s="1428"/>
    </row>
    <row r="25" spans="1:27" s="1410" customFormat="1">
      <c r="A25" s="1410" t="s">
        <v>3619</v>
      </c>
      <c r="B25" s="1777" t="s">
        <v>3936</v>
      </c>
      <c r="C25" s="1778" t="s">
        <v>3937</v>
      </c>
      <c r="D25" s="1420" t="s">
        <v>40</v>
      </c>
      <c r="E25" s="1779">
        <v>105.22</v>
      </c>
      <c r="F25" s="1779">
        <v>33.950000000000003</v>
      </c>
      <c r="G25" s="1780">
        <v>34.200000000000003</v>
      </c>
      <c r="H25" s="1781">
        <f t="shared" si="3"/>
        <v>3572.22</v>
      </c>
      <c r="I25" s="1781">
        <f t="shared" si="4"/>
        <v>3598.52</v>
      </c>
      <c r="J25" s="1766">
        <v>105.22</v>
      </c>
      <c r="K25" s="1232">
        <v>3598.5240000000003</v>
      </c>
      <c r="L25" s="1782"/>
      <c r="M25" s="1783">
        <f t="shared" si="5"/>
        <v>0</v>
      </c>
      <c r="N25" s="1420">
        <f t="shared" si="6"/>
        <v>105.22</v>
      </c>
      <c r="O25" s="1363">
        <f t="shared" si="7"/>
        <v>3598.5240000000003</v>
      </c>
      <c r="P25" s="1784">
        <f t="shared" si="8"/>
        <v>1.0000011115680891</v>
      </c>
      <c r="Q25" s="1421">
        <f t="shared" si="1"/>
        <v>0</v>
      </c>
      <c r="R25" s="1234">
        <f t="shared" si="9"/>
        <v>0</v>
      </c>
      <c r="S25" s="1422">
        <f t="shared" si="10"/>
        <v>0</v>
      </c>
      <c r="T25" s="1418">
        <f t="shared" si="11"/>
        <v>3598.5240000000003</v>
      </c>
      <c r="U25" s="1418">
        <f t="shared" si="2"/>
        <v>3572.22</v>
      </c>
      <c r="V25" s="1418">
        <f t="shared" si="12"/>
        <v>-26.304000000000542</v>
      </c>
      <c r="W25" s="1428"/>
    </row>
    <row r="26" spans="1:27" s="1423" customFormat="1">
      <c r="B26" s="1764" t="s">
        <v>39</v>
      </c>
      <c r="C26" s="1764" t="s">
        <v>3938</v>
      </c>
      <c r="D26" s="1765"/>
      <c r="E26" s="1766"/>
      <c r="F26" s="1766"/>
      <c r="G26" s="1767"/>
      <c r="H26" s="1781">
        <f t="shared" si="3"/>
        <v>0</v>
      </c>
      <c r="I26" s="1781">
        <f t="shared" si="4"/>
        <v>0</v>
      </c>
      <c r="J26" s="1769"/>
      <c r="K26" s="1785"/>
      <c r="L26" s="1786"/>
      <c r="M26" s="1783"/>
      <c r="N26" s="1765"/>
      <c r="O26" s="1787"/>
      <c r="P26" s="1788" t="str">
        <f t="shared" si="0"/>
        <v/>
      </c>
      <c r="Q26" s="1789"/>
      <c r="R26" s="1790"/>
      <c r="S26" s="1791" t="str">
        <f t="shared" ref="S26" si="13">+IF(H26=0,"",R26/H26)</f>
        <v/>
      </c>
      <c r="T26" s="1630">
        <f t="shared" si="11"/>
        <v>0</v>
      </c>
      <c r="U26" s="1630">
        <f t="shared" si="2"/>
        <v>0</v>
      </c>
      <c r="V26" s="1630">
        <f t="shared" si="12"/>
        <v>0</v>
      </c>
      <c r="W26" s="1629"/>
    </row>
    <row r="27" spans="1:27" s="1409" customFormat="1">
      <c r="A27" s="1409" t="s">
        <v>3619</v>
      </c>
      <c r="B27" s="1792" t="s">
        <v>536</v>
      </c>
      <c r="C27" s="1778" t="s">
        <v>3939</v>
      </c>
      <c r="D27" s="1420" t="s">
        <v>36</v>
      </c>
      <c r="E27" s="1779">
        <v>62400</v>
      </c>
      <c r="F27" s="1779">
        <v>0.56000000000000005</v>
      </c>
      <c r="G27" s="1780">
        <v>0.59</v>
      </c>
      <c r="H27" s="1781">
        <f t="shared" si="3"/>
        <v>34944</v>
      </c>
      <c r="I27" s="1781">
        <f t="shared" si="4"/>
        <v>36816</v>
      </c>
      <c r="J27" s="1769">
        <v>62400</v>
      </c>
      <c r="K27" s="1232">
        <v>36816</v>
      </c>
      <c r="L27" s="1786"/>
      <c r="M27" s="1783">
        <f t="shared" ref="M27:M32" si="14">L27*G27</f>
        <v>0</v>
      </c>
      <c r="N27" s="1420">
        <f>J27+L27</f>
        <v>62400</v>
      </c>
      <c r="O27" s="1363">
        <f t="shared" ref="O27:O32" si="15">N27*G27</f>
        <v>36816</v>
      </c>
      <c r="P27" s="1784">
        <f t="shared" ref="P27:P32" si="16">+IF(D27=0,"",O27/I27)</f>
        <v>1</v>
      </c>
      <c r="Q27" s="1421">
        <f t="shared" ref="Q27:Q32" si="17">E27-N27</f>
        <v>0</v>
      </c>
      <c r="R27" s="1234">
        <f t="shared" ref="R27:R32" si="18">ROUND((Q27*G27),2)</f>
        <v>0</v>
      </c>
      <c r="S27" s="1422">
        <f t="shared" ref="S27:S32" si="19">+IF(I27=0,"",R27/I27)</f>
        <v>0</v>
      </c>
      <c r="T27" s="1418">
        <f t="shared" si="11"/>
        <v>36816</v>
      </c>
      <c r="U27" s="1418">
        <f t="shared" si="2"/>
        <v>34944</v>
      </c>
      <c r="V27" s="1418">
        <f t="shared" si="12"/>
        <v>-1872</v>
      </c>
      <c r="W27" s="1429"/>
    </row>
    <row r="28" spans="1:27" s="1410" customFormat="1">
      <c r="A28" s="1410" t="s">
        <v>3619</v>
      </c>
      <c r="B28" s="1792" t="s">
        <v>537</v>
      </c>
      <c r="C28" s="1778" t="s">
        <v>3940</v>
      </c>
      <c r="D28" s="1420" t="s">
        <v>40</v>
      </c>
      <c r="E28" s="1779">
        <v>970</v>
      </c>
      <c r="F28" s="1779">
        <v>35.04</v>
      </c>
      <c r="G28" s="1780">
        <v>36.479999999999997</v>
      </c>
      <c r="H28" s="1781">
        <f t="shared" si="3"/>
        <v>33988.800000000003</v>
      </c>
      <c r="I28" s="1781">
        <f t="shared" si="4"/>
        <v>35385.599999999999</v>
      </c>
      <c r="J28" s="1769">
        <v>970</v>
      </c>
      <c r="K28" s="1232">
        <v>35385.599999999999</v>
      </c>
      <c r="L28" s="1786"/>
      <c r="M28" s="1783">
        <f t="shared" si="14"/>
        <v>0</v>
      </c>
      <c r="N28" s="1420">
        <f t="shared" ref="N28:N32" si="20">J28+L28</f>
        <v>970</v>
      </c>
      <c r="O28" s="1363">
        <f t="shared" si="15"/>
        <v>35385.599999999999</v>
      </c>
      <c r="P28" s="1784">
        <f t="shared" si="16"/>
        <v>1</v>
      </c>
      <c r="Q28" s="1421">
        <f t="shared" si="17"/>
        <v>0</v>
      </c>
      <c r="R28" s="1234">
        <f t="shared" si="18"/>
        <v>0</v>
      </c>
      <c r="S28" s="1422">
        <f t="shared" si="19"/>
        <v>0</v>
      </c>
      <c r="T28" s="1418">
        <f t="shared" si="11"/>
        <v>35385.599999999999</v>
      </c>
      <c r="U28" s="1418">
        <f t="shared" si="2"/>
        <v>33988.800000000003</v>
      </c>
      <c r="V28" s="1418">
        <f t="shared" si="12"/>
        <v>-1396.7999999999956</v>
      </c>
      <c r="W28" s="1428"/>
    </row>
    <row r="29" spans="1:27" s="1410" customFormat="1">
      <c r="A29" s="1410" t="s">
        <v>3619</v>
      </c>
      <c r="B29" s="1792" t="s">
        <v>538</v>
      </c>
      <c r="C29" s="1778" t="s">
        <v>3941</v>
      </c>
      <c r="D29" s="1420" t="s">
        <v>40</v>
      </c>
      <c r="E29" s="1779">
        <v>970</v>
      </c>
      <c r="F29" s="1779">
        <v>55.04</v>
      </c>
      <c r="G29" s="1780">
        <v>56.48</v>
      </c>
      <c r="H29" s="1781">
        <f t="shared" si="3"/>
        <v>53388.800000000003</v>
      </c>
      <c r="I29" s="1781">
        <f t="shared" si="4"/>
        <v>54785.599999999999</v>
      </c>
      <c r="J29" s="1769">
        <v>970</v>
      </c>
      <c r="K29" s="1232">
        <v>54785.599999999999</v>
      </c>
      <c r="L29" s="1786"/>
      <c r="M29" s="1783">
        <f t="shared" si="14"/>
        <v>0</v>
      </c>
      <c r="N29" s="1420">
        <f t="shared" si="20"/>
        <v>970</v>
      </c>
      <c r="O29" s="1363">
        <f t="shared" si="15"/>
        <v>54785.599999999999</v>
      </c>
      <c r="P29" s="1784">
        <f t="shared" si="16"/>
        <v>1</v>
      </c>
      <c r="Q29" s="1421">
        <f t="shared" si="17"/>
        <v>0</v>
      </c>
      <c r="R29" s="1234">
        <f t="shared" si="18"/>
        <v>0</v>
      </c>
      <c r="S29" s="1422">
        <f t="shared" si="19"/>
        <v>0</v>
      </c>
      <c r="T29" s="1418">
        <f t="shared" si="11"/>
        <v>54785.599999999999</v>
      </c>
      <c r="U29" s="1418">
        <f t="shared" si="2"/>
        <v>53388.800000000003</v>
      </c>
      <c r="V29" s="1418">
        <f t="shared" si="12"/>
        <v>-1396.7999999999956</v>
      </c>
      <c r="W29" s="1428"/>
    </row>
    <row r="30" spans="1:27" s="1409" customFormat="1">
      <c r="A30" s="1409" t="s">
        <v>3619</v>
      </c>
      <c r="B30" s="1792" t="s">
        <v>539</v>
      </c>
      <c r="C30" s="1778" t="s">
        <v>3942</v>
      </c>
      <c r="D30" s="1420" t="s">
        <v>36</v>
      </c>
      <c r="E30" s="1779">
        <v>11700</v>
      </c>
      <c r="F30" s="1779">
        <v>0.78</v>
      </c>
      <c r="G30" s="1780">
        <v>0.81</v>
      </c>
      <c r="H30" s="1781">
        <f t="shared" si="3"/>
        <v>9126</v>
      </c>
      <c r="I30" s="1781">
        <f t="shared" si="4"/>
        <v>9477</v>
      </c>
      <c r="J30" s="1766">
        <v>11700</v>
      </c>
      <c r="K30" s="1232">
        <v>9477</v>
      </c>
      <c r="L30" s="1786"/>
      <c r="M30" s="1783">
        <f t="shared" si="14"/>
        <v>0</v>
      </c>
      <c r="N30" s="1420">
        <f t="shared" si="20"/>
        <v>11700</v>
      </c>
      <c r="O30" s="1363">
        <f t="shared" si="15"/>
        <v>9477</v>
      </c>
      <c r="P30" s="1784">
        <f t="shared" si="16"/>
        <v>1</v>
      </c>
      <c r="Q30" s="1421">
        <f t="shared" si="17"/>
        <v>0</v>
      </c>
      <c r="R30" s="1234">
        <f t="shared" si="18"/>
        <v>0</v>
      </c>
      <c r="S30" s="1422">
        <f t="shared" si="19"/>
        <v>0</v>
      </c>
      <c r="T30" s="1418">
        <f t="shared" si="11"/>
        <v>9477</v>
      </c>
      <c r="U30" s="1418">
        <f t="shared" si="2"/>
        <v>9126</v>
      </c>
      <c r="V30" s="1418">
        <f t="shared" si="12"/>
        <v>-351</v>
      </c>
      <c r="W30" s="1429"/>
    </row>
    <row r="31" spans="1:27" s="1409" customFormat="1">
      <c r="B31" s="1792" t="s">
        <v>540</v>
      </c>
      <c r="C31" s="1778" t="s">
        <v>3943</v>
      </c>
      <c r="D31" s="1420" t="s">
        <v>36</v>
      </c>
      <c r="E31" s="1779">
        <v>57000</v>
      </c>
      <c r="F31" s="1779">
        <v>0.2</v>
      </c>
      <c r="G31" s="1780">
        <v>0.21</v>
      </c>
      <c r="H31" s="1781">
        <f t="shared" si="3"/>
        <v>11400</v>
      </c>
      <c r="I31" s="1781">
        <f t="shared" si="4"/>
        <v>11970</v>
      </c>
      <c r="J31" s="1766">
        <v>57000</v>
      </c>
      <c r="K31" s="1232">
        <v>11970</v>
      </c>
      <c r="L31" s="1786"/>
      <c r="M31" s="1783">
        <f t="shared" si="14"/>
        <v>0</v>
      </c>
      <c r="N31" s="1420">
        <f t="shared" si="20"/>
        <v>57000</v>
      </c>
      <c r="O31" s="1363">
        <f t="shared" si="15"/>
        <v>11970</v>
      </c>
      <c r="P31" s="1784">
        <f t="shared" si="16"/>
        <v>1</v>
      </c>
      <c r="Q31" s="1421">
        <f t="shared" si="17"/>
        <v>0</v>
      </c>
      <c r="R31" s="1234">
        <f t="shared" si="18"/>
        <v>0</v>
      </c>
      <c r="S31" s="1422">
        <f t="shared" si="19"/>
        <v>0</v>
      </c>
      <c r="T31" s="1418">
        <f t="shared" si="11"/>
        <v>11970</v>
      </c>
      <c r="U31" s="1418">
        <f t="shared" si="2"/>
        <v>11400</v>
      </c>
      <c r="V31" s="1418">
        <f t="shared" si="12"/>
        <v>-570</v>
      </c>
      <c r="W31" s="1429"/>
    </row>
    <row r="32" spans="1:27" s="1410" customFormat="1">
      <c r="A32" s="1410" t="s">
        <v>3619</v>
      </c>
      <c r="B32" s="1792" t="s">
        <v>3724</v>
      </c>
      <c r="C32" s="1778" t="s">
        <v>3944</v>
      </c>
      <c r="D32" s="1420" t="s">
        <v>36</v>
      </c>
      <c r="E32" s="1779">
        <v>15200</v>
      </c>
      <c r="F32" s="1779">
        <v>0.39</v>
      </c>
      <c r="G32" s="1780">
        <v>0.4</v>
      </c>
      <c r="H32" s="1781">
        <f t="shared" si="3"/>
        <v>5928</v>
      </c>
      <c r="I32" s="1781">
        <f t="shared" si="4"/>
        <v>6080</v>
      </c>
      <c r="J32" s="1769">
        <v>15200</v>
      </c>
      <c r="K32" s="1232">
        <v>6080</v>
      </c>
      <c r="L32" s="1786"/>
      <c r="M32" s="1783">
        <f t="shared" si="14"/>
        <v>0</v>
      </c>
      <c r="N32" s="1420">
        <f t="shared" si="20"/>
        <v>15200</v>
      </c>
      <c r="O32" s="1363">
        <f t="shared" si="15"/>
        <v>6080</v>
      </c>
      <c r="P32" s="1784">
        <f t="shared" si="16"/>
        <v>1</v>
      </c>
      <c r="Q32" s="1421">
        <f t="shared" si="17"/>
        <v>0</v>
      </c>
      <c r="R32" s="1234">
        <f t="shared" si="18"/>
        <v>0</v>
      </c>
      <c r="S32" s="1422">
        <f t="shared" si="19"/>
        <v>0</v>
      </c>
      <c r="T32" s="1418">
        <f t="shared" si="11"/>
        <v>6080</v>
      </c>
      <c r="U32" s="1418">
        <f t="shared" si="2"/>
        <v>5928</v>
      </c>
      <c r="V32" s="1418">
        <f t="shared" si="12"/>
        <v>-152</v>
      </c>
      <c r="W32" s="1428"/>
    </row>
    <row r="33" spans="1:23" s="1423" customFormat="1">
      <c r="A33" s="1423" t="s">
        <v>3619</v>
      </c>
      <c r="B33" s="1793" t="s">
        <v>42</v>
      </c>
      <c r="C33" s="1794" t="s">
        <v>1153</v>
      </c>
      <c r="D33" s="1765"/>
      <c r="E33" s="1766"/>
      <c r="F33" s="1766"/>
      <c r="G33" s="1767"/>
      <c r="H33" s="1781">
        <f t="shared" si="3"/>
        <v>0</v>
      </c>
      <c r="I33" s="1781">
        <f t="shared" si="4"/>
        <v>0</v>
      </c>
      <c r="J33" s="1795"/>
      <c r="K33" s="1785"/>
      <c r="L33" s="1772"/>
      <c r="M33" s="1783"/>
      <c r="N33" s="1765"/>
      <c r="O33" s="1787"/>
      <c r="P33" s="1788"/>
      <c r="Q33" s="1789"/>
      <c r="R33" s="1790"/>
      <c r="S33" s="1791"/>
      <c r="T33" s="1630">
        <f t="shared" si="11"/>
        <v>0</v>
      </c>
      <c r="U33" s="1630">
        <f t="shared" si="2"/>
        <v>0</v>
      </c>
      <c r="V33" s="1630">
        <f t="shared" si="12"/>
        <v>0</v>
      </c>
      <c r="W33" s="1629"/>
    </row>
    <row r="34" spans="1:23" s="1423" customFormat="1">
      <c r="B34" s="1764" t="s">
        <v>43</v>
      </c>
      <c r="C34" s="1764" t="s">
        <v>3945</v>
      </c>
      <c r="D34" s="1765"/>
      <c r="E34" s="1766"/>
      <c r="F34" s="1766"/>
      <c r="G34" s="1767"/>
      <c r="H34" s="1781">
        <f t="shared" si="3"/>
        <v>0</v>
      </c>
      <c r="I34" s="1781">
        <f t="shared" si="4"/>
        <v>0</v>
      </c>
      <c r="J34" s="1769"/>
      <c r="K34" s="1785"/>
      <c r="L34" s="1786"/>
      <c r="M34" s="1783"/>
      <c r="N34" s="1765"/>
      <c r="O34" s="1787"/>
      <c r="P34" s="1788"/>
      <c r="Q34" s="1789"/>
      <c r="R34" s="1790"/>
      <c r="S34" s="1791"/>
      <c r="T34" s="1630">
        <f t="shared" si="11"/>
        <v>0</v>
      </c>
      <c r="U34" s="1630">
        <f t="shared" si="2"/>
        <v>0</v>
      </c>
      <c r="V34" s="1630">
        <f t="shared" si="12"/>
        <v>0</v>
      </c>
      <c r="W34" s="1629"/>
    </row>
    <row r="35" spans="1:23" s="1410" customFormat="1">
      <c r="B35" s="1796" t="s">
        <v>53</v>
      </c>
      <c r="C35" s="1778" t="s">
        <v>3946</v>
      </c>
      <c r="D35" s="1420" t="s">
        <v>40</v>
      </c>
      <c r="E35" s="1779">
        <v>3243.76</v>
      </c>
      <c r="F35" s="1779">
        <v>9.14</v>
      </c>
      <c r="G35" s="1780">
        <v>9.2100000000000009</v>
      </c>
      <c r="H35" s="1781">
        <f t="shared" si="3"/>
        <v>29647.97</v>
      </c>
      <c r="I35" s="1781">
        <f t="shared" si="4"/>
        <v>29875.03</v>
      </c>
      <c r="J35" s="1766">
        <v>3243.76</v>
      </c>
      <c r="K35" s="1232">
        <v>29875.029600000005</v>
      </c>
      <c r="L35" s="1782"/>
      <c r="M35" s="1783">
        <f t="shared" ref="M35:M36" si="21">L35*G35</f>
        <v>0</v>
      </c>
      <c r="N35" s="1420">
        <f t="shared" ref="N35:N59" si="22">J35+L35</f>
        <v>3243.76</v>
      </c>
      <c r="O35" s="1363">
        <f t="shared" ref="O35:O36" si="23">N35*G35</f>
        <v>29875.029600000005</v>
      </c>
      <c r="P35" s="1784">
        <f t="shared" ref="P35:P36" si="24">+IF(D35=0,"",O35/I35)</f>
        <v>0.99999998661089229</v>
      </c>
      <c r="Q35" s="1421">
        <f>E35-N35</f>
        <v>0</v>
      </c>
      <c r="R35" s="1234">
        <f t="shared" ref="R35:R36" si="25">ROUND((Q35*G35),2)</f>
        <v>0</v>
      </c>
      <c r="S35" s="1422">
        <f t="shared" ref="S35:S36" si="26">+IF(I35=0,"",R35/I35)</f>
        <v>0</v>
      </c>
      <c r="T35" s="1418">
        <f t="shared" si="11"/>
        <v>29875.029600000005</v>
      </c>
      <c r="U35" s="1418">
        <f t="shared" si="2"/>
        <v>29647.97</v>
      </c>
      <c r="V35" s="1418">
        <f t="shared" si="12"/>
        <v>-227.05960000000414</v>
      </c>
      <c r="W35" s="1428"/>
    </row>
    <row r="36" spans="1:23" s="1410" customFormat="1">
      <c r="B36" s="1796" t="s">
        <v>563</v>
      </c>
      <c r="C36" s="1778" t="s">
        <v>3947</v>
      </c>
      <c r="D36" s="1420" t="s">
        <v>40</v>
      </c>
      <c r="E36" s="1779">
        <v>3181.66</v>
      </c>
      <c r="F36" s="1779">
        <v>53.02</v>
      </c>
      <c r="G36" s="1780">
        <v>53.85</v>
      </c>
      <c r="H36" s="1781">
        <f t="shared" si="3"/>
        <v>168691.61</v>
      </c>
      <c r="I36" s="1781">
        <f t="shared" si="4"/>
        <v>171332.39</v>
      </c>
      <c r="J36" s="1766">
        <v>3181.66</v>
      </c>
      <c r="K36" s="1232">
        <v>171332.391</v>
      </c>
      <c r="L36" s="1782"/>
      <c r="M36" s="1783">
        <f t="shared" si="21"/>
        <v>0</v>
      </c>
      <c r="N36" s="1420">
        <f t="shared" si="22"/>
        <v>3181.66</v>
      </c>
      <c r="O36" s="1363">
        <f t="shared" si="23"/>
        <v>171332.391</v>
      </c>
      <c r="P36" s="1784">
        <f t="shared" si="24"/>
        <v>1.0000000058366079</v>
      </c>
      <c r="Q36" s="1421">
        <f>E36-N36</f>
        <v>0</v>
      </c>
      <c r="R36" s="1234">
        <f t="shared" si="25"/>
        <v>0</v>
      </c>
      <c r="S36" s="1422">
        <f t="shared" si="26"/>
        <v>0</v>
      </c>
      <c r="T36" s="1418">
        <f t="shared" si="11"/>
        <v>171332.391</v>
      </c>
      <c r="U36" s="1418">
        <f t="shared" si="2"/>
        <v>168691.61</v>
      </c>
      <c r="V36" s="1418">
        <f t="shared" si="12"/>
        <v>-2640.7810000000172</v>
      </c>
      <c r="W36" s="1430"/>
    </row>
    <row r="37" spans="1:23" s="1423" customFormat="1">
      <c r="A37" s="1423" t="s">
        <v>3619</v>
      </c>
      <c r="B37" s="1764" t="s">
        <v>44</v>
      </c>
      <c r="C37" s="1764" t="s">
        <v>3725</v>
      </c>
      <c r="D37" s="1765"/>
      <c r="E37" s="1766"/>
      <c r="F37" s="1766"/>
      <c r="G37" s="1767"/>
      <c r="H37" s="1781">
        <f t="shared" si="3"/>
        <v>0</v>
      </c>
      <c r="I37" s="1781">
        <f t="shared" si="4"/>
        <v>0</v>
      </c>
      <c r="J37" s="1769"/>
      <c r="K37" s="1785"/>
      <c r="L37" s="1786"/>
      <c r="M37" s="1783"/>
      <c r="N37" s="1765"/>
      <c r="O37" s="1787"/>
      <c r="P37" s="1788"/>
      <c r="Q37" s="1789"/>
      <c r="R37" s="1790"/>
      <c r="S37" s="1791"/>
      <c r="T37" s="1630">
        <f t="shared" si="11"/>
        <v>0</v>
      </c>
      <c r="U37" s="1630">
        <f t="shared" si="2"/>
        <v>0</v>
      </c>
      <c r="V37" s="1630">
        <f t="shared" si="12"/>
        <v>0</v>
      </c>
      <c r="W37" s="1629"/>
    </row>
    <row r="38" spans="1:23" s="1423" customFormat="1">
      <c r="A38" s="1423" t="s">
        <v>3619</v>
      </c>
      <c r="B38" s="1797" t="s">
        <v>54</v>
      </c>
      <c r="C38" s="1797" t="s">
        <v>3948</v>
      </c>
      <c r="D38" s="1765"/>
      <c r="E38" s="1766"/>
      <c r="F38" s="1766"/>
      <c r="G38" s="1767"/>
      <c r="H38" s="1781">
        <f t="shared" si="3"/>
        <v>0</v>
      </c>
      <c r="I38" s="1781">
        <f t="shared" si="4"/>
        <v>0</v>
      </c>
      <c r="J38" s="1769"/>
      <c r="K38" s="1785"/>
      <c r="L38" s="1786"/>
      <c r="M38" s="1783"/>
      <c r="N38" s="1765"/>
      <c r="O38" s="1787"/>
      <c r="P38" s="1788"/>
      <c r="Q38" s="1789"/>
      <c r="R38" s="1790"/>
      <c r="S38" s="1791"/>
      <c r="T38" s="1630">
        <f t="shared" si="11"/>
        <v>0</v>
      </c>
      <c r="U38" s="1630">
        <f t="shared" si="2"/>
        <v>0</v>
      </c>
      <c r="V38" s="1630">
        <f t="shared" si="12"/>
        <v>0</v>
      </c>
      <c r="W38" s="1629"/>
    </row>
    <row r="39" spans="1:23" s="1410" customFormat="1">
      <c r="A39" s="1410" t="s">
        <v>3619</v>
      </c>
      <c r="B39" s="1796" t="s">
        <v>610</v>
      </c>
      <c r="C39" s="1778" t="s">
        <v>3949</v>
      </c>
      <c r="D39" s="1420" t="s">
        <v>37</v>
      </c>
      <c r="E39" s="1779">
        <v>90.79</v>
      </c>
      <c r="F39" s="1779">
        <v>34.660000000000004</v>
      </c>
      <c r="G39" s="1780">
        <v>35.479999999999997</v>
      </c>
      <c r="H39" s="1781">
        <f t="shared" si="3"/>
        <v>3146.78</v>
      </c>
      <c r="I39" s="1781">
        <f t="shared" si="4"/>
        <v>3221.23</v>
      </c>
      <c r="J39" s="1766">
        <v>90.79</v>
      </c>
      <c r="K39" s="1232">
        <v>3221.2291999999998</v>
      </c>
      <c r="L39" s="1782"/>
      <c r="M39" s="1783">
        <f t="shared" ref="M39:M41" si="27">L39*G39</f>
        <v>0</v>
      </c>
      <c r="N39" s="1420">
        <f t="shared" si="22"/>
        <v>90.79</v>
      </c>
      <c r="O39" s="1363">
        <f t="shared" ref="O39:O41" si="28">N39*G39</f>
        <v>3221.2291999999998</v>
      </c>
      <c r="P39" s="1784">
        <f t="shared" ref="P39:P41" si="29">+IF(D39=0,"",O39/I39)</f>
        <v>0.99999975164766242</v>
      </c>
      <c r="Q39" s="1421">
        <f>E39-N39</f>
        <v>0</v>
      </c>
      <c r="R39" s="1234">
        <f t="shared" ref="R39:R41" si="30">ROUND((Q39*G39),2)</f>
        <v>0</v>
      </c>
      <c r="S39" s="1422">
        <f t="shared" ref="S39:S41" si="31">+IF(I39=0,"",R39/I39)</f>
        <v>0</v>
      </c>
      <c r="T39" s="1418">
        <f t="shared" si="11"/>
        <v>3221.2291999999998</v>
      </c>
      <c r="U39" s="1418">
        <f t="shared" si="2"/>
        <v>3146.78</v>
      </c>
      <c r="V39" s="1418">
        <f t="shared" si="12"/>
        <v>-74.449199999999564</v>
      </c>
      <c r="W39" s="1428"/>
    </row>
    <row r="40" spans="1:23" s="1409" customFormat="1">
      <c r="A40" s="1409" t="s">
        <v>3619</v>
      </c>
      <c r="B40" s="1796" t="s">
        <v>611</v>
      </c>
      <c r="C40" s="1778" t="s">
        <v>3950</v>
      </c>
      <c r="D40" s="1420" t="s">
        <v>37</v>
      </c>
      <c r="E40" s="1779">
        <v>71.86</v>
      </c>
      <c r="F40" s="1779">
        <v>70.34</v>
      </c>
      <c r="G40" s="1780">
        <v>71.209999999999994</v>
      </c>
      <c r="H40" s="1781">
        <f t="shared" si="3"/>
        <v>5054.63</v>
      </c>
      <c r="I40" s="1781">
        <f t="shared" si="4"/>
        <v>5117.1499999999996</v>
      </c>
      <c r="J40" s="1766">
        <v>71.86</v>
      </c>
      <c r="K40" s="1232">
        <v>5117.1505999999999</v>
      </c>
      <c r="L40" s="1782"/>
      <c r="M40" s="1783">
        <f t="shared" si="27"/>
        <v>0</v>
      </c>
      <c r="N40" s="1420">
        <f t="shared" si="22"/>
        <v>71.86</v>
      </c>
      <c r="O40" s="1363">
        <f t="shared" si="28"/>
        <v>5117.1505999999999</v>
      </c>
      <c r="P40" s="1784">
        <f t="shared" si="29"/>
        <v>1.0000001172527677</v>
      </c>
      <c r="Q40" s="1421">
        <f>E40-N40</f>
        <v>0</v>
      </c>
      <c r="R40" s="1234">
        <f t="shared" si="30"/>
        <v>0</v>
      </c>
      <c r="S40" s="1422">
        <f t="shared" si="31"/>
        <v>0</v>
      </c>
      <c r="T40" s="1418">
        <f t="shared" si="11"/>
        <v>5117.1505999999999</v>
      </c>
      <c r="U40" s="1418">
        <f t="shared" si="2"/>
        <v>5054.63</v>
      </c>
      <c r="V40" s="1418">
        <f t="shared" si="12"/>
        <v>-62.520599999999831</v>
      </c>
      <c r="W40" s="1429"/>
    </row>
    <row r="41" spans="1:23" s="1410" customFormat="1">
      <c r="B41" s="1796" t="s">
        <v>612</v>
      </c>
      <c r="C41" s="1778" t="s">
        <v>3951</v>
      </c>
      <c r="D41" s="1420" t="s">
        <v>37</v>
      </c>
      <c r="E41" s="1779">
        <v>130.69999999999999</v>
      </c>
      <c r="F41" s="1779">
        <v>70.34</v>
      </c>
      <c r="G41" s="1780">
        <v>71.209999999999994</v>
      </c>
      <c r="H41" s="1781">
        <f t="shared" si="3"/>
        <v>9193.44</v>
      </c>
      <c r="I41" s="1781">
        <f t="shared" si="4"/>
        <v>9307.15</v>
      </c>
      <c r="J41" s="1766">
        <v>130.69999999999999</v>
      </c>
      <c r="K41" s="1232">
        <v>9307.146999999999</v>
      </c>
      <c r="L41" s="1782"/>
      <c r="M41" s="1783">
        <f t="shared" si="27"/>
        <v>0</v>
      </c>
      <c r="N41" s="1420">
        <f t="shared" si="22"/>
        <v>130.69999999999999</v>
      </c>
      <c r="O41" s="1363">
        <f t="shared" si="28"/>
        <v>9307.146999999999</v>
      </c>
      <c r="P41" s="1784">
        <f t="shared" si="29"/>
        <v>0.9999996776671698</v>
      </c>
      <c r="Q41" s="1421">
        <f>E41-N41</f>
        <v>0</v>
      </c>
      <c r="R41" s="1234">
        <f t="shared" si="30"/>
        <v>0</v>
      </c>
      <c r="S41" s="1422">
        <f t="shared" si="31"/>
        <v>0</v>
      </c>
      <c r="T41" s="1418">
        <f t="shared" si="11"/>
        <v>9307.146999999999</v>
      </c>
      <c r="U41" s="1418">
        <f t="shared" si="2"/>
        <v>9193.44</v>
      </c>
      <c r="V41" s="1418">
        <f t="shared" si="12"/>
        <v>-113.70699999999852</v>
      </c>
      <c r="W41" s="1428"/>
    </row>
    <row r="42" spans="1:23" s="1410" customFormat="1">
      <c r="A42" s="1410" t="s">
        <v>3619</v>
      </c>
      <c r="B42" s="1798" t="s">
        <v>55</v>
      </c>
      <c r="C42" s="1798" t="s">
        <v>2902</v>
      </c>
      <c r="D42" s="1420"/>
      <c r="E42" s="1779"/>
      <c r="F42" s="1779"/>
      <c r="G42" s="1780"/>
      <c r="H42" s="1781">
        <f t="shared" si="3"/>
        <v>0</v>
      </c>
      <c r="I42" s="1781">
        <f t="shared" si="4"/>
        <v>0</v>
      </c>
      <c r="J42" s="1766"/>
      <c r="K42" s="1232"/>
      <c r="L42" s="1782"/>
      <c r="M42" s="1783"/>
      <c r="N42" s="1420"/>
      <c r="O42" s="1363"/>
      <c r="P42" s="1784"/>
      <c r="Q42" s="1421"/>
      <c r="R42" s="1234"/>
      <c r="S42" s="1422"/>
      <c r="T42" s="1418">
        <f t="shared" si="11"/>
        <v>0</v>
      </c>
      <c r="U42" s="1418">
        <f t="shared" si="2"/>
        <v>0</v>
      </c>
      <c r="V42" s="1418">
        <f t="shared" si="12"/>
        <v>0</v>
      </c>
      <c r="W42" s="1428"/>
    </row>
    <row r="43" spans="1:23" s="1410" customFormat="1">
      <c r="A43" s="1410" t="s">
        <v>3619</v>
      </c>
      <c r="B43" s="1796" t="s">
        <v>610</v>
      </c>
      <c r="C43" s="1778" t="s">
        <v>3952</v>
      </c>
      <c r="D43" s="1420" t="s">
        <v>37</v>
      </c>
      <c r="E43" s="1779">
        <v>263.60000000000002</v>
      </c>
      <c r="F43" s="1779">
        <v>70.09</v>
      </c>
      <c r="G43" s="1780">
        <v>70.98</v>
      </c>
      <c r="H43" s="1781">
        <f t="shared" si="3"/>
        <v>18475.72</v>
      </c>
      <c r="I43" s="1781">
        <f t="shared" si="4"/>
        <v>18710.330000000002</v>
      </c>
      <c r="J43" s="1766">
        <v>263.60000000000002</v>
      </c>
      <c r="K43" s="1232">
        <v>18710.328000000001</v>
      </c>
      <c r="L43" s="1782"/>
      <c r="M43" s="1783">
        <f>L43*G43</f>
        <v>0</v>
      </c>
      <c r="N43" s="1420">
        <f t="shared" si="22"/>
        <v>263.60000000000002</v>
      </c>
      <c r="O43" s="1363">
        <f t="shared" ref="O43" si="32">N43*G43</f>
        <v>18710.328000000001</v>
      </c>
      <c r="P43" s="1784">
        <f>+IF(D43=0,"",O43/I43)</f>
        <v>0.99999989310717663</v>
      </c>
      <c r="Q43" s="1421">
        <f>E43-N43</f>
        <v>0</v>
      </c>
      <c r="R43" s="1234">
        <f>ROUND((Q43*G43),2)</f>
        <v>0</v>
      </c>
      <c r="S43" s="1422">
        <f>+IF(I43=0,"",R43/I43)</f>
        <v>0</v>
      </c>
      <c r="T43" s="1418">
        <f t="shared" si="11"/>
        <v>18710.328000000001</v>
      </c>
      <c r="U43" s="1418">
        <f t="shared" si="2"/>
        <v>18475.72</v>
      </c>
      <c r="V43" s="1418">
        <f t="shared" si="12"/>
        <v>-234.60800000000017</v>
      </c>
      <c r="W43" s="1428"/>
    </row>
    <row r="44" spans="1:23" s="1423" customFormat="1">
      <c r="A44" s="1423" t="s">
        <v>3619</v>
      </c>
      <c r="B44" s="1799" t="s">
        <v>52</v>
      </c>
      <c r="C44" s="1764" t="s">
        <v>2928</v>
      </c>
      <c r="D44" s="1765"/>
      <c r="E44" s="1766"/>
      <c r="F44" s="1766"/>
      <c r="G44" s="1767"/>
      <c r="H44" s="1781">
        <f t="shared" si="3"/>
        <v>0</v>
      </c>
      <c r="I44" s="1781">
        <f t="shared" si="4"/>
        <v>0</v>
      </c>
      <c r="J44" s="1766"/>
      <c r="K44" s="1785"/>
      <c r="L44" s="1782"/>
      <c r="M44" s="1783"/>
      <c r="N44" s="1765"/>
      <c r="O44" s="1787"/>
      <c r="P44" s="1788"/>
      <c r="Q44" s="1789"/>
      <c r="R44" s="1790"/>
      <c r="S44" s="1791"/>
      <c r="T44" s="1630">
        <f t="shared" si="11"/>
        <v>0</v>
      </c>
      <c r="U44" s="1630">
        <f t="shared" si="2"/>
        <v>0</v>
      </c>
      <c r="V44" s="1630">
        <f t="shared" si="12"/>
        <v>0</v>
      </c>
      <c r="W44" s="1629"/>
    </row>
    <row r="45" spans="1:23" s="1423" customFormat="1">
      <c r="A45" s="1423" t="s">
        <v>3619</v>
      </c>
      <c r="B45" s="1800" t="s">
        <v>56</v>
      </c>
      <c r="C45" s="1797" t="s">
        <v>2929</v>
      </c>
      <c r="D45" s="1765"/>
      <c r="E45" s="1766"/>
      <c r="F45" s="1766"/>
      <c r="G45" s="1767"/>
      <c r="H45" s="1781">
        <f t="shared" si="3"/>
        <v>0</v>
      </c>
      <c r="I45" s="1781">
        <f t="shared" si="4"/>
        <v>0</v>
      </c>
      <c r="J45" s="1766"/>
      <c r="K45" s="1785"/>
      <c r="L45" s="1782"/>
      <c r="M45" s="1783"/>
      <c r="N45" s="1765"/>
      <c r="O45" s="1787"/>
      <c r="P45" s="1788"/>
      <c r="Q45" s="1789"/>
      <c r="R45" s="1790"/>
      <c r="S45" s="1791"/>
      <c r="T45" s="1630">
        <f t="shared" si="11"/>
        <v>0</v>
      </c>
      <c r="U45" s="1630">
        <f t="shared" si="2"/>
        <v>0</v>
      </c>
      <c r="V45" s="1630">
        <f t="shared" si="12"/>
        <v>0</v>
      </c>
      <c r="W45" s="1629"/>
    </row>
    <row r="46" spans="1:23" s="1410" customFormat="1">
      <c r="B46" s="1796" t="s">
        <v>649</v>
      </c>
      <c r="C46" s="1778" t="s">
        <v>3953</v>
      </c>
      <c r="D46" s="1420" t="s">
        <v>37</v>
      </c>
      <c r="E46" s="1779">
        <v>775.79</v>
      </c>
      <c r="F46" s="1779">
        <v>70.09</v>
      </c>
      <c r="G46" s="1780">
        <v>70.98</v>
      </c>
      <c r="H46" s="1781">
        <f t="shared" si="3"/>
        <v>54375.12</v>
      </c>
      <c r="I46" s="1781">
        <f t="shared" si="4"/>
        <v>55065.57</v>
      </c>
      <c r="J46" s="1766">
        <v>775.79</v>
      </c>
      <c r="K46" s="1232">
        <v>55065.574200000003</v>
      </c>
      <c r="L46" s="1782"/>
      <c r="M46" s="1783">
        <f>L46*G46</f>
        <v>0</v>
      </c>
      <c r="N46" s="1420">
        <f t="shared" si="22"/>
        <v>775.79</v>
      </c>
      <c r="O46" s="1363">
        <f t="shared" ref="O46" si="33">N46*G46</f>
        <v>55065.574200000003</v>
      </c>
      <c r="P46" s="1784">
        <f>+IF(D46=0,"",O46/I46)</f>
        <v>1.0000000762727055</v>
      </c>
      <c r="Q46" s="1421">
        <f>E46-N46</f>
        <v>0</v>
      </c>
      <c r="R46" s="1234">
        <f>ROUND((Q46*G46),2)</f>
        <v>0</v>
      </c>
      <c r="S46" s="1422">
        <f>+IF(I46=0,"",R46/I46)</f>
        <v>0</v>
      </c>
      <c r="T46" s="1418">
        <f t="shared" si="11"/>
        <v>55065.574200000003</v>
      </c>
      <c r="U46" s="1418">
        <f t="shared" si="2"/>
        <v>54375.12</v>
      </c>
      <c r="V46" s="1418">
        <f t="shared" si="12"/>
        <v>-690.45420000000013</v>
      </c>
      <c r="W46" s="1428"/>
    </row>
    <row r="47" spans="1:23" s="1423" customFormat="1">
      <c r="B47" s="1800" t="s">
        <v>57</v>
      </c>
      <c r="C47" s="1797" t="s">
        <v>2975</v>
      </c>
      <c r="D47" s="1765"/>
      <c r="E47" s="1766"/>
      <c r="F47" s="1766"/>
      <c r="G47" s="1767"/>
      <c r="H47" s="1781">
        <f t="shared" si="3"/>
        <v>0</v>
      </c>
      <c r="I47" s="1781">
        <f t="shared" si="4"/>
        <v>0</v>
      </c>
      <c r="J47" s="1766"/>
      <c r="K47" s="1785"/>
      <c r="L47" s="1782"/>
      <c r="M47" s="1783"/>
      <c r="N47" s="1765"/>
      <c r="O47" s="1787"/>
      <c r="P47" s="1788"/>
      <c r="Q47" s="1789"/>
      <c r="R47" s="1790"/>
      <c r="S47" s="1791"/>
      <c r="T47" s="1630">
        <f t="shared" si="11"/>
        <v>0</v>
      </c>
      <c r="U47" s="1630">
        <f t="shared" si="2"/>
        <v>0</v>
      </c>
      <c r="V47" s="1630">
        <f t="shared" si="12"/>
        <v>0</v>
      </c>
      <c r="W47" s="1629"/>
    </row>
    <row r="48" spans="1:23" s="1410" customFormat="1">
      <c r="B48" s="1796" t="s">
        <v>655</v>
      </c>
      <c r="C48" s="1778" t="s">
        <v>3954</v>
      </c>
      <c r="D48" s="1420" t="s">
        <v>36</v>
      </c>
      <c r="E48" s="1779">
        <v>2115</v>
      </c>
      <c r="F48" s="1779">
        <v>8.870000000000001</v>
      </c>
      <c r="G48" s="1780">
        <v>8.91</v>
      </c>
      <c r="H48" s="1781">
        <f t="shared" si="3"/>
        <v>18760.05</v>
      </c>
      <c r="I48" s="1781">
        <f t="shared" si="4"/>
        <v>18844.650000000001</v>
      </c>
      <c r="J48" s="1766">
        <v>2115</v>
      </c>
      <c r="K48" s="1232">
        <v>18844.650000000001</v>
      </c>
      <c r="L48" s="1782"/>
      <c r="M48" s="1783">
        <f>L48*G48</f>
        <v>0</v>
      </c>
      <c r="N48" s="1420">
        <f t="shared" si="22"/>
        <v>2115</v>
      </c>
      <c r="O48" s="1363">
        <f t="shared" ref="O48" si="34">N48*G48</f>
        <v>18844.650000000001</v>
      </c>
      <c r="P48" s="1784">
        <f>+IF(D48=0,"",O48/I48)</f>
        <v>1</v>
      </c>
      <c r="Q48" s="1421">
        <f>E48-N48</f>
        <v>0</v>
      </c>
      <c r="R48" s="1234">
        <f>ROUND((Q48*G48),2)</f>
        <v>0</v>
      </c>
      <c r="S48" s="1422">
        <f>+IF(I48=0,"",R48/I48)</f>
        <v>0</v>
      </c>
      <c r="T48" s="1418">
        <f t="shared" si="11"/>
        <v>18844.650000000001</v>
      </c>
      <c r="U48" s="1418">
        <f t="shared" si="2"/>
        <v>18760.05</v>
      </c>
      <c r="V48" s="1418">
        <f t="shared" si="12"/>
        <v>-84.600000000002183</v>
      </c>
      <c r="W48" s="1428"/>
    </row>
    <row r="49" spans="1:24" s="1631" customFormat="1">
      <c r="B49" s="1800" t="s">
        <v>660</v>
      </c>
      <c r="C49" s="1797" t="s">
        <v>3955</v>
      </c>
      <c r="D49" s="1765"/>
      <c r="E49" s="1766"/>
      <c r="F49" s="1766"/>
      <c r="G49" s="1767"/>
      <c r="H49" s="1781">
        <f t="shared" si="3"/>
        <v>0</v>
      </c>
      <c r="I49" s="1781">
        <f t="shared" si="4"/>
        <v>0</v>
      </c>
      <c r="J49" s="1769"/>
      <c r="K49" s="1785"/>
      <c r="L49" s="1786"/>
      <c r="M49" s="1783"/>
      <c r="N49" s="1765"/>
      <c r="O49" s="1787"/>
      <c r="P49" s="1788"/>
      <c r="Q49" s="1789"/>
      <c r="R49" s="1790"/>
      <c r="S49" s="1791"/>
      <c r="T49" s="1630">
        <f t="shared" si="11"/>
        <v>0</v>
      </c>
      <c r="U49" s="1630">
        <f t="shared" si="2"/>
        <v>0</v>
      </c>
      <c r="V49" s="1630">
        <f t="shared" si="12"/>
        <v>0</v>
      </c>
      <c r="W49" s="1801"/>
    </row>
    <row r="50" spans="1:24" s="1410" customFormat="1">
      <c r="B50" s="1796" t="s">
        <v>661</v>
      </c>
      <c r="C50" s="1778" t="s">
        <v>3956</v>
      </c>
      <c r="D50" s="1420" t="s">
        <v>37</v>
      </c>
      <c r="E50" s="1779">
        <v>1640</v>
      </c>
      <c r="F50" s="1779">
        <v>21.8</v>
      </c>
      <c r="G50" s="1780">
        <v>22.54</v>
      </c>
      <c r="H50" s="1781">
        <f t="shared" si="3"/>
        <v>35752</v>
      </c>
      <c r="I50" s="1781">
        <f t="shared" si="4"/>
        <v>36965.599999999999</v>
      </c>
      <c r="J50" s="1769">
        <v>671.92000000000007</v>
      </c>
      <c r="K50" s="1232">
        <v>15145.076800000001</v>
      </c>
      <c r="L50" s="1786"/>
      <c r="M50" s="1783">
        <f>L50*G50</f>
        <v>0</v>
      </c>
      <c r="N50" s="1420">
        <f t="shared" si="22"/>
        <v>671.92000000000007</v>
      </c>
      <c r="O50" s="1363">
        <f t="shared" ref="O50" si="35">N50*G50</f>
        <v>15145.076800000001</v>
      </c>
      <c r="P50" s="1784">
        <f>+IF(D50=0,"",O50/I50)</f>
        <v>0.40970731707317076</v>
      </c>
      <c r="Q50" s="1421">
        <f>E50-N50</f>
        <v>968.07999999999993</v>
      </c>
      <c r="R50" s="1234">
        <f>ROUND((Q50*G50),2)</f>
        <v>21820.52</v>
      </c>
      <c r="S50" s="2210">
        <f>+IF(I50=0,"",R50/I50)</f>
        <v>0.59029259635985898</v>
      </c>
      <c r="T50" s="1418">
        <f t="shared" si="11"/>
        <v>36965.596799999999</v>
      </c>
      <c r="U50" s="1418">
        <f t="shared" si="2"/>
        <v>35752</v>
      </c>
      <c r="V50" s="1418">
        <f t="shared" si="12"/>
        <v>-1213.5967999999993</v>
      </c>
      <c r="W50" s="1428"/>
    </row>
    <row r="51" spans="1:24" s="1423" customFormat="1">
      <c r="B51" s="1793" t="s">
        <v>45</v>
      </c>
      <c r="C51" s="1794" t="s">
        <v>1382</v>
      </c>
      <c r="D51" s="1765"/>
      <c r="E51" s="1766"/>
      <c r="F51" s="1766"/>
      <c r="G51" s="1767"/>
      <c r="H51" s="1781">
        <f t="shared" si="3"/>
        <v>0</v>
      </c>
      <c r="I51" s="1781">
        <f t="shared" si="4"/>
        <v>0</v>
      </c>
      <c r="J51" s="1769"/>
      <c r="K51" s="1785"/>
      <c r="L51" s="1786"/>
      <c r="M51" s="1783"/>
      <c r="N51" s="1765"/>
      <c r="O51" s="1787"/>
      <c r="P51" s="1788"/>
      <c r="Q51" s="1789"/>
      <c r="R51" s="1790"/>
      <c r="S51" s="1791"/>
      <c r="T51" s="1630">
        <f t="shared" si="11"/>
        <v>0</v>
      </c>
      <c r="U51" s="1630">
        <f t="shared" si="2"/>
        <v>0</v>
      </c>
      <c r="V51" s="1630">
        <f t="shared" si="12"/>
        <v>0</v>
      </c>
      <c r="W51" s="1629"/>
    </row>
    <row r="52" spans="1:24" s="1423" customFormat="1">
      <c r="A52" s="1423" t="s">
        <v>3619</v>
      </c>
      <c r="B52" s="1800" t="s">
        <v>47</v>
      </c>
      <c r="C52" s="1797" t="s">
        <v>3957</v>
      </c>
      <c r="D52" s="1765"/>
      <c r="E52" s="1766"/>
      <c r="F52" s="1766"/>
      <c r="G52" s="1767"/>
      <c r="H52" s="1781">
        <f t="shared" si="3"/>
        <v>0</v>
      </c>
      <c r="I52" s="1781">
        <f t="shared" si="4"/>
        <v>0</v>
      </c>
      <c r="J52" s="1769"/>
      <c r="K52" s="1785"/>
      <c r="L52" s="1786"/>
      <c r="M52" s="1783"/>
      <c r="N52" s="1765"/>
      <c r="O52" s="1787"/>
      <c r="P52" s="1788"/>
      <c r="Q52" s="1789"/>
      <c r="R52" s="1790"/>
      <c r="S52" s="1791"/>
      <c r="T52" s="1630">
        <f t="shared" si="11"/>
        <v>0</v>
      </c>
      <c r="U52" s="1630">
        <f t="shared" si="2"/>
        <v>0</v>
      </c>
      <c r="V52" s="1630">
        <f t="shared" si="12"/>
        <v>0</v>
      </c>
      <c r="W52" s="1629"/>
    </row>
    <row r="53" spans="1:24" s="1409" customFormat="1">
      <c r="B53" s="1796" t="s">
        <v>49</v>
      </c>
      <c r="C53" s="1778" t="s">
        <v>3958</v>
      </c>
      <c r="D53" s="1420" t="s">
        <v>1453</v>
      </c>
      <c r="E53" s="1779">
        <v>1</v>
      </c>
      <c r="F53" s="1779">
        <v>10901.01</v>
      </c>
      <c r="G53" s="1780">
        <v>11114.7</v>
      </c>
      <c r="H53" s="1781">
        <f t="shared" si="3"/>
        <v>10901.01</v>
      </c>
      <c r="I53" s="1781">
        <f t="shared" si="4"/>
        <v>11114.7</v>
      </c>
      <c r="J53" s="1769">
        <v>1</v>
      </c>
      <c r="K53" s="1232">
        <v>11114.7</v>
      </c>
      <c r="L53" s="1786"/>
      <c r="M53" s="1783">
        <f t="shared" ref="M53:M59" si="36">L53*G53</f>
        <v>0</v>
      </c>
      <c r="N53" s="1420">
        <f t="shared" si="22"/>
        <v>1</v>
      </c>
      <c r="O53" s="1363">
        <f t="shared" ref="O53" si="37">N53*G53</f>
        <v>11114.7</v>
      </c>
      <c r="P53" s="1784">
        <f>+IF(D53=0,"",O53/I53)</f>
        <v>1</v>
      </c>
      <c r="Q53" s="1421">
        <f>E53-N53</f>
        <v>0</v>
      </c>
      <c r="R53" s="1234">
        <f>ROUND((Q53*G53),2)</f>
        <v>0</v>
      </c>
      <c r="S53" s="1422">
        <f>+IF(I53=0,"",R53/I53)</f>
        <v>0</v>
      </c>
      <c r="T53" s="1418">
        <f t="shared" si="11"/>
        <v>11114.7</v>
      </c>
      <c r="U53" s="1418">
        <f t="shared" si="2"/>
        <v>10901.01</v>
      </c>
      <c r="V53" s="1418">
        <f t="shared" si="12"/>
        <v>-213.69000000000051</v>
      </c>
      <c r="W53" s="1429"/>
    </row>
    <row r="54" spans="1:24" s="1423" customFormat="1">
      <c r="A54" s="1423" t="s">
        <v>3619</v>
      </c>
      <c r="B54" s="1800" t="s">
        <v>474</v>
      </c>
      <c r="C54" s="1797" t="s">
        <v>3959</v>
      </c>
      <c r="D54" s="1765"/>
      <c r="E54" s="1766"/>
      <c r="F54" s="1766"/>
      <c r="G54" s="1767"/>
      <c r="H54" s="1781">
        <f t="shared" si="3"/>
        <v>0</v>
      </c>
      <c r="I54" s="1781">
        <f t="shared" si="4"/>
        <v>0</v>
      </c>
      <c r="J54" s="1769">
        <v>0</v>
      </c>
      <c r="K54" s="1785"/>
      <c r="L54" s="1786"/>
      <c r="M54" s="1783">
        <f t="shared" si="36"/>
        <v>0</v>
      </c>
      <c r="N54" s="1420">
        <f t="shared" si="22"/>
        <v>0</v>
      </c>
      <c r="O54" s="1787"/>
      <c r="P54" s="1788"/>
      <c r="Q54" s="1789"/>
      <c r="R54" s="1790"/>
      <c r="S54" s="1791"/>
      <c r="T54" s="1630">
        <f t="shared" si="11"/>
        <v>0</v>
      </c>
      <c r="U54" s="1630">
        <f t="shared" si="2"/>
        <v>0</v>
      </c>
      <c r="V54" s="1630">
        <f t="shared" si="12"/>
        <v>0</v>
      </c>
      <c r="W54" s="1629"/>
    </row>
    <row r="55" spans="1:24" s="1410" customFormat="1">
      <c r="B55" s="1777" t="s">
        <v>475</v>
      </c>
      <c r="C55" s="1778" t="s">
        <v>3495</v>
      </c>
      <c r="D55" s="1420" t="s">
        <v>38</v>
      </c>
      <c r="E55" s="1779">
        <v>130</v>
      </c>
      <c r="F55" s="1779">
        <v>6.3100000000000005</v>
      </c>
      <c r="G55" s="1780">
        <v>6.49</v>
      </c>
      <c r="H55" s="1781">
        <f t="shared" si="3"/>
        <v>820.3</v>
      </c>
      <c r="I55" s="1781">
        <f t="shared" si="4"/>
        <v>843.7</v>
      </c>
      <c r="J55" s="1769">
        <v>130</v>
      </c>
      <c r="K55" s="1232">
        <v>843.7</v>
      </c>
      <c r="L55" s="1786"/>
      <c r="M55" s="1783">
        <f t="shared" si="36"/>
        <v>0</v>
      </c>
      <c r="N55" s="1420">
        <f t="shared" si="22"/>
        <v>130</v>
      </c>
      <c r="O55" s="1363">
        <f t="shared" ref="O55:O59" si="38">N55*G55</f>
        <v>843.7</v>
      </c>
      <c r="P55" s="1784">
        <f t="shared" ref="P55:P59" si="39">+IF(D55=0,"",O55/I55)</f>
        <v>1</v>
      </c>
      <c r="Q55" s="1421">
        <f>E55-N55</f>
        <v>0</v>
      </c>
      <c r="R55" s="1234">
        <f t="shared" ref="R55:R59" si="40">ROUND((Q55*G55),2)</f>
        <v>0</v>
      </c>
      <c r="S55" s="1422">
        <f t="shared" ref="S55:S59" si="41">+IF(I55=0,"",R55/I55)</f>
        <v>0</v>
      </c>
      <c r="T55" s="1418">
        <f t="shared" si="11"/>
        <v>843.7</v>
      </c>
      <c r="U55" s="1418">
        <f t="shared" si="2"/>
        <v>820.3</v>
      </c>
      <c r="V55" s="1418">
        <f t="shared" si="12"/>
        <v>-23.400000000000091</v>
      </c>
      <c r="W55" s="1428"/>
    </row>
    <row r="56" spans="1:24" s="1410" customFormat="1">
      <c r="B56" s="1777" t="s">
        <v>476</v>
      </c>
      <c r="C56" s="1778" t="s">
        <v>3960</v>
      </c>
      <c r="D56" s="1420" t="s">
        <v>1451</v>
      </c>
      <c r="E56" s="1779">
        <v>12</v>
      </c>
      <c r="F56" s="1779">
        <v>99.15</v>
      </c>
      <c r="G56" s="1780">
        <v>101.14</v>
      </c>
      <c r="H56" s="1781">
        <f t="shared" si="3"/>
        <v>1189.8</v>
      </c>
      <c r="I56" s="1781">
        <f t="shared" si="4"/>
        <v>1213.68</v>
      </c>
      <c r="J56" s="1769">
        <v>12</v>
      </c>
      <c r="K56" s="1232">
        <v>1213.68</v>
      </c>
      <c r="L56" s="1786"/>
      <c r="M56" s="1783">
        <f t="shared" si="36"/>
        <v>0</v>
      </c>
      <c r="N56" s="1420">
        <f t="shared" si="22"/>
        <v>12</v>
      </c>
      <c r="O56" s="1363">
        <f t="shared" si="38"/>
        <v>1213.68</v>
      </c>
      <c r="P56" s="1784">
        <f t="shared" si="39"/>
        <v>1</v>
      </c>
      <c r="Q56" s="1421">
        <f>E56-N56</f>
        <v>0</v>
      </c>
      <c r="R56" s="1234">
        <f t="shared" si="40"/>
        <v>0</v>
      </c>
      <c r="S56" s="1422">
        <f t="shared" si="41"/>
        <v>0</v>
      </c>
      <c r="T56" s="1418">
        <f t="shared" si="11"/>
        <v>1213.68</v>
      </c>
      <c r="U56" s="1418">
        <f t="shared" si="2"/>
        <v>1189.8</v>
      </c>
      <c r="V56" s="1418">
        <f t="shared" si="12"/>
        <v>-23.880000000000109</v>
      </c>
      <c r="W56" s="1428"/>
    </row>
    <row r="57" spans="1:24" s="1410" customFormat="1">
      <c r="B57" s="1777" t="s">
        <v>477</v>
      </c>
      <c r="C57" s="1778" t="s">
        <v>3961</v>
      </c>
      <c r="D57" s="1420" t="s">
        <v>1450</v>
      </c>
      <c r="E57" s="1779">
        <v>4</v>
      </c>
      <c r="F57" s="1779">
        <v>90</v>
      </c>
      <c r="G57" s="1780">
        <v>92.37</v>
      </c>
      <c r="H57" s="1781">
        <f t="shared" si="3"/>
        <v>360</v>
      </c>
      <c r="I57" s="1781">
        <f t="shared" si="4"/>
        <v>369.48</v>
      </c>
      <c r="J57" s="1769">
        <v>4</v>
      </c>
      <c r="K57" s="1232">
        <v>369.48</v>
      </c>
      <c r="L57" s="1786"/>
      <c r="M57" s="1783">
        <f t="shared" si="36"/>
        <v>0</v>
      </c>
      <c r="N57" s="1420">
        <f t="shared" si="22"/>
        <v>4</v>
      </c>
      <c r="O57" s="1363">
        <f t="shared" si="38"/>
        <v>369.48</v>
      </c>
      <c r="P57" s="1784">
        <f t="shared" si="39"/>
        <v>1</v>
      </c>
      <c r="Q57" s="1421">
        <f>E57-N57</f>
        <v>0</v>
      </c>
      <c r="R57" s="1234">
        <f t="shared" si="40"/>
        <v>0</v>
      </c>
      <c r="S57" s="1422">
        <f t="shared" si="41"/>
        <v>0</v>
      </c>
      <c r="T57" s="1418">
        <f t="shared" si="11"/>
        <v>369.48</v>
      </c>
      <c r="U57" s="1418">
        <f t="shared" si="2"/>
        <v>360</v>
      </c>
      <c r="V57" s="1418">
        <f t="shared" si="12"/>
        <v>-9.4800000000000182</v>
      </c>
      <c r="W57" s="1428"/>
    </row>
    <row r="58" spans="1:24" s="1409" customFormat="1">
      <c r="B58" s="1777" t="s">
        <v>478</v>
      </c>
      <c r="C58" s="1778" t="s">
        <v>3962</v>
      </c>
      <c r="D58" s="1420" t="s">
        <v>36</v>
      </c>
      <c r="E58" s="1779">
        <v>12</v>
      </c>
      <c r="F58" s="1779">
        <v>171.61</v>
      </c>
      <c r="G58" s="1780">
        <v>172.42</v>
      </c>
      <c r="H58" s="1781">
        <f t="shared" si="3"/>
        <v>2059.3200000000002</v>
      </c>
      <c r="I58" s="1781">
        <f t="shared" si="4"/>
        <v>2069.04</v>
      </c>
      <c r="J58" s="1769">
        <v>0</v>
      </c>
      <c r="K58" s="1232">
        <v>0</v>
      </c>
      <c r="L58" s="1786"/>
      <c r="M58" s="1783">
        <f t="shared" si="36"/>
        <v>0</v>
      </c>
      <c r="N58" s="1420">
        <f t="shared" si="22"/>
        <v>0</v>
      </c>
      <c r="O58" s="1363">
        <f t="shared" si="38"/>
        <v>0</v>
      </c>
      <c r="P58" s="1784">
        <f t="shared" si="39"/>
        <v>0</v>
      </c>
      <c r="Q58" s="1421">
        <f>E58-N58</f>
        <v>12</v>
      </c>
      <c r="R58" s="1234">
        <f t="shared" si="40"/>
        <v>2069.04</v>
      </c>
      <c r="S58" s="1422">
        <f t="shared" si="41"/>
        <v>1</v>
      </c>
      <c r="T58" s="1418">
        <f t="shared" si="11"/>
        <v>2069.04</v>
      </c>
      <c r="U58" s="1418">
        <f t="shared" si="2"/>
        <v>2059.3200000000002</v>
      </c>
      <c r="V58" s="1418">
        <f t="shared" si="12"/>
        <v>-9.7199999999997999</v>
      </c>
      <c r="W58" s="1429"/>
    </row>
    <row r="59" spans="1:24" s="1409" customFormat="1" ht="14.25" thickBot="1">
      <c r="B59" s="2107" t="s">
        <v>479</v>
      </c>
      <c r="C59" s="2108" t="s">
        <v>3963</v>
      </c>
      <c r="D59" s="2109" t="s">
        <v>38</v>
      </c>
      <c r="E59" s="2110">
        <v>130.56</v>
      </c>
      <c r="F59" s="2110">
        <v>7.47</v>
      </c>
      <c r="G59" s="2111">
        <v>7.71</v>
      </c>
      <c r="H59" s="2112">
        <f t="shared" si="3"/>
        <v>975.28</v>
      </c>
      <c r="I59" s="2113">
        <f t="shared" si="4"/>
        <v>1006.62</v>
      </c>
      <c r="J59" s="2114">
        <v>130.56</v>
      </c>
      <c r="K59" s="2115">
        <v>1006.6176</v>
      </c>
      <c r="L59" s="2116"/>
      <c r="M59" s="2117">
        <f t="shared" si="36"/>
        <v>0</v>
      </c>
      <c r="N59" s="2109">
        <f t="shared" si="22"/>
        <v>130.56</v>
      </c>
      <c r="O59" s="2118">
        <f t="shared" si="38"/>
        <v>1006.6176</v>
      </c>
      <c r="P59" s="2119">
        <f t="shared" si="39"/>
        <v>0.99999761578351321</v>
      </c>
      <c r="Q59" s="2120">
        <f>E59-N59</f>
        <v>0</v>
      </c>
      <c r="R59" s="2121">
        <f t="shared" si="40"/>
        <v>0</v>
      </c>
      <c r="S59" s="2122">
        <f t="shared" si="41"/>
        <v>0</v>
      </c>
      <c r="T59" s="1418">
        <f t="shared" si="11"/>
        <v>1006.6176</v>
      </c>
      <c r="U59" s="1418">
        <f t="shared" si="2"/>
        <v>975.28</v>
      </c>
      <c r="V59" s="1418">
        <f t="shared" si="12"/>
        <v>-31.337600000000066</v>
      </c>
      <c r="W59" s="1429"/>
    </row>
    <row r="60" spans="1:24" s="561" customFormat="1" ht="12.75">
      <c r="B60" s="1253"/>
      <c r="C60" s="1325" t="s">
        <v>59</v>
      </c>
      <c r="D60" s="1326"/>
      <c r="E60" s="1326"/>
      <c r="F60" s="1326"/>
      <c r="G60" s="1326"/>
      <c r="H60" s="2123">
        <f>(SUM(H17:H59))</f>
        <v>575817.15</v>
      </c>
      <c r="I60" s="2124">
        <f>(SUM(I17:I59))</f>
        <v>587707.12</v>
      </c>
      <c r="J60" s="2125">
        <f>+K60/I60</f>
        <v>0.95935122514765514</v>
      </c>
      <c r="K60" s="1328">
        <f>SUM(K17:K59)</f>
        <v>563817.54559999995</v>
      </c>
      <c r="L60" s="1802">
        <f>M60/I60</f>
        <v>0</v>
      </c>
      <c r="M60" s="1424">
        <f>SUM(M17:M59)</f>
        <v>0</v>
      </c>
      <c r="N60" s="1329">
        <f>+O60/I60</f>
        <v>0.9593512421629331</v>
      </c>
      <c r="O60" s="1328">
        <f>SUM(O17:O59)+0.01</f>
        <v>563817.55559999996</v>
      </c>
      <c r="P60" s="1329"/>
      <c r="Q60" s="1254"/>
      <c r="R60" s="1327">
        <f>SUM(R17:R59)</f>
        <v>23889.56</v>
      </c>
      <c r="S60" s="1373">
        <f>+R60/I60</f>
        <v>4.0648750350344577E-2</v>
      </c>
      <c r="T60" s="562">
        <f>+R60+O60</f>
        <v>587707.11560000002</v>
      </c>
      <c r="U60" s="562"/>
      <c r="V60" s="562"/>
      <c r="W60" s="1348">
        <f>+H60</f>
        <v>575817.15</v>
      </c>
      <c r="X60" s="562">
        <f>+T60-W60</f>
        <v>11889.965599999996</v>
      </c>
    </row>
    <row r="61" spans="1:24" s="49" customFormat="1" ht="12.75">
      <c r="B61" s="1669"/>
      <c r="C61" s="1670" t="s">
        <v>256</v>
      </c>
      <c r="D61" s="1671"/>
      <c r="E61" s="1672"/>
      <c r="F61" s="1672"/>
      <c r="G61" s="1672"/>
      <c r="H61" s="2126"/>
      <c r="I61" s="1673">
        <v>45201.65</v>
      </c>
      <c r="J61" s="1408"/>
      <c r="K61" s="1408">
        <f>+J60*I61</f>
        <v>43364.258306195508</v>
      </c>
      <c r="L61" s="1804"/>
      <c r="M61" s="1332">
        <f>+L60*I61</f>
        <v>0</v>
      </c>
      <c r="N61" s="1674"/>
      <c r="O61" s="1408">
        <f t="shared" ref="O61:O62" si="42">K61+M61</f>
        <v>43364.258306195508</v>
      </c>
      <c r="P61" s="1674"/>
      <c r="Q61" s="1805"/>
      <c r="R61" s="1673">
        <f>I61-O61</f>
        <v>1837.3916938044931</v>
      </c>
      <c r="S61" s="1677"/>
      <c r="T61" s="1678"/>
      <c r="U61" s="1678"/>
      <c r="V61" s="1678"/>
      <c r="W61" s="524"/>
    </row>
    <row r="62" spans="1:24" s="561" customFormat="1" ht="12.75">
      <c r="B62" s="1255"/>
      <c r="C62" s="1335" t="s">
        <v>1816</v>
      </c>
      <c r="D62" s="1336"/>
      <c r="E62" s="1330"/>
      <c r="F62" s="1330"/>
      <c r="G62" s="1330"/>
      <c r="H62" s="2127"/>
      <c r="I62" s="1331">
        <v>14913.66</v>
      </c>
      <c r="J62" s="1332"/>
      <c r="K62" s="1408">
        <f>+J60*I62</f>
        <v>14307.437992435578</v>
      </c>
      <c r="L62" s="1806"/>
      <c r="M62" s="1332">
        <f>+L60*I62</f>
        <v>0</v>
      </c>
      <c r="N62" s="1333"/>
      <c r="O62" s="1332">
        <f t="shared" si="42"/>
        <v>14307.437992435578</v>
      </c>
      <c r="P62" s="1333"/>
      <c r="Q62" s="1275"/>
      <c r="R62" s="1331">
        <f>I62-O62</f>
        <v>606.2220075644218</v>
      </c>
      <c r="S62" s="1334"/>
      <c r="T62" s="562"/>
      <c r="U62" s="562"/>
      <c r="V62" s="562"/>
      <c r="W62" s="1348"/>
    </row>
    <row r="63" spans="1:24" s="561" customFormat="1" ht="12.75">
      <c r="B63" s="1255"/>
      <c r="C63" s="1337" t="s">
        <v>3567</v>
      </c>
      <c r="D63" s="1338"/>
      <c r="E63" s="1338"/>
      <c r="F63" s="1338"/>
      <c r="G63" s="1338"/>
      <c r="H63" s="2127"/>
      <c r="I63" s="1339">
        <f>ROUND(SUM(I60:I62),2)</f>
        <v>647822.43000000005</v>
      </c>
      <c r="J63" s="1340"/>
      <c r="K63" s="1340">
        <f>SUM(K60:K62)</f>
        <v>621489.24189863098</v>
      </c>
      <c r="L63" s="1807"/>
      <c r="M63" s="1340">
        <f>SUM(M60:M62)</f>
        <v>0</v>
      </c>
      <c r="N63" s="1339"/>
      <c r="O63" s="1340">
        <f>SUM(O60:O62)</f>
        <v>621489.25189863099</v>
      </c>
      <c r="P63" s="1243"/>
      <c r="Q63" s="1339"/>
      <c r="R63" s="1341">
        <f>SUM(R60:R62)</f>
        <v>26333.173701368916</v>
      </c>
      <c r="S63" s="1342"/>
      <c r="T63" s="562" t="e">
        <f>+#REF!-R60</f>
        <v>#REF!</v>
      </c>
      <c r="U63" s="562"/>
      <c r="V63" s="562"/>
      <c r="W63" s="1348"/>
    </row>
    <row r="64" spans="1:24" s="1229" customFormat="1" ht="14.25" thickBot="1">
      <c r="B64" s="1256"/>
      <c r="C64" s="1808" t="s">
        <v>61</v>
      </c>
      <c r="D64" s="1257"/>
      <c r="E64" s="1257"/>
      <c r="F64" s="1257"/>
      <c r="G64" s="1257"/>
      <c r="H64" s="2128"/>
      <c r="I64" s="1258">
        <f>SUM(I63:I63)</f>
        <v>647822.43000000005</v>
      </c>
      <c r="J64" s="1261">
        <f>+K64/I64</f>
        <v>0.95935122514765492</v>
      </c>
      <c r="K64" s="1259">
        <f>SUM(K63:K63)</f>
        <v>621489.24189863098</v>
      </c>
      <c r="L64" s="1681">
        <f>M64/I64</f>
        <v>0</v>
      </c>
      <c r="M64" s="1426">
        <f>SUM(M63:M63)</f>
        <v>0</v>
      </c>
      <c r="N64" s="1261">
        <f>O64/I64</f>
        <v>0.95935124058398369</v>
      </c>
      <c r="O64" s="1259">
        <f>SUM(O63:O63)</f>
        <v>621489.25189863099</v>
      </c>
      <c r="P64" s="1261"/>
      <c r="Q64" s="1260"/>
      <c r="R64" s="1258">
        <f>ROUND(SUM(R63:R63),2)</f>
        <v>26333.17</v>
      </c>
      <c r="S64" s="1684">
        <f>+R64/I64</f>
        <v>4.064874691047668E-2</v>
      </c>
      <c r="T64" s="562">
        <f>+I64</f>
        <v>647822.43000000005</v>
      </c>
      <c r="U64" s="562"/>
      <c r="V64" s="562"/>
      <c r="W64" s="1348">
        <f>+O64+R64</f>
        <v>647822.42189863103</v>
      </c>
      <c r="X64" s="562">
        <f>+T64-W64</f>
        <v>8.1013690214604139E-3</v>
      </c>
    </row>
    <row r="65" spans="2:23" s="561" customFormat="1" ht="12.75" hidden="1">
      <c r="B65" s="1244"/>
      <c r="C65" s="1246"/>
      <c r="D65" s="1247"/>
      <c r="E65" s="1248"/>
      <c r="F65" s="1249"/>
      <c r="G65" s="1249"/>
      <c r="H65" s="1250"/>
      <c r="I65" s="1250"/>
      <c r="J65" s="1251"/>
      <c r="K65" s="1252"/>
      <c r="L65" s="1685"/>
      <c r="M65" s="1427"/>
      <c r="N65" s="1247"/>
      <c r="O65" s="1251"/>
      <c r="P65" s="1251"/>
      <c r="Q65" s="1249"/>
      <c r="R65" s="1246"/>
      <c r="S65" s="1246"/>
      <c r="T65" s="562"/>
      <c r="U65" s="562"/>
      <c r="V65" s="562"/>
      <c r="W65" s="1173"/>
    </row>
    <row r="66" spans="2:23" s="561" customFormat="1" ht="12.75" hidden="1">
      <c r="B66" s="1688"/>
      <c r="C66" s="1689"/>
      <c r="D66" s="638"/>
      <c r="E66" s="1690"/>
      <c r="F66" s="1809"/>
      <c r="G66" s="1809"/>
      <c r="H66" s="1691"/>
      <c r="I66" s="1691"/>
      <c r="J66" s="1692"/>
      <c r="K66" s="638"/>
      <c r="L66" s="1693"/>
      <c r="M66" s="1589"/>
      <c r="N66" s="638"/>
      <c r="O66" s="1692"/>
      <c r="P66" s="1692"/>
      <c r="Q66" s="1809"/>
      <c r="R66" s="1689"/>
      <c r="S66" s="1689"/>
      <c r="W66" s="1173"/>
    </row>
    <row r="67" spans="2:23" s="561" customFormat="1" hidden="1">
      <c r="B67" s="1695"/>
      <c r="C67" s="1696"/>
      <c r="D67" s="3191" t="s">
        <v>62</v>
      </c>
      <c r="E67" s="3192"/>
      <c r="F67" s="3192"/>
      <c r="G67" s="3192"/>
      <c r="H67" s="3192"/>
      <c r="I67" s="3192"/>
      <c r="J67" s="3193"/>
      <c r="K67" s="1697">
        <f>+K60/H60</f>
        <v>0.97916073809194448</v>
      </c>
      <c r="L67" s="1698"/>
      <c r="M67" s="668">
        <f>+M60/H60</f>
        <v>0</v>
      </c>
      <c r="N67" s="683"/>
      <c r="O67" s="1699"/>
      <c r="P67" s="1700">
        <f>+O60/H60</f>
        <v>0.97916075545856862</v>
      </c>
      <c r="Q67" s="1810"/>
      <c r="R67" s="1701"/>
      <c r="S67" s="1702">
        <f>+R60/H60</f>
        <v>4.1488100866742157E-2</v>
      </c>
      <c r="T67" s="1703"/>
      <c r="U67" s="1703"/>
      <c r="V67" s="1703"/>
      <c r="W67" s="1173"/>
    </row>
    <row r="68" spans="2:23" s="561" customFormat="1" hidden="1">
      <c r="B68" s="1688"/>
      <c r="C68" s="1689"/>
      <c r="D68" s="683"/>
      <c r="E68" s="1704"/>
      <c r="F68" s="1811"/>
      <c r="G68" s="1811"/>
      <c r="H68" s="1705"/>
      <c r="I68" s="1705"/>
      <c r="J68" s="683"/>
      <c r="K68" s="683"/>
      <c r="L68" s="1698"/>
      <c r="M68" s="1590"/>
      <c r="N68" s="683"/>
      <c r="O68" s="1699"/>
      <c r="P68" s="683"/>
      <c r="Q68" s="1810"/>
      <c r="R68" s="1701"/>
      <c r="S68" s="1706"/>
      <c r="W68" s="1173"/>
    </row>
    <row r="69" spans="2:23" s="561" customFormat="1" hidden="1">
      <c r="B69" s="1688"/>
      <c r="C69" s="1812" t="s">
        <v>1805</v>
      </c>
      <c r="D69" s="683">
        <v>0.13514169600000001</v>
      </c>
      <c r="E69" s="1704"/>
      <c r="F69" s="1811"/>
      <c r="G69" s="1811"/>
      <c r="H69" s="1705">
        <f>H60*D69</f>
        <v>77816.906236886411</v>
      </c>
      <c r="I69" s="1705"/>
      <c r="J69" s="683"/>
      <c r="K69" s="683"/>
      <c r="L69" s="1698"/>
      <c r="M69" s="1590"/>
      <c r="N69" s="683"/>
      <c r="O69" s="1699"/>
      <c r="P69" s="683"/>
      <c r="Q69" s="1810"/>
      <c r="R69" s="1701"/>
      <c r="S69" s="1706"/>
      <c r="W69" s="1173"/>
    </row>
    <row r="70" spans="2:23" s="561" customFormat="1" hidden="1">
      <c r="B70" s="1688"/>
      <c r="C70" s="1812" t="s">
        <v>1806</v>
      </c>
      <c r="D70" s="683">
        <v>2.5765203E-2</v>
      </c>
      <c r="E70" s="1704"/>
      <c r="F70" s="1811"/>
      <c r="G70" s="1811"/>
      <c r="H70" s="1705" t="e">
        <f>#REF!*D70</f>
        <v>#REF!</v>
      </c>
      <c r="I70" s="1705"/>
      <c r="J70" s="683"/>
      <c r="K70" s="683"/>
      <c r="L70" s="1698"/>
      <c r="M70" s="1590"/>
      <c r="N70" s="683"/>
      <c r="O70" s="1699"/>
      <c r="P70" s="683"/>
      <c r="Q70" s="1810"/>
      <c r="R70" s="1701"/>
      <c r="S70" s="1706"/>
      <c r="W70" s="1173"/>
    </row>
    <row r="71" spans="2:23" s="561" customFormat="1" hidden="1">
      <c r="B71" s="1688"/>
      <c r="C71" s="1812" t="s">
        <v>1807</v>
      </c>
      <c r="D71" s="683">
        <v>5.4089901000000003E-2</v>
      </c>
      <c r="E71" s="1704"/>
      <c r="F71" s="1811"/>
      <c r="G71" s="1811"/>
      <c r="H71" s="1705" t="e">
        <f>#REF!*D71</f>
        <v>#REF!</v>
      </c>
      <c r="I71" s="1705"/>
      <c r="J71" s="683"/>
      <c r="K71" s="683"/>
      <c r="L71" s="1698"/>
      <c r="M71" s="1590"/>
      <c r="N71" s="683"/>
      <c r="O71" s="1699"/>
      <c r="P71" s="683"/>
      <c r="Q71" s="1810"/>
      <c r="R71" s="1701"/>
      <c r="S71" s="1706"/>
      <c r="W71" s="1173"/>
    </row>
    <row r="72" spans="2:23" s="561" customFormat="1" hidden="1">
      <c r="B72" s="1688"/>
      <c r="C72" s="1812" t="s">
        <v>1808</v>
      </c>
      <c r="D72" s="683">
        <v>1.4803359E-2</v>
      </c>
      <c r="E72" s="1704"/>
      <c r="F72" s="1811"/>
      <c r="G72" s="1811"/>
      <c r="H72" s="1705" t="e">
        <f>#REF!*D72</f>
        <v>#REF!</v>
      </c>
      <c r="I72" s="1705"/>
      <c r="J72" s="683"/>
      <c r="K72" s="683"/>
      <c r="L72" s="1698"/>
      <c r="M72" s="1590"/>
      <c r="N72" s="683"/>
      <c r="O72" s="1699"/>
      <c r="P72" s="683"/>
      <c r="Q72" s="1810"/>
      <c r="R72" s="1701"/>
      <c r="S72" s="1706"/>
      <c r="W72" s="1173"/>
    </row>
    <row r="73" spans="2:23" s="561" customFormat="1" hidden="1">
      <c r="B73" s="1688"/>
      <c r="C73" s="1812" t="s">
        <v>1809</v>
      </c>
      <c r="D73" s="683">
        <v>3.2312274000000002E-2</v>
      </c>
      <c r="E73" s="1704"/>
      <c r="F73" s="1811"/>
      <c r="G73" s="1811"/>
      <c r="H73" s="1705" t="e">
        <f>#REF!*D73</f>
        <v>#REF!</v>
      </c>
      <c r="I73" s="1705"/>
      <c r="J73" s="683"/>
      <c r="K73" s="683"/>
      <c r="L73" s="1698"/>
      <c r="M73" s="1590"/>
      <c r="N73" s="683"/>
      <c r="O73" s="1699"/>
      <c r="P73" s="683"/>
      <c r="Q73" s="1810"/>
      <c r="R73" s="1701"/>
      <c r="S73" s="1706"/>
      <c r="W73" s="1173"/>
    </row>
    <row r="74" spans="2:23" s="561" customFormat="1" hidden="1">
      <c r="B74" s="1688"/>
      <c r="C74" s="1812" t="s">
        <v>1810</v>
      </c>
      <c r="D74" s="683"/>
      <c r="E74" s="1704"/>
      <c r="F74" s="1811"/>
      <c r="G74" s="1811"/>
      <c r="H74" s="1705"/>
      <c r="I74" s="1705"/>
      <c r="J74" s="683"/>
      <c r="K74" s="683"/>
      <c r="L74" s="1698"/>
      <c r="M74" s="1590"/>
      <c r="N74" s="683"/>
      <c r="O74" s="1699"/>
      <c r="P74" s="683"/>
      <c r="Q74" s="1810"/>
      <c r="R74" s="1701"/>
      <c r="S74" s="1706"/>
      <c r="W74" s="1173"/>
    </row>
    <row r="75" spans="2:23" s="561" customFormat="1" hidden="1">
      <c r="B75" s="1688"/>
      <c r="C75" s="1812" t="s">
        <v>1811</v>
      </c>
      <c r="D75" s="683"/>
      <c r="E75" s="1704"/>
      <c r="F75" s="1811"/>
      <c r="G75" s="1811"/>
      <c r="H75" s="1705"/>
      <c r="I75" s="1705"/>
      <c r="J75" s="683"/>
      <c r="K75" s="683"/>
      <c r="L75" s="1698"/>
      <c r="M75" s="1590"/>
      <c r="N75" s="683"/>
      <c r="O75" s="1699"/>
      <c r="P75" s="683"/>
      <c r="Q75" s="1810"/>
      <c r="R75" s="1701"/>
      <c r="S75" s="1706"/>
      <c r="W75" s="1173"/>
    </row>
    <row r="76" spans="2:23" s="561" customFormat="1" hidden="1">
      <c r="B76" s="1688"/>
      <c r="C76" s="1812" t="s">
        <v>1812</v>
      </c>
      <c r="D76" s="683"/>
      <c r="E76" s="1704"/>
      <c r="F76" s="1811"/>
      <c r="G76" s="1811"/>
      <c r="H76" s="1705"/>
      <c r="I76" s="1705"/>
      <c r="J76" s="683"/>
      <c r="K76" s="683"/>
      <c r="L76" s="1698"/>
      <c r="M76" s="1590"/>
      <c r="N76" s="683"/>
      <c r="O76" s="1699"/>
      <c r="P76" s="683"/>
      <c r="Q76" s="1810"/>
      <c r="R76" s="1701"/>
      <c r="S76" s="1706"/>
      <c r="W76" s="1173"/>
    </row>
    <row r="77" spans="2:23" s="561" customFormat="1" hidden="1">
      <c r="B77" s="1688"/>
      <c r="C77" s="1812" t="s">
        <v>1813</v>
      </c>
      <c r="D77" s="683"/>
      <c r="E77" s="1704"/>
      <c r="F77" s="1811"/>
      <c r="G77" s="1811"/>
      <c r="H77" s="1705"/>
      <c r="I77" s="1705"/>
      <c r="J77" s="683"/>
      <c r="K77" s="683"/>
      <c r="L77" s="1698"/>
      <c r="M77" s="1590"/>
      <c r="N77" s="683"/>
      <c r="O77" s="1699"/>
      <c r="P77" s="683"/>
      <c r="Q77" s="1810"/>
      <c r="R77" s="1701"/>
      <c r="S77" s="1706"/>
      <c r="W77" s="1173"/>
    </row>
    <row r="78" spans="2:23" s="561" customFormat="1" hidden="1">
      <c r="B78" s="1688"/>
      <c r="C78" s="1812" t="s">
        <v>1814</v>
      </c>
      <c r="D78" s="683"/>
      <c r="E78" s="1704"/>
      <c r="F78" s="1811"/>
      <c r="G78" s="1811"/>
      <c r="H78" s="1705"/>
      <c r="I78" s="1705"/>
      <c r="J78" s="683"/>
      <c r="K78" s="683"/>
      <c r="L78" s="1698"/>
      <c r="M78" s="1590"/>
      <c r="N78" s="683"/>
      <c r="O78" s="1699"/>
      <c r="P78" s="683"/>
      <c r="Q78" s="1810"/>
      <c r="R78" s="1701"/>
      <c r="S78" s="1706"/>
      <c r="W78" s="1173"/>
    </row>
    <row r="79" spans="2:23" s="561" customFormat="1" hidden="1">
      <c r="B79" s="1688"/>
      <c r="C79" s="1812" t="s">
        <v>1815</v>
      </c>
      <c r="D79" s="683"/>
      <c r="E79" s="1704"/>
      <c r="F79" s="1811"/>
      <c r="G79" s="1811"/>
      <c r="H79" s="1705"/>
      <c r="I79" s="1705"/>
      <c r="J79" s="683"/>
      <c r="K79" s="683"/>
      <c r="L79" s="1698"/>
      <c r="M79" s="1590"/>
      <c r="N79" s="683"/>
      <c r="O79" s="1699"/>
      <c r="P79" s="683"/>
      <c r="Q79" s="1810"/>
      <c r="R79" s="1701"/>
      <c r="S79" s="1706"/>
      <c r="W79" s="1173"/>
    </row>
    <row r="80" spans="2:23" s="561" customFormat="1" ht="12.75" hidden="1">
      <c r="B80" s="1813"/>
      <c r="C80" s="1813"/>
      <c r="D80" s="1814"/>
      <c r="E80" s="1815"/>
      <c r="F80" s="1815"/>
      <c r="G80" s="1815"/>
      <c r="H80" s="1815"/>
      <c r="I80" s="1815"/>
      <c r="J80" s="1816"/>
      <c r="K80" s="1817"/>
      <c r="L80" s="1818"/>
      <c r="M80" s="1819"/>
      <c r="N80" s="1816"/>
      <c r="O80" s="1817"/>
      <c r="P80" s="1820"/>
      <c r="Q80" s="1821"/>
      <c r="R80" s="1821"/>
      <c r="S80" s="1822"/>
      <c r="W80" s="1173"/>
    </row>
    <row r="81" spans="4:23" s="561" customFormat="1" ht="15.75">
      <c r="D81" s="1173"/>
      <c r="E81" s="562"/>
      <c r="F81" s="562"/>
      <c r="G81" s="562"/>
      <c r="H81" s="562"/>
      <c r="I81" s="1823">
        <f>I60-H60</f>
        <v>11889.969999999972</v>
      </c>
      <c r="J81" s="1173"/>
      <c r="K81" s="1824"/>
      <c r="L81" s="1173"/>
      <c r="M81" s="2096">
        <f>+K60+M60</f>
        <v>563817.54559999995</v>
      </c>
      <c r="N81" s="2097"/>
      <c r="O81" s="2097"/>
      <c r="P81" s="2097"/>
      <c r="R81" s="562"/>
    </row>
    <row r="82" spans="4:23" s="18" customFormat="1" ht="12.75">
      <c r="D82" s="97"/>
      <c r="E82" s="26"/>
      <c r="F82" s="26"/>
      <c r="G82" s="26"/>
      <c r="J82" s="1208"/>
      <c r="K82" s="97"/>
      <c r="L82" s="1433"/>
      <c r="M82" s="2098"/>
      <c r="N82" s="2098"/>
      <c r="O82" s="2098"/>
      <c r="P82" s="2098">
        <f>+R60+O60</f>
        <v>587707.11560000002</v>
      </c>
      <c r="R82" s="26"/>
    </row>
    <row r="83" spans="4:23" s="18" customFormat="1">
      <c r="D83" s="97"/>
      <c r="E83" s="26"/>
      <c r="F83" s="26"/>
      <c r="G83" s="26"/>
      <c r="H83" s="26"/>
      <c r="I83" s="26"/>
      <c r="J83" s="1208"/>
      <c r="K83" s="1825"/>
      <c r="L83" s="1433"/>
      <c r="M83" s="1709"/>
      <c r="N83" s="524"/>
      <c r="O83" s="524"/>
      <c r="P83" s="524"/>
      <c r="R83" s="26"/>
    </row>
    <row r="84" spans="4:23" s="18" customFormat="1">
      <c r="D84" s="1711"/>
      <c r="E84" s="26"/>
      <c r="F84" s="26">
        <v>457948.8995</v>
      </c>
      <c r="G84" s="26"/>
      <c r="H84" s="26">
        <v>15398736.550000001</v>
      </c>
      <c r="I84" s="26"/>
      <c r="J84" s="1209"/>
      <c r="K84" s="1825">
        <v>616776.95999999996</v>
      </c>
      <c r="L84" s="1433"/>
      <c r="M84" s="524"/>
      <c r="N84" s="1709">
        <f>+M85-N60</f>
        <v>-0.65935124216293306</v>
      </c>
      <c r="O84" s="524">
        <f>+N84*H60</f>
        <v>-379665.75311121996</v>
      </c>
      <c r="P84" s="524"/>
      <c r="S84" s="200"/>
    </row>
    <row r="85" spans="4:23" s="18" customFormat="1">
      <c r="D85" s="97"/>
      <c r="E85" s="26"/>
      <c r="F85" s="26"/>
      <c r="G85" s="26"/>
      <c r="H85" s="26"/>
      <c r="I85" s="26"/>
      <c r="J85" s="1209"/>
      <c r="K85" s="1712"/>
      <c r="L85" s="1713"/>
      <c r="M85" s="524">
        <v>0.3</v>
      </c>
      <c r="N85" s="524"/>
      <c r="O85" s="524"/>
      <c r="P85" s="524">
        <f>+O60+R60</f>
        <v>587707.11560000002</v>
      </c>
      <c r="R85" s="26"/>
      <c r="S85" s="1803">
        <f>+R64+I64</f>
        <v>674155.60000000009</v>
      </c>
    </row>
    <row r="86" spans="4:23" s="18" customFormat="1">
      <c r="D86" s="97"/>
      <c r="E86" s="1826"/>
      <c r="F86" s="1216"/>
      <c r="G86" s="1216"/>
      <c r="H86" s="26">
        <f>+H84-H60</f>
        <v>14822919.4</v>
      </c>
      <c r="I86" s="26"/>
      <c r="J86" s="1209"/>
      <c r="K86" s="1405">
        <f>+K84-K61</f>
        <v>573412.70169380447</v>
      </c>
      <c r="L86" s="1433"/>
      <c r="M86" s="524"/>
      <c r="N86" s="524"/>
      <c r="O86" s="524"/>
      <c r="P86" s="524"/>
    </row>
    <row r="87" spans="4:23">
      <c r="E87" s="1226">
        <f>+F87*K60</f>
        <v>44259.680976973745</v>
      </c>
      <c r="F87" s="1226">
        <f>+I61/H60</f>
        <v>7.8500006469067476E-2</v>
      </c>
      <c r="H87" s="1716"/>
      <c r="I87" s="1716"/>
      <c r="J87" s="1716"/>
      <c r="K87" s="1320"/>
      <c r="M87" s="1717" t="e">
        <f>SUM(#REF!)</f>
        <v>#REF!</v>
      </c>
      <c r="N87" s="1718" t="e">
        <f>SUM(#REF!)</f>
        <v>#REF!</v>
      </c>
      <c r="O87" s="1718"/>
      <c r="P87" s="1718"/>
      <c r="Q87" s="1718"/>
      <c r="W87" s="1215"/>
    </row>
    <row r="88" spans="4:23">
      <c r="E88" s="1226">
        <f>+F88*K60</f>
        <v>14602.870333252309</v>
      </c>
      <c r="F88" s="1226">
        <f>+I62/H60</f>
        <v>2.5899992732067809E-2</v>
      </c>
      <c r="H88" s="1716"/>
      <c r="I88" s="1716"/>
      <c r="J88" s="1716"/>
      <c r="K88" s="1320">
        <v>5428.7406763147101</v>
      </c>
      <c r="L88" s="1435"/>
      <c r="M88" s="1717"/>
      <c r="N88" s="1718"/>
      <c r="O88" s="1718"/>
      <c r="P88" s="1718"/>
      <c r="Q88" s="1718"/>
      <c r="W88" s="1215"/>
    </row>
    <row r="89" spans="4:23">
      <c r="H89" s="1716"/>
      <c r="I89" s="1716"/>
      <c r="J89" s="1716"/>
      <c r="K89" s="1321"/>
      <c r="L89" s="1435"/>
      <c r="M89" s="1717"/>
      <c r="N89" s="1709" t="e">
        <f>+N87/H60</f>
        <v>#REF!</v>
      </c>
      <c r="O89" s="1718"/>
      <c r="P89" s="1718"/>
      <c r="Q89" s="1718"/>
      <c r="W89" s="1215"/>
    </row>
    <row r="90" spans="4:23" ht="15.75">
      <c r="D90" s="1237"/>
      <c r="H90" s="1716"/>
      <c r="I90" s="1716"/>
      <c r="J90" s="1716"/>
      <c r="K90" s="1302"/>
      <c r="L90" s="1435"/>
      <c r="M90" s="1717"/>
      <c r="N90" s="1718"/>
      <c r="O90" s="1718"/>
      <c r="P90" s="1718"/>
      <c r="Q90" s="1718"/>
      <c r="W90" s="1215"/>
    </row>
    <row r="91" spans="4:23">
      <c r="H91" s="1716"/>
      <c r="I91" s="1716"/>
      <c r="J91" s="1716"/>
      <c r="K91" s="18"/>
      <c r="L91" s="1435"/>
      <c r="M91" s="1717"/>
      <c r="N91" s="1718"/>
      <c r="O91" s="1718"/>
      <c r="P91" s="1718"/>
      <c r="Q91" s="1718"/>
      <c r="W91" s="1215"/>
    </row>
    <row r="92" spans="4:23">
      <c r="H92" s="1716"/>
      <c r="I92" s="1716"/>
      <c r="J92" s="1716"/>
      <c r="K92" s="1716"/>
      <c r="L92" s="1435"/>
      <c r="M92" s="1717"/>
      <c r="N92" s="1718"/>
      <c r="O92" s="1718"/>
      <c r="P92" s="1718"/>
      <c r="Q92" s="1718"/>
      <c r="W92" s="1215"/>
    </row>
    <row r="93" spans="4:23">
      <c r="H93" s="1716"/>
      <c r="I93" s="1716"/>
      <c r="J93" s="1716"/>
      <c r="K93" s="1716"/>
      <c r="L93" s="1435"/>
      <c r="M93" s="1717"/>
      <c r="N93" s="1718"/>
      <c r="O93" s="1718"/>
      <c r="P93" s="1718"/>
      <c r="Q93" s="1718"/>
      <c r="W93" s="1215"/>
    </row>
    <row r="94" spans="4:23">
      <c r="H94" s="1716"/>
      <c r="I94" s="1716"/>
      <c r="J94" s="1716"/>
      <c r="K94" s="1716"/>
      <c r="L94" s="1435"/>
      <c r="M94" s="1717"/>
      <c r="N94" s="1718"/>
      <c r="O94" s="1718"/>
      <c r="P94" s="1718"/>
      <c r="Q94" s="1718"/>
      <c r="W94" s="1215"/>
    </row>
    <row r="95" spans="4:23">
      <c r="H95" s="1716"/>
      <c r="I95" s="1716"/>
      <c r="J95" s="1716"/>
      <c r="K95" s="1716"/>
      <c r="L95" s="1435"/>
      <c r="M95" s="1717"/>
      <c r="N95" s="1718"/>
      <c r="O95" s="1718"/>
      <c r="P95" s="1718"/>
      <c r="Q95" s="1718"/>
      <c r="W95" s="1215"/>
    </row>
    <row r="96" spans="4:23">
      <c r="H96" s="1716"/>
      <c r="I96" s="1716"/>
      <c r="J96" s="1716"/>
      <c r="K96" s="1716"/>
      <c r="L96" s="1435"/>
      <c r="M96" s="1717"/>
      <c r="N96" s="1718"/>
      <c r="O96" s="1718"/>
      <c r="P96" s="1718"/>
      <c r="Q96" s="1718"/>
      <c r="W96" s="1215"/>
    </row>
    <row r="97" spans="8:23">
      <c r="H97" s="1716"/>
      <c r="I97" s="1716"/>
      <c r="J97" s="1716"/>
      <c r="K97" s="1720"/>
      <c r="L97" s="1435"/>
      <c r="M97" s="1717"/>
      <c r="N97" s="1718"/>
      <c r="O97" s="1718"/>
      <c r="P97" s="1718"/>
      <c r="Q97" s="1718"/>
      <c r="W97" s="1215"/>
    </row>
    <row r="98" spans="8:23">
      <c r="H98" s="1716"/>
      <c r="I98" s="1716"/>
      <c r="J98" s="1716"/>
      <c r="K98" s="1716"/>
      <c r="L98" s="1435"/>
      <c r="M98" s="1717"/>
      <c r="N98" s="1718"/>
      <c r="O98" s="1718"/>
      <c r="P98" s="1718"/>
      <c r="Q98" s="1718"/>
      <c r="W98" s="1215"/>
    </row>
  </sheetData>
  <autoFilter ref="L1:L98" xr:uid="{00000000-0009-0000-0000-00001C000000}"/>
  <mergeCells count="31">
    <mergeCell ref="W12:Y12"/>
    <mergeCell ref="D67:J67"/>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53 S55:S63 S65:S1048576">
    <cfRule type="cellIs" dxfId="30" priority="8" operator="lessThan">
      <formula>0</formula>
    </cfRule>
  </conditionalFormatting>
  <conditionalFormatting sqref="Q2 Q4:Q53 Q64:Q1048576 Q55:Q62">
    <cfRule type="cellIs" dxfId="29" priority="6" operator="lessThan">
      <formula>0</formula>
    </cfRule>
    <cfRule type="cellIs" dxfId="28" priority="7" operator="lessThan">
      <formula>0</formula>
    </cfRule>
  </conditionalFormatting>
  <conditionalFormatting sqref="P63">
    <cfRule type="cellIs" dxfId="27" priority="4" operator="lessThan">
      <formula>0</formula>
    </cfRule>
    <cfRule type="cellIs" dxfId="26" priority="5" operator="lessThan">
      <formula>0</formula>
    </cfRule>
  </conditionalFormatting>
  <conditionalFormatting sqref="S54">
    <cfRule type="cellIs" dxfId="25" priority="3" operator="lessThan">
      <formula>0</formula>
    </cfRule>
  </conditionalFormatting>
  <conditionalFormatting sqref="Q54">
    <cfRule type="cellIs" dxfId="24" priority="1" operator="lessThan">
      <formula>0</formula>
    </cfRule>
    <cfRule type="cellIs" dxfId="2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CB12-4FD0-48D9-B69D-5DD49717856A}">
  <sheetPr>
    <tabColor rgb="FF002060"/>
  </sheetPr>
  <dimension ref="A1:Y57"/>
  <sheetViews>
    <sheetView view="pageBreakPreview" zoomScale="85" zoomScaleNormal="70" zoomScaleSheetLayoutView="85" workbookViewId="0">
      <selection activeCell="G8" sqref="G7:G8"/>
    </sheetView>
  </sheetViews>
  <sheetFormatPr baseColWidth="10" defaultRowHeight="13.5"/>
  <cols>
    <col min="1" max="1" width="2.5703125" style="1215" customWidth="1"/>
    <col min="2" max="2" width="10.140625" style="1215" customWidth="1"/>
    <col min="3" max="3" width="64.42578125" style="1225" customWidth="1"/>
    <col min="4" max="4" width="10.5703125" style="1218" customWidth="1"/>
    <col min="5" max="5" width="12.85546875" style="1226" customWidth="1"/>
    <col min="6" max="7" width="13.42578125" style="1226" customWidth="1"/>
    <col min="8" max="8" width="15" style="1226" hidden="1" customWidth="1"/>
    <col min="9" max="9" width="15" style="1226" customWidth="1"/>
    <col min="10" max="10" width="12.5703125" style="1218" customWidth="1"/>
    <col min="11" max="11" width="16.42578125" style="1218" customWidth="1"/>
    <col min="12" max="12" width="12.42578125" style="1432" customWidth="1"/>
    <col min="13" max="13" width="14.85546875" style="1406" customWidth="1"/>
    <col min="14" max="14" width="12" style="1218" customWidth="1"/>
    <col min="15" max="15" width="16.42578125" style="1218" customWidth="1"/>
    <col min="16" max="16" width="13.42578125" style="1218" customWidth="1"/>
    <col min="17" max="17" width="12.42578125" style="1215" customWidth="1"/>
    <col min="18" max="18" width="13.5703125" style="1215" customWidth="1"/>
    <col min="19" max="19" width="12.5703125" style="1215" customWidth="1"/>
    <col min="20" max="20" width="13" style="1215" bestFit="1" customWidth="1"/>
    <col min="21" max="22" width="13" style="1215" customWidth="1"/>
    <col min="23" max="23" width="11.42578125" style="1218"/>
    <col min="24" max="24" width="11.42578125" style="1215"/>
    <col min="25" max="25" width="14.140625" style="1215" customWidth="1"/>
    <col min="26" max="261" width="11.42578125" style="1215"/>
    <col min="262" max="262" width="8.85546875" style="1215" customWidth="1"/>
    <col min="263" max="263" width="50" style="1215" customWidth="1"/>
    <col min="264" max="264" width="6.42578125" style="1215" bestFit="1" customWidth="1"/>
    <col min="265" max="265" width="8.85546875" style="1215" customWidth="1"/>
    <col min="266" max="266" width="8.5703125" style="1215" customWidth="1"/>
    <col min="267" max="267" width="11.42578125" style="1215" bestFit="1" customWidth="1"/>
    <col min="268" max="268" width="7.85546875" style="1215" bestFit="1" customWidth="1"/>
    <col min="269" max="269" width="11.5703125" style="1215" bestFit="1" customWidth="1"/>
    <col min="270" max="270" width="8" style="1215" bestFit="1" customWidth="1"/>
    <col min="271" max="271" width="11.5703125" style="1215" bestFit="1" customWidth="1"/>
    <col min="272" max="272" width="8.140625" style="1215" bestFit="1" customWidth="1"/>
    <col min="273" max="273" width="11.5703125" style="1215" bestFit="1" customWidth="1"/>
    <col min="274" max="274" width="8.42578125" style="1215" customWidth="1"/>
    <col min="275" max="275" width="7.42578125" style="1215" bestFit="1" customWidth="1"/>
    <col min="276" max="276" width="11.5703125" style="1215" bestFit="1" customWidth="1"/>
    <col min="277" max="277" width="8.140625" style="1215" customWidth="1"/>
    <col min="278" max="278" width="13" style="1215" bestFit="1" customWidth="1"/>
    <col min="279" max="517" width="11.42578125" style="1215"/>
    <col min="518" max="518" width="8.85546875" style="1215" customWidth="1"/>
    <col min="519" max="519" width="50" style="1215" customWidth="1"/>
    <col min="520" max="520" width="6.42578125" style="1215" bestFit="1" customWidth="1"/>
    <col min="521" max="521" width="8.85546875" style="1215" customWidth="1"/>
    <col min="522" max="522" width="8.5703125" style="1215" customWidth="1"/>
    <col min="523" max="523" width="11.42578125" style="1215" bestFit="1" customWidth="1"/>
    <col min="524" max="524" width="7.85546875" style="1215" bestFit="1" customWidth="1"/>
    <col min="525" max="525" width="11.5703125" style="1215" bestFit="1" customWidth="1"/>
    <col min="526" max="526" width="8" style="1215" bestFit="1" customWidth="1"/>
    <col min="527" max="527" width="11.5703125" style="1215" bestFit="1" customWidth="1"/>
    <col min="528" max="528" width="8.140625" style="1215" bestFit="1" customWidth="1"/>
    <col min="529" max="529" width="11.5703125" style="1215" bestFit="1" customWidth="1"/>
    <col min="530" max="530" width="8.42578125" style="1215" customWidth="1"/>
    <col min="531" max="531" width="7.42578125" style="1215" bestFit="1" customWidth="1"/>
    <col min="532" max="532" width="11.5703125" style="1215" bestFit="1" customWidth="1"/>
    <col min="533" max="533" width="8.140625" style="1215" customWidth="1"/>
    <col min="534" max="534" width="13" style="1215" bestFit="1" customWidth="1"/>
    <col min="535" max="773" width="11.42578125" style="1215"/>
    <col min="774" max="774" width="8.85546875" style="1215" customWidth="1"/>
    <col min="775" max="775" width="50" style="1215" customWidth="1"/>
    <col min="776" max="776" width="6.42578125" style="1215" bestFit="1" customWidth="1"/>
    <col min="777" max="777" width="8.85546875" style="1215" customWidth="1"/>
    <col min="778" max="778" width="8.5703125" style="1215" customWidth="1"/>
    <col min="779" max="779" width="11.42578125" style="1215" bestFit="1" customWidth="1"/>
    <col min="780" max="780" width="7.85546875" style="1215" bestFit="1" customWidth="1"/>
    <col min="781" max="781" width="11.5703125" style="1215" bestFit="1" customWidth="1"/>
    <col min="782" max="782" width="8" style="1215" bestFit="1" customWidth="1"/>
    <col min="783" max="783" width="11.5703125" style="1215" bestFit="1" customWidth="1"/>
    <col min="784" max="784" width="8.140625" style="1215" bestFit="1" customWidth="1"/>
    <col min="785" max="785" width="11.5703125" style="1215" bestFit="1" customWidth="1"/>
    <col min="786" max="786" width="8.42578125" style="1215" customWidth="1"/>
    <col min="787" max="787" width="7.42578125" style="1215" bestFit="1" customWidth="1"/>
    <col min="788" max="788" width="11.5703125" style="1215" bestFit="1" customWidth="1"/>
    <col min="789" max="789" width="8.140625" style="1215" customWidth="1"/>
    <col min="790" max="790" width="13" style="1215" bestFit="1" customWidth="1"/>
    <col min="791" max="1029" width="11.42578125" style="1215"/>
    <col min="1030" max="1030" width="8.85546875" style="1215" customWidth="1"/>
    <col min="1031" max="1031" width="50" style="1215" customWidth="1"/>
    <col min="1032" max="1032" width="6.42578125" style="1215" bestFit="1" customWidth="1"/>
    <col min="1033" max="1033" width="8.85546875" style="1215" customWidth="1"/>
    <col min="1034" max="1034" width="8.5703125" style="1215" customWidth="1"/>
    <col min="1035" max="1035" width="11.42578125" style="1215" bestFit="1" customWidth="1"/>
    <col min="1036" max="1036" width="7.85546875" style="1215" bestFit="1" customWidth="1"/>
    <col min="1037" max="1037" width="11.5703125" style="1215" bestFit="1" customWidth="1"/>
    <col min="1038" max="1038" width="8" style="1215" bestFit="1" customWidth="1"/>
    <col min="1039" max="1039" width="11.5703125" style="1215" bestFit="1" customWidth="1"/>
    <col min="1040" max="1040" width="8.140625" style="1215" bestFit="1" customWidth="1"/>
    <col min="1041" max="1041" width="11.5703125" style="1215" bestFit="1" customWidth="1"/>
    <col min="1042" max="1042" width="8.42578125" style="1215" customWidth="1"/>
    <col min="1043" max="1043" width="7.42578125" style="1215" bestFit="1" customWidth="1"/>
    <col min="1044" max="1044" width="11.5703125" style="1215" bestFit="1" customWidth="1"/>
    <col min="1045" max="1045" width="8.140625" style="1215" customWidth="1"/>
    <col min="1046" max="1046" width="13" style="1215" bestFit="1" customWidth="1"/>
    <col min="1047" max="1285" width="11.42578125" style="1215"/>
    <col min="1286" max="1286" width="8.85546875" style="1215" customWidth="1"/>
    <col min="1287" max="1287" width="50" style="1215" customWidth="1"/>
    <col min="1288" max="1288" width="6.42578125" style="1215" bestFit="1" customWidth="1"/>
    <col min="1289" max="1289" width="8.85546875" style="1215" customWidth="1"/>
    <col min="1290" max="1290" width="8.5703125" style="1215" customWidth="1"/>
    <col min="1291" max="1291" width="11.42578125" style="1215" bestFit="1" customWidth="1"/>
    <col min="1292" max="1292" width="7.85546875" style="1215" bestFit="1" customWidth="1"/>
    <col min="1293" max="1293" width="11.5703125" style="1215" bestFit="1" customWidth="1"/>
    <col min="1294" max="1294" width="8" style="1215" bestFit="1" customWidth="1"/>
    <col min="1295" max="1295" width="11.5703125" style="1215" bestFit="1" customWidth="1"/>
    <col min="1296" max="1296" width="8.140625" style="1215" bestFit="1" customWidth="1"/>
    <col min="1297" max="1297" width="11.5703125" style="1215" bestFit="1" customWidth="1"/>
    <col min="1298" max="1298" width="8.42578125" style="1215" customWidth="1"/>
    <col min="1299" max="1299" width="7.42578125" style="1215" bestFit="1" customWidth="1"/>
    <col min="1300" max="1300" width="11.5703125" style="1215" bestFit="1" customWidth="1"/>
    <col min="1301" max="1301" width="8.140625" style="1215" customWidth="1"/>
    <col min="1302" max="1302" width="13" style="1215" bestFit="1" customWidth="1"/>
    <col min="1303" max="1541" width="11.42578125" style="1215"/>
    <col min="1542" max="1542" width="8.85546875" style="1215" customWidth="1"/>
    <col min="1543" max="1543" width="50" style="1215" customWidth="1"/>
    <col min="1544" max="1544" width="6.42578125" style="1215" bestFit="1" customWidth="1"/>
    <col min="1545" max="1545" width="8.85546875" style="1215" customWidth="1"/>
    <col min="1546" max="1546" width="8.5703125" style="1215" customWidth="1"/>
    <col min="1547" max="1547" width="11.42578125" style="1215" bestFit="1" customWidth="1"/>
    <col min="1548" max="1548" width="7.85546875" style="1215" bestFit="1" customWidth="1"/>
    <col min="1549" max="1549" width="11.5703125" style="1215" bestFit="1" customWidth="1"/>
    <col min="1550" max="1550" width="8" style="1215" bestFit="1" customWidth="1"/>
    <col min="1551" max="1551" width="11.5703125" style="1215" bestFit="1" customWidth="1"/>
    <col min="1552" max="1552" width="8.140625" style="1215" bestFit="1" customWidth="1"/>
    <col min="1553" max="1553" width="11.5703125" style="1215" bestFit="1" customWidth="1"/>
    <col min="1554" max="1554" width="8.42578125" style="1215" customWidth="1"/>
    <col min="1555" max="1555" width="7.42578125" style="1215" bestFit="1" customWidth="1"/>
    <col min="1556" max="1556" width="11.5703125" style="1215" bestFit="1" customWidth="1"/>
    <col min="1557" max="1557" width="8.140625" style="1215" customWidth="1"/>
    <col min="1558" max="1558" width="13" style="1215" bestFit="1" customWidth="1"/>
    <col min="1559" max="1797" width="11.42578125" style="1215"/>
    <col min="1798" max="1798" width="8.85546875" style="1215" customWidth="1"/>
    <col min="1799" max="1799" width="50" style="1215" customWidth="1"/>
    <col min="1800" max="1800" width="6.42578125" style="1215" bestFit="1" customWidth="1"/>
    <col min="1801" max="1801" width="8.85546875" style="1215" customWidth="1"/>
    <col min="1802" max="1802" width="8.5703125" style="1215" customWidth="1"/>
    <col min="1803" max="1803" width="11.42578125" style="1215" bestFit="1" customWidth="1"/>
    <col min="1804" max="1804" width="7.85546875" style="1215" bestFit="1" customWidth="1"/>
    <col min="1805" max="1805" width="11.5703125" style="1215" bestFit="1" customWidth="1"/>
    <col min="1806" max="1806" width="8" style="1215" bestFit="1" customWidth="1"/>
    <col min="1807" max="1807" width="11.5703125" style="1215" bestFit="1" customWidth="1"/>
    <col min="1808" max="1808" width="8.140625" style="1215" bestFit="1" customWidth="1"/>
    <col min="1809" max="1809" width="11.5703125" style="1215" bestFit="1" customWidth="1"/>
    <col min="1810" max="1810" width="8.42578125" style="1215" customWidth="1"/>
    <col min="1811" max="1811" width="7.42578125" style="1215" bestFit="1" customWidth="1"/>
    <col min="1812" max="1812" width="11.5703125" style="1215" bestFit="1" customWidth="1"/>
    <col min="1813" max="1813" width="8.140625" style="1215" customWidth="1"/>
    <col min="1814" max="1814" width="13" style="1215" bestFit="1" customWidth="1"/>
    <col min="1815" max="2053" width="11.42578125" style="1215"/>
    <col min="2054" max="2054" width="8.85546875" style="1215" customWidth="1"/>
    <col min="2055" max="2055" width="50" style="1215" customWidth="1"/>
    <col min="2056" max="2056" width="6.42578125" style="1215" bestFit="1" customWidth="1"/>
    <col min="2057" max="2057" width="8.85546875" style="1215" customWidth="1"/>
    <col min="2058" max="2058" width="8.5703125" style="1215" customWidth="1"/>
    <col min="2059" max="2059" width="11.42578125" style="1215" bestFit="1" customWidth="1"/>
    <col min="2060" max="2060" width="7.85546875" style="1215" bestFit="1" customWidth="1"/>
    <col min="2061" max="2061" width="11.5703125" style="1215" bestFit="1" customWidth="1"/>
    <col min="2062" max="2062" width="8" style="1215" bestFit="1" customWidth="1"/>
    <col min="2063" max="2063" width="11.5703125" style="1215" bestFit="1" customWidth="1"/>
    <col min="2064" max="2064" width="8.140625" style="1215" bestFit="1" customWidth="1"/>
    <col min="2065" max="2065" width="11.5703125" style="1215" bestFit="1" customWidth="1"/>
    <col min="2066" max="2066" width="8.42578125" style="1215" customWidth="1"/>
    <col min="2067" max="2067" width="7.42578125" style="1215" bestFit="1" customWidth="1"/>
    <col min="2068" max="2068" width="11.5703125" style="1215" bestFit="1" customWidth="1"/>
    <col min="2069" max="2069" width="8.140625" style="1215" customWidth="1"/>
    <col min="2070" max="2070" width="13" style="1215" bestFit="1" customWidth="1"/>
    <col min="2071" max="2309" width="11.42578125" style="1215"/>
    <col min="2310" max="2310" width="8.85546875" style="1215" customWidth="1"/>
    <col min="2311" max="2311" width="50" style="1215" customWidth="1"/>
    <col min="2312" max="2312" width="6.42578125" style="1215" bestFit="1" customWidth="1"/>
    <col min="2313" max="2313" width="8.85546875" style="1215" customWidth="1"/>
    <col min="2314" max="2314" width="8.5703125" style="1215" customWidth="1"/>
    <col min="2315" max="2315" width="11.42578125" style="1215" bestFit="1" customWidth="1"/>
    <col min="2316" max="2316" width="7.85546875" style="1215" bestFit="1" customWidth="1"/>
    <col min="2317" max="2317" width="11.5703125" style="1215" bestFit="1" customWidth="1"/>
    <col min="2318" max="2318" width="8" style="1215" bestFit="1" customWidth="1"/>
    <col min="2319" max="2319" width="11.5703125" style="1215" bestFit="1" customWidth="1"/>
    <col min="2320" max="2320" width="8.140625" style="1215" bestFit="1" customWidth="1"/>
    <col min="2321" max="2321" width="11.5703125" style="1215" bestFit="1" customWidth="1"/>
    <col min="2322" max="2322" width="8.42578125" style="1215" customWidth="1"/>
    <col min="2323" max="2323" width="7.42578125" style="1215" bestFit="1" customWidth="1"/>
    <col min="2324" max="2324" width="11.5703125" style="1215" bestFit="1" customWidth="1"/>
    <col min="2325" max="2325" width="8.140625" style="1215" customWidth="1"/>
    <col min="2326" max="2326" width="13" style="1215" bestFit="1" customWidth="1"/>
    <col min="2327" max="2565" width="11.42578125" style="1215"/>
    <col min="2566" max="2566" width="8.85546875" style="1215" customWidth="1"/>
    <col min="2567" max="2567" width="50" style="1215" customWidth="1"/>
    <col min="2568" max="2568" width="6.42578125" style="1215" bestFit="1" customWidth="1"/>
    <col min="2569" max="2569" width="8.85546875" style="1215" customWidth="1"/>
    <col min="2570" max="2570" width="8.5703125" style="1215" customWidth="1"/>
    <col min="2571" max="2571" width="11.42578125" style="1215" bestFit="1" customWidth="1"/>
    <col min="2572" max="2572" width="7.85546875" style="1215" bestFit="1" customWidth="1"/>
    <col min="2573" max="2573" width="11.5703125" style="1215" bestFit="1" customWidth="1"/>
    <col min="2574" max="2574" width="8" style="1215" bestFit="1" customWidth="1"/>
    <col min="2575" max="2575" width="11.5703125" style="1215" bestFit="1" customWidth="1"/>
    <col min="2576" max="2576" width="8.140625" style="1215" bestFit="1" customWidth="1"/>
    <col min="2577" max="2577" width="11.5703125" style="1215" bestFit="1" customWidth="1"/>
    <col min="2578" max="2578" width="8.42578125" style="1215" customWidth="1"/>
    <col min="2579" max="2579" width="7.42578125" style="1215" bestFit="1" customWidth="1"/>
    <col min="2580" max="2580" width="11.5703125" style="1215" bestFit="1" customWidth="1"/>
    <col min="2581" max="2581" width="8.140625" style="1215" customWidth="1"/>
    <col min="2582" max="2582" width="13" style="1215" bestFit="1" customWidth="1"/>
    <col min="2583" max="2821" width="11.42578125" style="1215"/>
    <col min="2822" max="2822" width="8.85546875" style="1215" customWidth="1"/>
    <col min="2823" max="2823" width="50" style="1215" customWidth="1"/>
    <col min="2824" max="2824" width="6.42578125" style="1215" bestFit="1" customWidth="1"/>
    <col min="2825" max="2825" width="8.85546875" style="1215" customWidth="1"/>
    <col min="2826" max="2826" width="8.5703125" style="1215" customWidth="1"/>
    <col min="2827" max="2827" width="11.42578125" style="1215" bestFit="1" customWidth="1"/>
    <col min="2828" max="2828" width="7.85546875" style="1215" bestFit="1" customWidth="1"/>
    <col min="2829" max="2829" width="11.5703125" style="1215" bestFit="1" customWidth="1"/>
    <col min="2830" max="2830" width="8" style="1215" bestFit="1" customWidth="1"/>
    <col min="2831" max="2831" width="11.5703125" style="1215" bestFit="1" customWidth="1"/>
    <col min="2832" max="2832" width="8.140625" style="1215" bestFit="1" customWidth="1"/>
    <col min="2833" max="2833" width="11.5703125" style="1215" bestFit="1" customWidth="1"/>
    <col min="2834" max="2834" width="8.42578125" style="1215" customWidth="1"/>
    <col min="2835" max="2835" width="7.42578125" style="1215" bestFit="1" customWidth="1"/>
    <col min="2836" max="2836" width="11.5703125" style="1215" bestFit="1" customWidth="1"/>
    <col min="2837" max="2837" width="8.140625" style="1215" customWidth="1"/>
    <col min="2838" max="2838" width="13" style="1215" bestFit="1" customWidth="1"/>
    <col min="2839" max="3077" width="11.42578125" style="1215"/>
    <col min="3078" max="3078" width="8.85546875" style="1215" customWidth="1"/>
    <col min="3079" max="3079" width="50" style="1215" customWidth="1"/>
    <col min="3080" max="3080" width="6.42578125" style="1215" bestFit="1" customWidth="1"/>
    <col min="3081" max="3081" width="8.85546875" style="1215" customWidth="1"/>
    <col min="3082" max="3082" width="8.5703125" style="1215" customWidth="1"/>
    <col min="3083" max="3083" width="11.42578125" style="1215" bestFit="1" customWidth="1"/>
    <col min="3084" max="3084" width="7.85546875" style="1215" bestFit="1" customWidth="1"/>
    <col min="3085" max="3085" width="11.5703125" style="1215" bestFit="1" customWidth="1"/>
    <col min="3086" max="3086" width="8" style="1215" bestFit="1" customWidth="1"/>
    <col min="3087" max="3087" width="11.5703125" style="1215" bestFit="1" customWidth="1"/>
    <col min="3088" max="3088" width="8.140625" style="1215" bestFit="1" customWidth="1"/>
    <col min="3089" max="3089" width="11.5703125" style="1215" bestFit="1" customWidth="1"/>
    <col min="3090" max="3090" width="8.42578125" style="1215" customWidth="1"/>
    <col min="3091" max="3091" width="7.42578125" style="1215" bestFit="1" customWidth="1"/>
    <col min="3092" max="3092" width="11.5703125" style="1215" bestFit="1" customWidth="1"/>
    <col min="3093" max="3093" width="8.140625" style="1215" customWidth="1"/>
    <col min="3094" max="3094" width="13" style="1215" bestFit="1" customWidth="1"/>
    <col min="3095" max="3333" width="11.42578125" style="1215"/>
    <col min="3334" max="3334" width="8.85546875" style="1215" customWidth="1"/>
    <col min="3335" max="3335" width="50" style="1215" customWidth="1"/>
    <col min="3336" max="3336" width="6.42578125" style="1215" bestFit="1" customWidth="1"/>
    <col min="3337" max="3337" width="8.85546875" style="1215" customWidth="1"/>
    <col min="3338" max="3338" width="8.5703125" style="1215" customWidth="1"/>
    <col min="3339" max="3339" width="11.42578125" style="1215" bestFit="1" customWidth="1"/>
    <col min="3340" max="3340" width="7.85546875" style="1215" bestFit="1" customWidth="1"/>
    <col min="3341" max="3341" width="11.5703125" style="1215" bestFit="1" customWidth="1"/>
    <col min="3342" max="3342" width="8" style="1215" bestFit="1" customWidth="1"/>
    <col min="3343" max="3343" width="11.5703125" style="1215" bestFit="1" customWidth="1"/>
    <col min="3344" max="3344" width="8.140625" style="1215" bestFit="1" customWidth="1"/>
    <col min="3345" max="3345" width="11.5703125" style="1215" bestFit="1" customWidth="1"/>
    <col min="3346" max="3346" width="8.42578125" style="1215" customWidth="1"/>
    <col min="3347" max="3347" width="7.42578125" style="1215" bestFit="1" customWidth="1"/>
    <col min="3348" max="3348" width="11.5703125" style="1215" bestFit="1" customWidth="1"/>
    <col min="3349" max="3349" width="8.140625" style="1215" customWidth="1"/>
    <col min="3350" max="3350" width="13" style="1215" bestFit="1" customWidth="1"/>
    <col min="3351" max="3589" width="11.42578125" style="1215"/>
    <col min="3590" max="3590" width="8.85546875" style="1215" customWidth="1"/>
    <col min="3591" max="3591" width="50" style="1215" customWidth="1"/>
    <col min="3592" max="3592" width="6.42578125" style="1215" bestFit="1" customWidth="1"/>
    <col min="3593" max="3593" width="8.85546875" style="1215" customWidth="1"/>
    <col min="3594" max="3594" width="8.5703125" style="1215" customWidth="1"/>
    <col min="3595" max="3595" width="11.42578125" style="1215" bestFit="1" customWidth="1"/>
    <col min="3596" max="3596" width="7.85546875" style="1215" bestFit="1" customWidth="1"/>
    <col min="3597" max="3597" width="11.5703125" style="1215" bestFit="1" customWidth="1"/>
    <col min="3598" max="3598" width="8" style="1215" bestFit="1" customWidth="1"/>
    <col min="3599" max="3599" width="11.5703125" style="1215" bestFit="1" customWidth="1"/>
    <col min="3600" max="3600" width="8.140625" style="1215" bestFit="1" customWidth="1"/>
    <col min="3601" max="3601" width="11.5703125" style="1215" bestFit="1" customWidth="1"/>
    <col min="3602" max="3602" width="8.42578125" style="1215" customWidth="1"/>
    <col min="3603" max="3603" width="7.42578125" style="1215" bestFit="1" customWidth="1"/>
    <col min="3604" max="3604" width="11.5703125" style="1215" bestFit="1" customWidth="1"/>
    <col min="3605" max="3605" width="8.140625" style="1215" customWidth="1"/>
    <col min="3606" max="3606" width="13" style="1215" bestFit="1" customWidth="1"/>
    <col min="3607" max="3845" width="11.42578125" style="1215"/>
    <col min="3846" max="3846" width="8.85546875" style="1215" customWidth="1"/>
    <col min="3847" max="3847" width="50" style="1215" customWidth="1"/>
    <col min="3848" max="3848" width="6.42578125" style="1215" bestFit="1" customWidth="1"/>
    <col min="3849" max="3849" width="8.85546875" style="1215" customWidth="1"/>
    <col min="3850" max="3850" width="8.5703125" style="1215" customWidth="1"/>
    <col min="3851" max="3851" width="11.42578125" style="1215" bestFit="1" customWidth="1"/>
    <col min="3852" max="3852" width="7.85546875" style="1215" bestFit="1" customWidth="1"/>
    <col min="3853" max="3853" width="11.5703125" style="1215" bestFit="1" customWidth="1"/>
    <col min="3854" max="3854" width="8" style="1215" bestFit="1" customWidth="1"/>
    <col min="3855" max="3855" width="11.5703125" style="1215" bestFit="1" customWidth="1"/>
    <col min="3856" max="3856" width="8.140625" style="1215" bestFit="1" customWidth="1"/>
    <col min="3857" max="3857" width="11.5703125" style="1215" bestFit="1" customWidth="1"/>
    <col min="3858" max="3858" width="8.42578125" style="1215" customWidth="1"/>
    <col min="3859" max="3859" width="7.42578125" style="1215" bestFit="1" customWidth="1"/>
    <col min="3860" max="3860" width="11.5703125" style="1215" bestFit="1" customWidth="1"/>
    <col min="3861" max="3861" width="8.140625" style="1215" customWidth="1"/>
    <col min="3862" max="3862" width="13" style="1215" bestFit="1" customWidth="1"/>
    <col min="3863" max="4101" width="11.42578125" style="1215"/>
    <col min="4102" max="4102" width="8.85546875" style="1215" customWidth="1"/>
    <col min="4103" max="4103" width="50" style="1215" customWidth="1"/>
    <col min="4104" max="4104" width="6.42578125" style="1215" bestFit="1" customWidth="1"/>
    <col min="4105" max="4105" width="8.85546875" style="1215" customWidth="1"/>
    <col min="4106" max="4106" width="8.5703125" style="1215" customWidth="1"/>
    <col min="4107" max="4107" width="11.42578125" style="1215" bestFit="1" customWidth="1"/>
    <col min="4108" max="4108" width="7.85546875" style="1215" bestFit="1" customWidth="1"/>
    <col min="4109" max="4109" width="11.5703125" style="1215" bestFit="1" customWidth="1"/>
    <col min="4110" max="4110" width="8" style="1215" bestFit="1" customWidth="1"/>
    <col min="4111" max="4111" width="11.5703125" style="1215" bestFit="1" customWidth="1"/>
    <col min="4112" max="4112" width="8.140625" style="1215" bestFit="1" customWidth="1"/>
    <col min="4113" max="4113" width="11.5703125" style="1215" bestFit="1" customWidth="1"/>
    <col min="4114" max="4114" width="8.42578125" style="1215" customWidth="1"/>
    <col min="4115" max="4115" width="7.42578125" style="1215" bestFit="1" customWidth="1"/>
    <col min="4116" max="4116" width="11.5703125" style="1215" bestFit="1" customWidth="1"/>
    <col min="4117" max="4117" width="8.140625" style="1215" customWidth="1"/>
    <col min="4118" max="4118" width="13" style="1215" bestFit="1" customWidth="1"/>
    <col min="4119" max="4357" width="11.42578125" style="1215"/>
    <col min="4358" max="4358" width="8.85546875" style="1215" customWidth="1"/>
    <col min="4359" max="4359" width="50" style="1215" customWidth="1"/>
    <col min="4360" max="4360" width="6.42578125" style="1215" bestFit="1" customWidth="1"/>
    <col min="4361" max="4361" width="8.85546875" style="1215" customWidth="1"/>
    <col min="4362" max="4362" width="8.5703125" style="1215" customWidth="1"/>
    <col min="4363" max="4363" width="11.42578125" style="1215" bestFit="1" customWidth="1"/>
    <col min="4364" max="4364" width="7.85546875" style="1215" bestFit="1" customWidth="1"/>
    <col min="4365" max="4365" width="11.5703125" style="1215" bestFit="1" customWidth="1"/>
    <col min="4366" max="4366" width="8" style="1215" bestFit="1" customWidth="1"/>
    <col min="4367" max="4367" width="11.5703125" style="1215" bestFit="1" customWidth="1"/>
    <col min="4368" max="4368" width="8.140625" style="1215" bestFit="1" customWidth="1"/>
    <col min="4369" max="4369" width="11.5703125" style="1215" bestFit="1" customWidth="1"/>
    <col min="4370" max="4370" width="8.42578125" style="1215" customWidth="1"/>
    <col min="4371" max="4371" width="7.42578125" style="1215" bestFit="1" customWidth="1"/>
    <col min="4372" max="4372" width="11.5703125" style="1215" bestFit="1" customWidth="1"/>
    <col min="4373" max="4373" width="8.140625" style="1215" customWidth="1"/>
    <col min="4374" max="4374" width="13" style="1215" bestFit="1" customWidth="1"/>
    <col min="4375" max="4613" width="11.42578125" style="1215"/>
    <col min="4614" max="4614" width="8.85546875" style="1215" customWidth="1"/>
    <col min="4615" max="4615" width="50" style="1215" customWidth="1"/>
    <col min="4616" max="4616" width="6.42578125" style="1215" bestFit="1" customWidth="1"/>
    <col min="4617" max="4617" width="8.85546875" style="1215" customWidth="1"/>
    <col min="4618" max="4618" width="8.5703125" style="1215" customWidth="1"/>
    <col min="4619" max="4619" width="11.42578125" style="1215" bestFit="1" customWidth="1"/>
    <col min="4620" max="4620" width="7.85546875" style="1215" bestFit="1" customWidth="1"/>
    <col min="4621" max="4621" width="11.5703125" style="1215" bestFit="1" customWidth="1"/>
    <col min="4622" max="4622" width="8" style="1215" bestFit="1" customWidth="1"/>
    <col min="4623" max="4623" width="11.5703125" style="1215" bestFit="1" customWidth="1"/>
    <col min="4624" max="4624" width="8.140625" style="1215" bestFit="1" customWidth="1"/>
    <col min="4625" max="4625" width="11.5703125" style="1215" bestFit="1" customWidth="1"/>
    <col min="4626" max="4626" width="8.42578125" style="1215" customWidth="1"/>
    <col min="4627" max="4627" width="7.42578125" style="1215" bestFit="1" customWidth="1"/>
    <col min="4628" max="4628" width="11.5703125" style="1215" bestFit="1" customWidth="1"/>
    <col min="4629" max="4629" width="8.140625" style="1215" customWidth="1"/>
    <col min="4630" max="4630" width="13" style="1215" bestFit="1" customWidth="1"/>
    <col min="4631" max="4869" width="11.42578125" style="1215"/>
    <col min="4870" max="4870" width="8.85546875" style="1215" customWidth="1"/>
    <col min="4871" max="4871" width="50" style="1215" customWidth="1"/>
    <col min="4872" max="4872" width="6.42578125" style="1215" bestFit="1" customWidth="1"/>
    <col min="4873" max="4873" width="8.85546875" style="1215" customWidth="1"/>
    <col min="4874" max="4874" width="8.5703125" style="1215" customWidth="1"/>
    <col min="4875" max="4875" width="11.42578125" style="1215" bestFit="1" customWidth="1"/>
    <col min="4876" max="4876" width="7.85546875" style="1215" bestFit="1" customWidth="1"/>
    <col min="4877" max="4877" width="11.5703125" style="1215" bestFit="1" customWidth="1"/>
    <col min="4878" max="4878" width="8" style="1215" bestFit="1" customWidth="1"/>
    <col min="4879" max="4879" width="11.5703125" style="1215" bestFit="1" customWidth="1"/>
    <col min="4880" max="4880" width="8.140625" style="1215" bestFit="1" customWidth="1"/>
    <col min="4881" max="4881" width="11.5703125" style="1215" bestFit="1" customWidth="1"/>
    <col min="4882" max="4882" width="8.42578125" style="1215" customWidth="1"/>
    <col min="4883" max="4883" width="7.42578125" style="1215" bestFit="1" customWidth="1"/>
    <col min="4884" max="4884" width="11.5703125" style="1215" bestFit="1" customWidth="1"/>
    <col min="4885" max="4885" width="8.140625" style="1215" customWidth="1"/>
    <col min="4886" max="4886" width="13" style="1215" bestFit="1" customWidth="1"/>
    <col min="4887" max="5125" width="11.42578125" style="1215"/>
    <col min="5126" max="5126" width="8.85546875" style="1215" customWidth="1"/>
    <col min="5127" max="5127" width="50" style="1215" customWidth="1"/>
    <col min="5128" max="5128" width="6.42578125" style="1215" bestFit="1" customWidth="1"/>
    <col min="5129" max="5129" width="8.85546875" style="1215" customWidth="1"/>
    <col min="5130" max="5130" width="8.5703125" style="1215" customWidth="1"/>
    <col min="5131" max="5131" width="11.42578125" style="1215" bestFit="1" customWidth="1"/>
    <col min="5132" max="5132" width="7.85546875" style="1215" bestFit="1" customWidth="1"/>
    <col min="5133" max="5133" width="11.5703125" style="1215" bestFit="1" customWidth="1"/>
    <col min="5134" max="5134" width="8" style="1215" bestFit="1" customWidth="1"/>
    <col min="5135" max="5135" width="11.5703125" style="1215" bestFit="1" customWidth="1"/>
    <col min="5136" max="5136" width="8.140625" style="1215" bestFit="1" customWidth="1"/>
    <col min="5137" max="5137" width="11.5703125" style="1215" bestFit="1" customWidth="1"/>
    <col min="5138" max="5138" width="8.42578125" style="1215" customWidth="1"/>
    <col min="5139" max="5139" width="7.42578125" style="1215" bestFit="1" customWidth="1"/>
    <col min="5140" max="5140" width="11.5703125" style="1215" bestFit="1" customWidth="1"/>
    <col min="5141" max="5141" width="8.140625" style="1215" customWidth="1"/>
    <col min="5142" max="5142" width="13" style="1215" bestFit="1" customWidth="1"/>
    <col min="5143" max="5381" width="11.42578125" style="1215"/>
    <col min="5382" max="5382" width="8.85546875" style="1215" customWidth="1"/>
    <col min="5383" max="5383" width="50" style="1215" customWidth="1"/>
    <col min="5384" max="5384" width="6.42578125" style="1215" bestFit="1" customWidth="1"/>
    <col min="5385" max="5385" width="8.85546875" style="1215" customWidth="1"/>
    <col min="5386" max="5386" width="8.5703125" style="1215" customWidth="1"/>
    <col min="5387" max="5387" width="11.42578125" style="1215" bestFit="1" customWidth="1"/>
    <col min="5388" max="5388" width="7.85546875" style="1215" bestFit="1" customWidth="1"/>
    <col min="5389" max="5389" width="11.5703125" style="1215" bestFit="1" customWidth="1"/>
    <col min="5390" max="5390" width="8" style="1215" bestFit="1" customWidth="1"/>
    <col min="5391" max="5391" width="11.5703125" style="1215" bestFit="1" customWidth="1"/>
    <col min="5392" max="5392" width="8.140625" style="1215" bestFit="1" customWidth="1"/>
    <col min="5393" max="5393" width="11.5703125" style="1215" bestFit="1" customWidth="1"/>
    <col min="5394" max="5394" width="8.42578125" style="1215" customWidth="1"/>
    <col min="5395" max="5395" width="7.42578125" style="1215" bestFit="1" customWidth="1"/>
    <col min="5396" max="5396" width="11.5703125" style="1215" bestFit="1" customWidth="1"/>
    <col min="5397" max="5397" width="8.140625" style="1215" customWidth="1"/>
    <col min="5398" max="5398" width="13" style="1215" bestFit="1" customWidth="1"/>
    <col min="5399" max="5637" width="11.42578125" style="1215"/>
    <col min="5638" max="5638" width="8.85546875" style="1215" customWidth="1"/>
    <col min="5639" max="5639" width="50" style="1215" customWidth="1"/>
    <col min="5640" max="5640" width="6.42578125" style="1215" bestFit="1" customWidth="1"/>
    <col min="5641" max="5641" width="8.85546875" style="1215" customWidth="1"/>
    <col min="5642" max="5642" width="8.5703125" style="1215" customWidth="1"/>
    <col min="5643" max="5643" width="11.42578125" style="1215" bestFit="1" customWidth="1"/>
    <col min="5644" max="5644" width="7.85546875" style="1215" bestFit="1" customWidth="1"/>
    <col min="5645" max="5645" width="11.5703125" style="1215" bestFit="1" customWidth="1"/>
    <col min="5646" max="5646" width="8" style="1215" bestFit="1" customWidth="1"/>
    <col min="5647" max="5647" width="11.5703125" style="1215" bestFit="1" customWidth="1"/>
    <col min="5648" max="5648" width="8.140625" style="1215" bestFit="1" customWidth="1"/>
    <col min="5649" max="5649" width="11.5703125" style="1215" bestFit="1" customWidth="1"/>
    <col min="5650" max="5650" width="8.42578125" style="1215" customWidth="1"/>
    <col min="5651" max="5651" width="7.42578125" style="1215" bestFit="1" customWidth="1"/>
    <col min="5652" max="5652" width="11.5703125" style="1215" bestFit="1" customWidth="1"/>
    <col min="5653" max="5653" width="8.140625" style="1215" customWidth="1"/>
    <col min="5654" max="5654" width="13" style="1215" bestFit="1" customWidth="1"/>
    <col min="5655" max="5893" width="11.42578125" style="1215"/>
    <col min="5894" max="5894" width="8.85546875" style="1215" customWidth="1"/>
    <col min="5895" max="5895" width="50" style="1215" customWidth="1"/>
    <col min="5896" max="5896" width="6.42578125" style="1215" bestFit="1" customWidth="1"/>
    <col min="5897" max="5897" width="8.85546875" style="1215" customWidth="1"/>
    <col min="5898" max="5898" width="8.5703125" style="1215" customWidth="1"/>
    <col min="5899" max="5899" width="11.42578125" style="1215" bestFit="1" customWidth="1"/>
    <col min="5900" max="5900" width="7.85546875" style="1215" bestFit="1" customWidth="1"/>
    <col min="5901" max="5901" width="11.5703125" style="1215" bestFit="1" customWidth="1"/>
    <col min="5902" max="5902" width="8" style="1215" bestFit="1" customWidth="1"/>
    <col min="5903" max="5903" width="11.5703125" style="1215" bestFit="1" customWidth="1"/>
    <col min="5904" max="5904" width="8.140625" style="1215" bestFit="1" customWidth="1"/>
    <col min="5905" max="5905" width="11.5703125" style="1215" bestFit="1" customWidth="1"/>
    <col min="5906" max="5906" width="8.42578125" style="1215" customWidth="1"/>
    <col min="5907" max="5907" width="7.42578125" style="1215" bestFit="1" customWidth="1"/>
    <col min="5908" max="5908" width="11.5703125" style="1215" bestFit="1" customWidth="1"/>
    <col min="5909" max="5909" width="8.140625" style="1215" customWidth="1"/>
    <col min="5910" max="5910" width="13" style="1215" bestFit="1" customWidth="1"/>
    <col min="5911" max="6149" width="11.42578125" style="1215"/>
    <col min="6150" max="6150" width="8.85546875" style="1215" customWidth="1"/>
    <col min="6151" max="6151" width="50" style="1215" customWidth="1"/>
    <col min="6152" max="6152" width="6.42578125" style="1215" bestFit="1" customWidth="1"/>
    <col min="6153" max="6153" width="8.85546875" style="1215" customWidth="1"/>
    <col min="6154" max="6154" width="8.5703125" style="1215" customWidth="1"/>
    <col min="6155" max="6155" width="11.42578125" style="1215" bestFit="1" customWidth="1"/>
    <col min="6156" max="6156" width="7.85546875" style="1215" bestFit="1" customWidth="1"/>
    <col min="6157" max="6157" width="11.5703125" style="1215" bestFit="1" customWidth="1"/>
    <col min="6158" max="6158" width="8" style="1215" bestFit="1" customWidth="1"/>
    <col min="6159" max="6159" width="11.5703125" style="1215" bestFit="1" customWidth="1"/>
    <col min="6160" max="6160" width="8.140625" style="1215" bestFit="1" customWidth="1"/>
    <col min="6161" max="6161" width="11.5703125" style="1215" bestFit="1" customWidth="1"/>
    <col min="6162" max="6162" width="8.42578125" style="1215" customWidth="1"/>
    <col min="6163" max="6163" width="7.42578125" style="1215" bestFit="1" customWidth="1"/>
    <col min="6164" max="6164" width="11.5703125" style="1215" bestFit="1" customWidth="1"/>
    <col min="6165" max="6165" width="8.140625" style="1215" customWidth="1"/>
    <col min="6166" max="6166" width="13" style="1215" bestFit="1" customWidth="1"/>
    <col min="6167" max="6405" width="11.42578125" style="1215"/>
    <col min="6406" max="6406" width="8.85546875" style="1215" customWidth="1"/>
    <col min="6407" max="6407" width="50" style="1215" customWidth="1"/>
    <col min="6408" max="6408" width="6.42578125" style="1215" bestFit="1" customWidth="1"/>
    <col min="6409" max="6409" width="8.85546875" style="1215" customWidth="1"/>
    <col min="6410" max="6410" width="8.5703125" style="1215" customWidth="1"/>
    <col min="6411" max="6411" width="11.42578125" style="1215" bestFit="1" customWidth="1"/>
    <col min="6412" max="6412" width="7.85546875" style="1215" bestFit="1" customWidth="1"/>
    <col min="6413" max="6413" width="11.5703125" style="1215" bestFit="1" customWidth="1"/>
    <col min="6414" max="6414" width="8" style="1215" bestFit="1" customWidth="1"/>
    <col min="6415" max="6415" width="11.5703125" style="1215" bestFit="1" customWidth="1"/>
    <col min="6416" max="6416" width="8.140625" style="1215" bestFit="1" customWidth="1"/>
    <col min="6417" max="6417" width="11.5703125" style="1215" bestFit="1" customWidth="1"/>
    <col min="6418" max="6418" width="8.42578125" style="1215" customWidth="1"/>
    <col min="6419" max="6419" width="7.42578125" style="1215" bestFit="1" customWidth="1"/>
    <col min="6420" max="6420" width="11.5703125" style="1215" bestFit="1" customWidth="1"/>
    <col min="6421" max="6421" width="8.140625" style="1215" customWidth="1"/>
    <col min="6422" max="6422" width="13" style="1215" bestFit="1" customWidth="1"/>
    <col min="6423" max="6661" width="11.42578125" style="1215"/>
    <col min="6662" max="6662" width="8.85546875" style="1215" customWidth="1"/>
    <col min="6663" max="6663" width="50" style="1215" customWidth="1"/>
    <col min="6664" max="6664" width="6.42578125" style="1215" bestFit="1" customWidth="1"/>
    <col min="6665" max="6665" width="8.85546875" style="1215" customWidth="1"/>
    <col min="6666" max="6666" width="8.5703125" style="1215" customWidth="1"/>
    <col min="6667" max="6667" width="11.42578125" style="1215" bestFit="1" customWidth="1"/>
    <col min="6668" max="6668" width="7.85546875" style="1215" bestFit="1" customWidth="1"/>
    <col min="6669" max="6669" width="11.5703125" style="1215" bestFit="1" customWidth="1"/>
    <col min="6670" max="6670" width="8" style="1215" bestFit="1" customWidth="1"/>
    <col min="6671" max="6671" width="11.5703125" style="1215" bestFit="1" customWidth="1"/>
    <col min="6672" max="6672" width="8.140625" style="1215" bestFit="1" customWidth="1"/>
    <col min="6673" max="6673" width="11.5703125" style="1215" bestFit="1" customWidth="1"/>
    <col min="6674" max="6674" width="8.42578125" style="1215" customWidth="1"/>
    <col min="6675" max="6675" width="7.42578125" style="1215" bestFit="1" customWidth="1"/>
    <col min="6676" max="6676" width="11.5703125" style="1215" bestFit="1" customWidth="1"/>
    <col min="6677" max="6677" width="8.140625" style="1215" customWidth="1"/>
    <col min="6678" max="6678" width="13" style="1215" bestFit="1" customWidth="1"/>
    <col min="6679" max="6917" width="11.42578125" style="1215"/>
    <col min="6918" max="6918" width="8.85546875" style="1215" customWidth="1"/>
    <col min="6919" max="6919" width="50" style="1215" customWidth="1"/>
    <col min="6920" max="6920" width="6.42578125" style="1215" bestFit="1" customWidth="1"/>
    <col min="6921" max="6921" width="8.85546875" style="1215" customWidth="1"/>
    <col min="6922" max="6922" width="8.5703125" style="1215" customWidth="1"/>
    <col min="6923" max="6923" width="11.42578125" style="1215" bestFit="1" customWidth="1"/>
    <col min="6924" max="6924" width="7.85546875" style="1215" bestFit="1" customWidth="1"/>
    <col min="6925" max="6925" width="11.5703125" style="1215" bestFit="1" customWidth="1"/>
    <col min="6926" max="6926" width="8" style="1215" bestFit="1" customWidth="1"/>
    <col min="6927" max="6927" width="11.5703125" style="1215" bestFit="1" customWidth="1"/>
    <col min="6928" max="6928" width="8.140625" style="1215" bestFit="1" customWidth="1"/>
    <col min="6929" max="6929" width="11.5703125" style="1215" bestFit="1" customWidth="1"/>
    <col min="6930" max="6930" width="8.42578125" style="1215" customWidth="1"/>
    <col min="6931" max="6931" width="7.42578125" style="1215" bestFit="1" customWidth="1"/>
    <col min="6932" max="6932" width="11.5703125" style="1215" bestFit="1" customWidth="1"/>
    <col min="6933" max="6933" width="8.140625" style="1215" customWidth="1"/>
    <col min="6934" max="6934" width="13" style="1215" bestFit="1" customWidth="1"/>
    <col min="6935" max="7173" width="11.42578125" style="1215"/>
    <col min="7174" max="7174" width="8.85546875" style="1215" customWidth="1"/>
    <col min="7175" max="7175" width="50" style="1215" customWidth="1"/>
    <col min="7176" max="7176" width="6.42578125" style="1215" bestFit="1" customWidth="1"/>
    <col min="7177" max="7177" width="8.85546875" style="1215" customWidth="1"/>
    <col min="7178" max="7178" width="8.5703125" style="1215" customWidth="1"/>
    <col min="7179" max="7179" width="11.42578125" style="1215" bestFit="1" customWidth="1"/>
    <col min="7180" max="7180" width="7.85546875" style="1215" bestFit="1" customWidth="1"/>
    <col min="7181" max="7181" width="11.5703125" style="1215" bestFit="1" customWidth="1"/>
    <col min="7182" max="7182" width="8" style="1215" bestFit="1" customWidth="1"/>
    <col min="7183" max="7183" width="11.5703125" style="1215" bestFit="1" customWidth="1"/>
    <col min="7184" max="7184" width="8.140625" style="1215" bestFit="1" customWidth="1"/>
    <col min="7185" max="7185" width="11.5703125" style="1215" bestFit="1" customWidth="1"/>
    <col min="7186" max="7186" width="8.42578125" style="1215" customWidth="1"/>
    <col min="7187" max="7187" width="7.42578125" style="1215" bestFit="1" customWidth="1"/>
    <col min="7188" max="7188" width="11.5703125" style="1215" bestFit="1" customWidth="1"/>
    <col min="7189" max="7189" width="8.140625" style="1215" customWidth="1"/>
    <col min="7190" max="7190" width="13" style="1215" bestFit="1" customWidth="1"/>
    <col min="7191" max="7429" width="11.42578125" style="1215"/>
    <col min="7430" max="7430" width="8.85546875" style="1215" customWidth="1"/>
    <col min="7431" max="7431" width="50" style="1215" customWidth="1"/>
    <col min="7432" max="7432" width="6.42578125" style="1215" bestFit="1" customWidth="1"/>
    <col min="7433" max="7433" width="8.85546875" style="1215" customWidth="1"/>
    <col min="7434" max="7434" width="8.5703125" style="1215" customWidth="1"/>
    <col min="7435" max="7435" width="11.42578125" style="1215" bestFit="1" customWidth="1"/>
    <col min="7436" max="7436" width="7.85546875" style="1215" bestFit="1" customWidth="1"/>
    <col min="7437" max="7437" width="11.5703125" style="1215" bestFit="1" customWidth="1"/>
    <col min="7438" max="7438" width="8" style="1215" bestFit="1" customWidth="1"/>
    <col min="7439" max="7439" width="11.5703125" style="1215" bestFit="1" customWidth="1"/>
    <col min="7440" max="7440" width="8.140625" style="1215" bestFit="1" customWidth="1"/>
    <col min="7441" max="7441" width="11.5703125" style="1215" bestFit="1" customWidth="1"/>
    <col min="7442" max="7442" width="8.42578125" style="1215" customWidth="1"/>
    <col min="7443" max="7443" width="7.42578125" style="1215" bestFit="1" customWidth="1"/>
    <col min="7444" max="7444" width="11.5703125" style="1215" bestFit="1" customWidth="1"/>
    <col min="7445" max="7445" width="8.140625" style="1215" customWidth="1"/>
    <col min="7446" max="7446" width="13" style="1215" bestFit="1" customWidth="1"/>
    <col min="7447" max="7685" width="11.42578125" style="1215"/>
    <col min="7686" max="7686" width="8.85546875" style="1215" customWidth="1"/>
    <col min="7687" max="7687" width="50" style="1215" customWidth="1"/>
    <col min="7688" max="7688" width="6.42578125" style="1215" bestFit="1" customWidth="1"/>
    <col min="7689" max="7689" width="8.85546875" style="1215" customWidth="1"/>
    <col min="7690" max="7690" width="8.5703125" style="1215" customWidth="1"/>
    <col min="7691" max="7691" width="11.42578125" style="1215" bestFit="1" customWidth="1"/>
    <col min="7692" max="7692" width="7.85546875" style="1215" bestFit="1" customWidth="1"/>
    <col min="7693" max="7693" width="11.5703125" style="1215" bestFit="1" customWidth="1"/>
    <col min="7694" max="7694" width="8" style="1215" bestFit="1" customWidth="1"/>
    <col min="7695" max="7695" width="11.5703125" style="1215" bestFit="1" customWidth="1"/>
    <col min="7696" max="7696" width="8.140625" style="1215" bestFit="1" customWidth="1"/>
    <col min="7697" max="7697" width="11.5703125" style="1215" bestFit="1" customWidth="1"/>
    <col min="7698" max="7698" width="8.42578125" style="1215" customWidth="1"/>
    <col min="7699" max="7699" width="7.42578125" style="1215" bestFit="1" customWidth="1"/>
    <col min="7700" max="7700" width="11.5703125" style="1215" bestFit="1" customWidth="1"/>
    <col min="7701" max="7701" width="8.140625" style="1215" customWidth="1"/>
    <col min="7702" max="7702" width="13" style="1215" bestFit="1" customWidth="1"/>
    <col min="7703" max="7941" width="11.42578125" style="1215"/>
    <col min="7942" max="7942" width="8.85546875" style="1215" customWidth="1"/>
    <col min="7943" max="7943" width="50" style="1215" customWidth="1"/>
    <col min="7944" max="7944" width="6.42578125" style="1215" bestFit="1" customWidth="1"/>
    <col min="7945" max="7945" width="8.85546875" style="1215" customWidth="1"/>
    <col min="7946" max="7946" width="8.5703125" style="1215" customWidth="1"/>
    <col min="7947" max="7947" width="11.42578125" style="1215" bestFit="1" customWidth="1"/>
    <col min="7948" max="7948" width="7.85546875" style="1215" bestFit="1" customWidth="1"/>
    <col min="7949" max="7949" width="11.5703125" style="1215" bestFit="1" customWidth="1"/>
    <col min="7950" max="7950" width="8" style="1215" bestFit="1" customWidth="1"/>
    <col min="7951" max="7951" width="11.5703125" style="1215" bestFit="1" customWidth="1"/>
    <col min="7952" max="7952" width="8.140625" style="1215" bestFit="1" customWidth="1"/>
    <col min="7953" max="7953" width="11.5703125" style="1215" bestFit="1" customWidth="1"/>
    <col min="7954" max="7954" width="8.42578125" style="1215" customWidth="1"/>
    <col min="7955" max="7955" width="7.42578125" style="1215" bestFit="1" customWidth="1"/>
    <col min="7956" max="7956" width="11.5703125" style="1215" bestFit="1" customWidth="1"/>
    <col min="7957" max="7957" width="8.140625" style="1215" customWidth="1"/>
    <col min="7958" max="7958" width="13" style="1215" bestFit="1" customWidth="1"/>
    <col min="7959" max="8197" width="11.42578125" style="1215"/>
    <col min="8198" max="8198" width="8.85546875" style="1215" customWidth="1"/>
    <col min="8199" max="8199" width="50" style="1215" customWidth="1"/>
    <col min="8200" max="8200" width="6.42578125" style="1215" bestFit="1" customWidth="1"/>
    <col min="8201" max="8201" width="8.85546875" style="1215" customWidth="1"/>
    <col min="8202" max="8202" width="8.5703125" style="1215" customWidth="1"/>
    <col min="8203" max="8203" width="11.42578125" style="1215" bestFit="1" customWidth="1"/>
    <col min="8204" max="8204" width="7.85546875" style="1215" bestFit="1" customWidth="1"/>
    <col min="8205" max="8205" width="11.5703125" style="1215" bestFit="1" customWidth="1"/>
    <col min="8206" max="8206" width="8" style="1215" bestFit="1" customWidth="1"/>
    <col min="8207" max="8207" width="11.5703125" style="1215" bestFit="1" customWidth="1"/>
    <col min="8208" max="8208" width="8.140625" style="1215" bestFit="1" customWidth="1"/>
    <col min="8209" max="8209" width="11.5703125" style="1215" bestFit="1" customWidth="1"/>
    <col min="8210" max="8210" width="8.42578125" style="1215" customWidth="1"/>
    <col min="8211" max="8211" width="7.42578125" style="1215" bestFit="1" customWidth="1"/>
    <col min="8212" max="8212" width="11.5703125" style="1215" bestFit="1" customWidth="1"/>
    <col min="8213" max="8213" width="8.140625" style="1215" customWidth="1"/>
    <col min="8214" max="8214" width="13" style="1215" bestFit="1" customWidth="1"/>
    <col min="8215" max="8453" width="11.42578125" style="1215"/>
    <col min="8454" max="8454" width="8.85546875" style="1215" customWidth="1"/>
    <col min="8455" max="8455" width="50" style="1215" customWidth="1"/>
    <col min="8456" max="8456" width="6.42578125" style="1215" bestFit="1" customWidth="1"/>
    <col min="8457" max="8457" width="8.85546875" style="1215" customWidth="1"/>
    <col min="8458" max="8458" width="8.5703125" style="1215" customWidth="1"/>
    <col min="8459" max="8459" width="11.42578125" style="1215" bestFit="1" customWidth="1"/>
    <col min="8460" max="8460" width="7.85546875" style="1215" bestFit="1" customWidth="1"/>
    <col min="8461" max="8461" width="11.5703125" style="1215" bestFit="1" customWidth="1"/>
    <col min="8462" max="8462" width="8" style="1215" bestFit="1" customWidth="1"/>
    <col min="8463" max="8463" width="11.5703125" style="1215" bestFit="1" customWidth="1"/>
    <col min="8464" max="8464" width="8.140625" style="1215" bestFit="1" customWidth="1"/>
    <col min="8465" max="8465" width="11.5703125" style="1215" bestFit="1" customWidth="1"/>
    <col min="8466" max="8466" width="8.42578125" style="1215" customWidth="1"/>
    <col min="8467" max="8467" width="7.42578125" style="1215" bestFit="1" customWidth="1"/>
    <col min="8468" max="8468" width="11.5703125" style="1215" bestFit="1" customWidth="1"/>
    <col min="8469" max="8469" width="8.140625" style="1215" customWidth="1"/>
    <col min="8470" max="8470" width="13" style="1215" bestFit="1" customWidth="1"/>
    <col min="8471" max="8709" width="11.42578125" style="1215"/>
    <col min="8710" max="8710" width="8.85546875" style="1215" customWidth="1"/>
    <col min="8711" max="8711" width="50" style="1215" customWidth="1"/>
    <col min="8712" max="8712" width="6.42578125" style="1215" bestFit="1" customWidth="1"/>
    <col min="8713" max="8713" width="8.85546875" style="1215" customWidth="1"/>
    <col min="8714" max="8714" width="8.5703125" style="1215" customWidth="1"/>
    <col min="8715" max="8715" width="11.42578125" style="1215" bestFit="1" customWidth="1"/>
    <col min="8716" max="8716" width="7.85546875" style="1215" bestFit="1" customWidth="1"/>
    <col min="8717" max="8717" width="11.5703125" style="1215" bestFit="1" customWidth="1"/>
    <col min="8718" max="8718" width="8" style="1215" bestFit="1" customWidth="1"/>
    <col min="8719" max="8719" width="11.5703125" style="1215" bestFit="1" customWidth="1"/>
    <col min="8720" max="8720" width="8.140625" style="1215" bestFit="1" customWidth="1"/>
    <col min="8721" max="8721" width="11.5703125" style="1215" bestFit="1" customWidth="1"/>
    <col min="8722" max="8722" width="8.42578125" style="1215" customWidth="1"/>
    <col min="8723" max="8723" width="7.42578125" style="1215" bestFit="1" customWidth="1"/>
    <col min="8724" max="8724" width="11.5703125" style="1215" bestFit="1" customWidth="1"/>
    <col min="8725" max="8725" width="8.140625" style="1215" customWidth="1"/>
    <col min="8726" max="8726" width="13" style="1215" bestFit="1" customWidth="1"/>
    <col min="8727" max="8965" width="11.42578125" style="1215"/>
    <col min="8966" max="8966" width="8.85546875" style="1215" customWidth="1"/>
    <col min="8967" max="8967" width="50" style="1215" customWidth="1"/>
    <col min="8968" max="8968" width="6.42578125" style="1215" bestFit="1" customWidth="1"/>
    <col min="8969" max="8969" width="8.85546875" style="1215" customWidth="1"/>
    <col min="8970" max="8970" width="8.5703125" style="1215" customWidth="1"/>
    <col min="8971" max="8971" width="11.42578125" style="1215" bestFit="1" customWidth="1"/>
    <col min="8972" max="8972" width="7.85546875" style="1215" bestFit="1" customWidth="1"/>
    <col min="8973" max="8973" width="11.5703125" style="1215" bestFit="1" customWidth="1"/>
    <col min="8974" max="8974" width="8" style="1215" bestFit="1" customWidth="1"/>
    <col min="8975" max="8975" width="11.5703125" style="1215" bestFit="1" customWidth="1"/>
    <col min="8976" max="8976" width="8.140625" style="1215" bestFit="1" customWidth="1"/>
    <col min="8977" max="8977" width="11.5703125" style="1215" bestFit="1" customWidth="1"/>
    <col min="8978" max="8978" width="8.42578125" style="1215" customWidth="1"/>
    <col min="8979" max="8979" width="7.42578125" style="1215" bestFit="1" customWidth="1"/>
    <col min="8980" max="8980" width="11.5703125" style="1215" bestFit="1" customWidth="1"/>
    <col min="8981" max="8981" width="8.140625" style="1215" customWidth="1"/>
    <col min="8982" max="8982" width="13" style="1215" bestFit="1" customWidth="1"/>
    <col min="8983" max="9221" width="11.42578125" style="1215"/>
    <col min="9222" max="9222" width="8.85546875" style="1215" customWidth="1"/>
    <col min="9223" max="9223" width="50" style="1215" customWidth="1"/>
    <col min="9224" max="9224" width="6.42578125" style="1215" bestFit="1" customWidth="1"/>
    <col min="9225" max="9225" width="8.85546875" style="1215" customWidth="1"/>
    <col min="9226" max="9226" width="8.5703125" style="1215" customWidth="1"/>
    <col min="9227" max="9227" width="11.42578125" style="1215" bestFit="1" customWidth="1"/>
    <col min="9228" max="9228" width="7.85546875" style="1215" bestFit="1" customWidth="1"/>
    <col min="9229" max="9229" width="11.5703125" style="1215" bestFit="1" customWidth="1"/>
    <col min="9230" max="9230" width="8" style="1215" bestFit="1" customWidth="1"/>
    <col min="9231" max="9231" width="11.5703125" style="1215" bestFit="1" customWidth="1"/>
    <col min="9232" max="9232" width="8.140625" style="1215" bestFit="1" customWidth="1"/>
    <col min="9233" max="9233" width="11.5703125" style="1215" bestFit="1" customWidth="1"/>
    <col min="9234" max="9234" width="8.42578125" style="1215" customWidth="1"/>
    <col min="9235" max="9235" width="7.42578125" style="1215" bestFit="1" customWidth="1"/>
    <col min="9236" max="9236" width="11.5703125" style="1215" bestFit="1" customWidth="1"/>
    <col min="9237" max="9237" width="8.140625" style="1215" customWidth="1"/>
    <col min="9238" max="9238" width="13" style="1215" bestFit="1" customWidth="1"/>
    <col min="9239" max="9477" width="11.42578125" style="1215"/>
    <col min="9478" max="9478" width="8.85546875" style="1215" customWidth="1"/>
    <col min="9479" max="9479" width="50" style="1215" customWidth="1"/>
    <col min="9480" max="9480" width="6.42578125" style="1215" bestFit="1" customWidth="1"/>
    <col min="9481" max="9481" width="8.85546875" style="1215" customWidth="1"/>
    <col min="9482" max="9482" width="8.5703125" style="1215" customWidth="1"/>
    <col min="9483" max="9483" width="11.42578125" style="1215" bestFit="1" customWidth="1"/>
    <col min="9484" max="9484" width="7.85546875" style="1215" bestFit="1" customWidth="1"/>
    <col min="9485" max="9485" width="11.5703125" style="1215" bestFit="1" customWidth="1"/>
    <col min="9486" max="9486" width="8" style="1215" bestFit="1" customWidth="1"/>
    <col min="9487" max="9487" width="11.5703125" style="1215" bestFit="1" customWidth="1"/>
    <col min="9488" max="9488" width="8.140625" style="1215" bestFit="1" customWidth="1"/>
    <col min="9489" max="9489" width="11.5703125" style="1215" bestFit="1" customWidth="1"/>
    <col min="9490" max="9490" width="8.42578125" style="1215" customWidth="1"/>
    <col min="9491" max="9491" width="7.42578125" style="1215" bestFit="1" customWidth="1"/>
    <col min="9492" max="9492" width="11.5703125" style="1215" bestFit="1" customWidth="1"/>
    <col min="9493" max="9493" width="8.140625" style="1215" customWidth="1"/>
    <col min="9494" max="9494" width="13" style="1215" bestFit="1" customWidth="1"/>
    <col min="9495" max="9733" width="11.42578125" style="1215"/>
    <col min="9734" max="9734" width="8.85546875" style="1215" customWidth="1"/>
    <col min="9735" max="9735" width="50" style="1215" customWidth="1"/>
    <col min="9736" max="9736" width="6.42578125" style="1215" bestFit="1" customWidth="1"/>
    <col min="9737" max="9737" width="8.85546875" style="1215" customWidth="1"/>
    <col min="9738" max="9738" width="8.5703125" style="1215" customWidth="1"/>
    <col min="9739" max="9739" width="11.42578125" style="1215" bestFit="1" customWidth="1"/>
    <col min="9740" max="9740" width="7.85546875" style="1215" bestFit="1" customWidth="1"/>
    <col min="9741" max="9741" width="11.5703125" style="1215" bestFit="1" customWidth="1"/>
    <col min="9742" max="9742" width="8" style="1215" bestFit="1" customWidth="1"/>
    <col min="9743" max="9743" width="11.5703125" style="1215" bestFit="1" customWidth="1"/>
    <col min="9744" max="9744" width="8.140625" style="1215" bestFit="1" customWidth="1"/>
    <col min="9745" max="9745" width="11.5703125" style="1215" bestFit="1" customWidth="1"/>
    <col min="9746" max="9746" width="8.42578125" style="1215" customWidth="1"/>
    <col min="9747" max="9747" width="7.42578125" style="1215" bestFit="1" customWidth="1"/>
    <col min="9748" max="9748" width="11.5703125" style="1215" bestFit="1" customWidth="1"/>
    <col min="9749" max="9749" width="8.140625" style="1215" customWidth="1"/>
    <col min="9750" max="9750" width="13" style="1215" bestFit="1" customWidth="1"/>
    <col min="9751" max="9989" width="11.42578125" style="1215"/>
    <col min="9990" max="9990" width="8.85546875" style="1215" customWidth="1"/>
    <col min="9991" max="9991" width="50" style="1215" customWidth="1"/>
    <col min="9992" max="9992" width="6.42578125" style="1215" bestFit="1" customWidth="1"/>
    <col min="9993" max="9993" width="8.85546875" style="1215" customWidth="1"/>
    <col min="9994" max="9994" width="8.5703125" style="1215" customWidth="1"/>
    <col min="9995" max="9995" width="11.42578125" style="1215" bestFit="1" customWidth="1"/>
    <col min="9996" max="9996" width="7.85546875" style="1215" bestFit="1" customWidth="1"/>
    <col min="9997" max="9997" width="11.5703125" style="1215" bestFit="1" customWidth="1"/>
    <col min="9998" max="9998" width="8" style="1215" bestFit="1" customWidth="1"/>
    <col min="9999" max="9999" width="11.5703125" style="1215" bestFit="1" customWidth="1"/>
    <col min="10000" max="10000" width="8.140625" style="1215" bestFit="1" customWidth="1"/>
    <col min="10001" max="10001" width="11.5703125" style="1215" bestFit="1" customWidth="1"/>
    <col min="10002" max="10002" width="8.42578125" style="1215" customWidth="1"/>
    <col min="10003" max="10003" width="7.42578125" style="1215" bestFit="1" customWidth="1"/>
    <col min="10004" max="10004" width="11.5703125" style="1215" bestFit="1" customWidth="1"/>
    <col min="10005" max="10005" width="8.140625" style="1215" customWidth="1"/>
    <col min="10006" max="10006" width="13" style="1215" bestFit="1" customWidth="1"/>
    <col min="10007" max="10245" width="11.42578125" style="1215"/>
    <col min="10246" max="10246" width="8.85546875" style="1215" customWidth="1"/>
    <col min="10247" max="10247" width="50" style="1215" customWidth="1"/>
    <col min="10248" max="10248" width="6.42578125" style="1215" bestFit="1" customWidth="1"/>
    <col min="10249" max="10249" width="8.85546875" style="1215" customWidth="1"/>
    <col min="10250" max="10250" width="8.5703125" style="1215" customWidth="1"/>
    <col min="10251" max="10251" width="11.42578125" style="1215" bestFit="1" customWidth="1"/>
    <col min="10252" max="10252" width="7.85546875" style="1215" bestFit="1" customWidth="1"/>
    <col min="10253" max="10253" width="11.5703125" style="1215" bestFit="1" customWidth="1"/>
    <col min="10254" max="10254" width="8" style="1215" bestFit="1" customWidth="1"/>
    <col min="10255" max="10255" width="11.5703125" style="1215" bestFit="1" customWidth="1"/>
    <col min="10256" max="10256" width="8.140625" style="1215" bestFit="1" customWidth="1"/>
    <col min="10257" max="10257" width="11.5703125" style="1215" bestFit="1" customWidth="1"/>
    <col min="10258" max="10258" width="8.42578125" style="1215" customWidth="1"/>
    <col min="10259" max="10259" width="7.42578125" style="1215" bestFit="1" customWidth="1"/>
    <col min="10260" max="10260" width="11.5703125" style="1215" bestFit="1" customWidth="1"/>
    <col min="10261" max="10261" width="8.140625" style="1215" customWidth="1"/>
    <col min="10262" max="10262" width="13" style="1215" bestFit="1" customWidth="1"/>
    <col min="10263" max="10501" width="11.42578125" style="1215"/>
    <col min="10502" max="10502" width="8.85546875" style="1215" customWidth="1"/>
    <col min="10503" max="10503" width="50" style="1215" customWidth="1"/>
    <col min="10504" max="10504" width="6.42578125" style="1215" bestFit="1" customWidth="1"/>
    <col min="10505" max="10505" width="8.85546875" style="1215" customWidth="1"/>
    <col min="10506" max="10506" width="8.5703125" style="1215" customWidth="1"/>
    <col min="10507" max="10507" width="11.42578125" style="1215" bestFit="1" customWidth="1"/>
    <col min="10508" max="10508" width="7.85546875" style="1215" bestFit="1" customWidth="1"/>
    <col min="10509" max="10509" width="11.5703125" style="1215" bestFit="1" customWidth="1"/>
    <col min="10510" max="10510" width="8" style="1215" bestFit="1" customWidth="1"/>
    <col min="10511" max="10511" width="11.5703125" style="1215" bestFit="1" customWidth="1"/>
    <col min="10512" max="10512" width="8.140625" style="1215" bestFit="1" customWidth="1"/>
    <col min="10513" max="10513" width="11.5703125" style="1215" bestFit="1" customWidth="1"/>
    <col min="10514" max="10514" width="8.42578125" style="1215" customWidth="1"/>
    <col min="10515" max="10515" width="7.42578125" style="1215" bestFit="1" customWidth="1"/>
    <col min="10516" max="10516" width="11.5703125" style="1215" bestFit="1" customWidth="1"/>
    <col min="10517" max="10517" width="8.140625" style="1215" customWidth="1"/>
    <col min="10518" max="10518" width="13" style="1215" bestFit="1" customWidth="1"/>
    <col min="10519" max="10757" width="11.42578125" style="1215"/>
    <col min="10758" max="10758" width="8.85546875" style="1215" customWidth="1"/>
    <col min="10759" max="10759" width="50" style="1215" customWidth="1"/>
    <col min="10760" max="10760" width="6.42578125" style="1215" bestFit="1" customWidth="1"/>
    <col min="10761" max="10761" width="8.85546875" style="1215" customWidth="1"/>
    <col min="10762" max="10762" width="8.5703125" style="1215" customWidth="1"/>
    <col min="10763" max="10763" width="11.42578125" style="1215" bestFit="1" customWidth="1"/>
    <col min="10764" max="10764" width="7.85546875" style="1215" bestFit="1" customWidth="1"/>
    <col min="10765" max="10765" width="11.5703125" style="1215" bestFit="1" customWidth="1"/>
    <col min="10766" max="10766" width="8" style="1215" bestFit="1" customWidth="1"/>
    <col min="10767" max="10767" width="11.5703125" style="1215" bestFit="1" customWidth="1"/>
    <col min="10768" max="10768" width="8.140625" style="1215" bestFit="1" customWidth="1"/>
    <col min="10769" max="10769" width="11.5703125" style="1215" bestFit="1" customWidth="1"/>
    <col min="10770" max="10770" width="8.42578125" style="1215" customWidth="1"/>
    <col min="10771" max="10771" width="7.42578125" style="1215" bestFit="1" customWidth="1"/>
    <col min="10772" max="10772" width="11.5703125" style="1215" bestFit="1" customWidth="1"/>
    <col min="10773" max="10773" width="8.140625" style="1215" customWidth="1"/>
    <col min="10774" max="10774" width="13" style="1215" bestFit="1" customWidth="1"/>
    <col min="10775" max="11013" width="11.42578125" style="1215"/>
    <col min="11014" max="11014" width="8.85546875" style="1215" customWidth="1"/>
    <col min="11015" max="11015" width="50" style="1215" customWidth="1"/>
    <col min="11016" max="11016" width="6.42578125" style="1215" bestFit="1" customWidth="1"/>
    <col min="11017" max="11017" width="8.85546875" style="1215" customWidth="1"/>
    <col min="11018" max="11018" width="8.5703125" style="1215" customWidth="1"/>
    <col min="11019" max="11019" width="11.42578125" style="1215" bestFit="1" customWidth="1"/>
    <col min="11020" max="11020" width="7.85546875" style="1215" bestFit="1" customWidth="1"/>
    <col min="11021" max="11021" width="11.5703125" style="1215" bestFit="1" customWidth="1"/>
    <col min="11022" max="11022" width="8" style="1215" bestFit="1" customWidth="1"/>
    <col min="11023" max="11023" width="11.5703125" style="1215" bestFit="1" customWidth="1"/>
    <col min="11024" max="11024" width="8.140625" style="1215" bestFit="1" customWidth="1"/>
    <col min="11025" max="11025" width="11.5703125" style="1215" bestFit="1" customWidth="1"/>
    <col min="11026" max="11026" width="8.42578125" style="1215" customWidth="1"/>
    <col min="11027" max="11027" width="7.42578125" style="1215" bestFit="1" customWidth="1"/>
    <col min="11028" max="11028" width="11.5703125" style="1215" bestFit="1" customWidth="1"/>
    <col min="11029" max="11029" width="8.140625" style="1215" customWidth="1"/>
    <col min="11030" max="11030" width="13" style="1215" bestFit="1" customWidth="1"/>
    <col min="11031" max="11269" width="11.42578125" style="1215"/>
    <col min="11270" max="11270" width="8.85546875" style="1215" customWidth="1"/>
    <col min="11271" max="11271" width="50" style="1215" customWidth="1"/>
    <col min="11272" max="11272" width="6.42578125" style="1215" bestFit="1" customWidth="1"/>
    <col min="11273" max="11273" width="8.85546875" style="1215" customWidth="1"/>
    <col min="11274" max="11274" width="8.5703125" style="1215" customWidth="1"/>
    <col min="11275" max="11275" width="11.42578125" style="1215" bestFit="1" customWidth="1"/>
    <col min="11276" max="11276" width="7.85546875" style="1215" bestFit="1" customWidth="1"/>
    <col min="11277" max="11277" width="11.5703125" style="1215" bestFit="1" customWidth="1"/>
    <col min="11278" max="11278" width="8" style="1215" bestFit="1" customWidth="1"/>
    <col min="11279" max="11279" width="11.5703125" style="1215" bestFit="1" customWidth="1"/>
    <col min="11280" max="11280" width="8.140625" style="1215" bestFit="1" customWidth="1"/>
    <col min="11281" max="11281" width="11.5703125" style="1215" bestFit="1" customWidth="1"/>
    <col min="11282" max="11282" width="8.42578125" style="1215" customWidth="1"/>
    <col min="11283" max="11283" width="7.42578125" style="1215" bestFit="1" customWidth="1"/>
    <col min="11284" max="11284" width="11.5703125" style="1215" bestFit="1" customWidth="1"/>
    <col min="11285" max="11285" width="8.140625" style="1215" customWidth="1"/>
    <col min="11286" max="11286" width="13" style="1215" bestFit="1" customWidth="1"/>
    <col min="11287" max="11525" width="11.42578125" style="1215"/>
    <col min="11526" max="11526" width="8.85546875" style="1215" customWidth="1"/>
    <col min="11527" max="11527" width="50" style="1215" customWidth="1"/>
    <col min="11528" max="11528" width="6.42578125" style="1215" bestFit="1" customWidth="1"/>
    <col min="11529" max="11529" width="8.85546875" style="1215" customWidth="1"/>
    <col min="11530" max="11530" width="8.5703125" style="1215" customWidth="1"/>
    <col min="11531" max="11531" width="11.42578125" style="1215" bestFit="1" customWidth="1"/>
    <col min="11532" max="11532" width="7.85546875" style="1215" bestFit="1" customWidth="1"/>
    <col min="11533" max="11533" width="11.5703125" style="1215" bestFit="1" customWidth="1"/>
    <col min="11534" max="11534" width="8" style="1215" bestFit="1" customWidth="1"/>
    <col min="11535" max="11535" width="11.5703125" style="1215" bestFit="1" customWidth="1"/>
    <col min="11536" max="11536" width="8.140625" style="1215" bestFit="1" customWidth="1"/>
    <col min="11537" max="11537" width="11.5703125" style="1215" bestFit="1" customWidth="1"/>
    <col min="11538" max="11538" width="8.42578125" style="1215" customWidth="1"/>
    <col min="11539" max="11539" width="7.42578125" style="1215" bestFit="1" customWidth="1"/>
    <col min="11540" max="11540" width="11.5703125" style="1215" bestFit="1" customWidth="1"/>
    <col min="11541" max="11541" width="8.140625" style="1215" customWidth="1"/>
    <col min="11542" max="11542" width="13" style="1215" bestFit="1" customWidth="1"/>
    <col min="11543" max="11781" width="11.42578125" style="1215"/>
    <col min="11782" max="11782" width="8.85546875" style="1215" customWidth="1"/>
    <col min="11783" max="11783" width="50" style="1215" customWidth="1"/>
    <col min="11784" max="11784" width="6.42578125" style="1215" bestFit="1" customWidth="1"/>
    <col min="11785" max="11785" width="8.85546875" style="1215" customWidth="1"/>
    <col min="11786" max="11786" width="8.5703125" style="1215" customWidth="1"/>
    <col min="11787" max="11787" width="11.42578125" style="1215" bestFit="1" customWidth="1"/>
    <col min="11788" max="11788" width="7.85546875" style="1215" bestFit="1" customWidth="1"/>
    <col min="11789" max="11789" width="11.5703125" style="1215" bestFit="1" customWidth="1"/>
    <col min="11790" max="11790" width="8" style="1215" bestFit="1" customWidth="1"/>
    <col min="11791" max="11791" width="11.5703125" style="1215" bestFit="1" customWidth="1"/>
    <col min="11792" max="11792" width="8.140625" style="1215" bestFit="1" customWidth="1"/>
    <col min="11793" max="11793" width="11.5703125" style="1215" bestFit="1" customWidth="1"/>
    <col min="11794" max="11794" width="8.42578125" style="1215" customWidth="1"/>
    <col min="11795" max="11795" width="7.42578125" style="1215" bestFit="1" customWidth="1"/>
    <col min="11796" max="11796" width="11.5703125" style="1215" bestFit="1" customWidth="1"/>
    <col min="11797" max="11797" width="8.140625" style="1215" customWidth="1"/>
    <col min="11798" max="11798" width="13" style="1215" bestFit="1" customWidth="1"/>
    <col min="11799" max="12037" width="11.42578125" style="1215"/>
    <col min="12038" max="12038" width="8.85546875" style="1215" customWidth="1"/>
    <col min="12039" max="12039" width="50" style="1215" customWidth="1"/>
    <col min="12040" max="12040" width="6.42578125" style="1215" bestFit="1" customWidth="1"/>
    <col min="12041" max="12041" width="8.85546875" style="1215" customWidth="1"/>
    <col min="12042" max="12042" width="8.5703125" style="1215" customWidth="1"/>
    <col min="12043" max="12043" width="11.42578125" style="1215" bestFit="1" customWidth="1"/>
    <col min="12044" max="12044" width="7.85546875" style="1215" bestFit="1" customWidth="1"/>
    <col min="12045" max="12045" width="11.5703125" style="1215" bestFit="1" customWidth="1"/>
    <col min="12046" max="12046" width="8" style="1215" bestFit="1" customWidth="1"/>
    <col min="12047" max="12047" width="11.5703125" style="1215" bestFit="1" customWidth="1"/>
    <col min="12048" max="12048" width="8.140625" style="1215" bestFit="1" customWidth="1"/>
    <col min="12049" max="12049" width="11.5703125" style="1215" bestFit="1" customWidth="1"/>
    <col min="12050" max="12050" width="8.42578125" style="1215" customWidth="1"/>
    <col min="12051" max="12051" width="7.42578125" style="1215" bestFit="1" customWidth="1"/>
    <col min="12052" max="12052" width="11.5703125" style="1215" bestFit="1" customWidth="1"/>
    <col min="12053" max="12053" width="8.140625" style="1215" customWidth="1"/>
    <col min="12054" max="12054" width="13" style="1215" bestFit="1" customWidth="1"/>
    <col min="12055" max="12293" width="11.42578125" style="1215"/>
    <col min="12294" max="12294" width="8.85546875" style="1215" customWidth="1"/>
    <col min="12295" max="12295" width="50" style="1215" customWidth="1"/>
    <col min="12296" max="12296" width="6.42578125" style="1215" bestFit="1" customWidth="1"/>
    <col min="12297" max="12297" width="8.85546875" style="1215" customWidth="1"/>
    <col min="12298" max="12298" width="8.5703125" style="1215" customWidth="1"/>
    <col min="12299" max="12299" width="11.42578125" style="1215" bestFit="1" customWidth="1"/>
    <col min="12300" max="12300" width="7.85546875" style="1215" bestFit="1" customWidth="1"/>
    <col min="12301" max="12301" width="11.5703125" style="1215" bestFit="1" customWidth="1"/>
    <col min="12302" max="12302" width="8" style="1215" bestFit="1" customWidth="1"/>
    <col min="12303" max="12303" width="11.5703125" style="1215" bestFit="1" customWidth="1"/>
    <col min="12304" max="12304" width="8.140625" style="1215" bestFit="1" customWidth="1"/>
    <col min="12305" max="12305" width="11.5703125" style="1215" bestFit="1" customWidth="1"/>
    <col min="12306" max="12306" width="8.42578125" style="1215" customWidth="1"/>
    <col min="12307" max="12307" width="7.42578125" style="1215" bestFit="1" customWidth="1"/>
    <col min="12308" max="12308" width="11.5703125" style="1215" bestFit="1" customWidth="1"/>
    <col min="12309" max="12309" width="8.140625" style="1215" customWidth="1"/>
    <col min="12310" max="12310" width="13" style="1215" bestFit="1" customWidth="1"/>
    <col min="12311" max="12549" width="11.42578125" style="1215"/>
    <col min="12550" max="12550" width="8.85546875" style="1215" customWidth="1"/>
    <col min="12551" max="12551" width="50" style="1215" customWidth="1"/>
    <col min="12552" max="12552" width="6.42578125" style="1215" bestFit="1" customWidth="1"/>
    <col min="12553" max="12553" width="8.85546875" style="1215" customWidth="1"/>
    <col min="12554" max="12554" width="8.5703125" style="1215" customWidth="1"/>
    <col min="12555" max="12555" width="11.42578125" style="1215" bestFit="1" customWidth="1"/>
    <col min="12556" max="12556" width="7.85546875" style="1215" bestFit="1" customWidth="1"/>
    <col min="12557" max="12557" width="11.5703125" style="1215" bestFit="1" customWidth="1"/>
    <col min="12558" max="12558" width="8" style="1215" bestFit="1" customWidth="1"/>
    <col min="12559" max="12559" width="11.5703125" style="1215" bestFit="1" customWidth="1"/>
    <col min="12560" max="12560" width="8.140625" style="1215" bestFit="1" customWidth="1"/>
    <col min="12561" max="12561" width="11.5703125" style="1215" bestFit="1" customWidth="1"/>
    <col min="12562" max="12562" width="8.42578125" style="1215" customWidth="1"/>
    <col min="12563" max="12563" width="7.42578125" style="1215" bestFit="1" customWidth="1"/>
    <col min="12564" max="12564" width="11.5703125" style="1215" bestFit="1" customWidth="1"/>
    <col min="12565" max="12565" width="8.140625" style="1215" customWidth="1"/>
    <col min="12566" max="12566" width="13" style="1215" bestFit="1" customWidth="1"/>
    <col min="12567" max="12805" width="11.42578125" style="1215"/>
    <col min="12806" max="12806" width="8.85546875" style="1215" customWidth="1"/>
    <col min="12807" max="12807" width="50" style="1215" customWidth="1"/>
    <col min="12808" max="12808" width="6.42578125" style="1215" bestFit="1" customWidth="1"/>
    <col min="12809" max="12809" width="8.85546875" style="1215" customWidth="1"/>
    <col min="12810" max="12810" width="8.5703125" style="1215" customWidth="1"/>
    <col min="12811" max="12811" width="11.42578125" style="1215" bestFit="1" customWidth="1"/>
    <col min="12812" max="12812" width="7.85546875" style="1215" bestFit="1" customWidth="1"/>
    <col min="12813" max="12813" width="11.5703125" style="1215" bestFit="1" customWidth="1"/>
    <col min="12814" max="12814" width="8" style="1215" bestFit="1" customWidth="1"/>
    <col min="12815" max="12815" width="11.5703125" style="1215" bestFit="1" customWidth="1"/>
    <col min="12816" max="12816" width="8.140625" style="1215" bestFit="1" customWidth="1"/>
    <col min="12817" max="12817" width="11.5703125" style="1215" bestFit="1" customWidth="1"/>
    <col min="12818" max="12818" width="8.42578125" style="1215" customWidth="1"/>
    <col min="12819" max="12819" width="7.42578125" style="1215" bestFit="1" customWidth="1"/>
    <col min="12820" max="12820" width="11.5703125" style="1215" bestFit="1" customWidth="1"/>
    <col min="12821" max="12821" width="8.140625" style="1215" customWidth="1"/>
    <col min="12822" max="12822" width="13" style="1215" bestFit="1" customWidth="1"/>
    <col min="12823" max="13061" width="11.42578125" style="1215"/>
    <col min="13062" max="13062" width="8.85546875" style="1215" customWidth="1"/>
    <col min="13063" max="13063" width="50" style="1215" customWidth="1"/>
    <col min="13064" max="13064" width="6.42578125" style="1215" bestFit="1" customWidth="1"/>
    <col min="13065" max="13065" width="8.85546875" style="1215" customWidth="1"/>
    <col min="13066" max="13066" width="8.5703125" style="1215" customWidth="1"/>
    <col min="13067" max="13067" width="11.42578125" style="1215" bestFit="1" customWidth="1"/>
    <col min="13068" max="13068" width="7.85546875" style="1215" bestFit="1" customWidth="1"/>
    <col min="13069" max="13069" width="11.5703125" style="1215" bestFit="1" customWidth="1"/>
    <col min="13070" max="13070" width="8" style="1215" bestFit="1" customWidth="1"/>
    <col min="13071" max="13071" width="11.5703125" style="1215" bestFit="1" customWidth="1"/>
    <col min="13072" max="13072" width="8.140625" style="1215" bestFit="1" customWidth="1"/>
    <col min="13073" max="13073" width="11.5703125" style="1215" bestFit="1" customWidth="1"/>
    <col min="13074" max="13074" width="8.42578125" style="1215" customWidth="1"/>
    <col min="13075" max="13075" width="7.42578125" style="1215" bestFit="1" customWidth="1"/>
    <col min="13076" max="13076" width="11.5703125" style="1215" bestFit="1" customWidth="1"/>
    <col min="13077" max="13077" width="8.140625" style="1215" customWidth="1"/>
    <col min="13078" max="13078" width="13" style="1215" bestFit="1" customWidth="1"/>
    <col min="13079" max="13317" width="11.42578125" style="1215"/>
    <col min="13318" max="13318" width="8.85546875" style="1215" customWidth="1"/>
    <col min="13319" max="13319" width="50" style="1215" customWidth="1"/>
    <col min="13320" max="13320" width="6.42578125" style="1215" bestFit="1" customWidth="1"/>
    <col min="13321" max="13321" width="8.85546875" style="1215" customWidth="1"/>
    <col min="13322" max="13322" width="8.5703125" style="1215" customWidth="1"/>
    <col min="13323" max="13323" width="11.42578125" style="1215" bestFit="1" customWidth="1"/>
    <col min="13324" max="13324" width="7.85546875" style="1215" bestFit="1" customWidth="1"/>
    <col min="13325" max="13325" width="11.5703125" style="1215" bestFit="1" customWidth="1"/>
    <col min="13326" max="13326" width="8" style="1215" bestFit="1" customWidth="1"/>
    <col min="13327" max="13327" width="11.5703125" style="1215" bestFit="1" customWidth="1"/>
    <col min="13328" max="13328" width="8.140625" style="1215" bestFit="1" customWidth="1"/>
    <col min="13329" max="13329" width="11.5703125" style="1215" bestFit="1" customWidth="1"/>
    <col min="13330" max="13330" width="8.42578125" style="1215" customWidth="1"/>
    <col min="13331" max="13331" width="7.42578125" style="1215" bestFit="1" customWidth="1"/>
    <col min="13332" max="13332" width="11.5703125" style="1215" bestFit="1" customWidth="1"/>
    <col min="13333" max="13333" width="8.140625" style="1215" customWidth="1"/>
    <col min="13334" max="13334" width="13" style="1215" bestFit="1" customWidth="1"/>
    <col min="13335" max="13573" width="11.42578125" style="1215"/>
    <col min="13574" max="13574" width="8.85546875" style="1215" customWidth="1"/>
    <col min="13575" max="13575" width="50" style="1215" customWidth="1"/>
    <col min="13576" max="13576" width="6.42578125" style="1215" bestFit="1" customWidth="1"/>
    <col min="13577" max="13577" width="8.85546875" style="1215" customWidth="1"/>
    <col min="13578" max="13578" width="8.5703125" style="1215" customWidth="1"/>
    <col min="13579" max="13579" width="11.42578125" style="1215" bestFit="1" customWidth="1"/>
    <col min="13580" max="13580" width="7.85546875" style="1215" bestFit="1" customWidth="1"/>
    <col min="13581" max="13581" width="11.5703125" style="1215" bestFit="1" customWidth="1"/>
    <col min="13582" max="13582" width="8" style="1215" bestFit="1" customWidth="1"/>
    <col min="13583" max="13583" width="11.5703125" style="1215" bestFit="1" customWidth="1"/>
    <col min="13584" max="13584" width="8.140625" style="1215" bestFit="1" customWidth="1"/>
    <col min="13585" max="13585" width="11.5703125" style="1215" bestFit="1" customWidth="1"/>
    <col min="13586" max="13586" width="8.42578125" style="1215" customWidth="1"/>
    <col min="13587" max="13587" width="7.42578125" style="1215" bestFit="1" customWidth="1"/>
    <col min="13588" max="13588" width="11.5703125" style="1215" bestFit="1" customWidth="1"/>
    <col min="13589" max="13589" width="8.140625" style="1215" customWidth="1"/>
    <col min="13590" max="13590" width="13" style="1215" bestFit="1" customWidth="1"/>
    <col min="13591" max="13829" width="11.42578125" style="1215"/>
    <col min="13830" max="13830" width="8.85546875" style="1215" customWidth="1"/>
    <col min="13831" max="13831" width="50" style="1215" customWidth="1"/>
    <col min="13832" max="13832" width="6.42578125" style="1215" bestFit="1" customWidth="1"/>
    <col min="13833" max="13833" width="8.85546875" style="1215" customWidth="1"/>
    <col min="13834" max="13834" width="8.5703125" style="1215" customWidth="1"/>
    <col min="13835" max="13835" width="11.42578125" style="1215" bestFit="1" customWidth="1"/>
    <col min="13836" max="13836" width="7.85546875" style="1215" bestFit="1" customWidth="1"/>
    <col min="13837" max="13837" width="11.5703125" style="1215" bestFit="1" customWidth="1"/>
    <col min="13838" max="13838" width="8" style="1215" bestFit="1" customWidth="1"/>
    <col min="13839" max="13839" width="11.5703125" style="1215" bestFit="1" customWidth="1"/>
    <col min="13840" max="13840" width="8.140625" style="1215" bestFit="1" customWidth="1"/>
    <col min="13841" max="13841" width="11.5703125" style="1215" bestFit="1" customWidth="1"/>
    <col min="13842" max="13842" width="8.42578125" style="1215" customWidth="1"/>
    <col min="13843" max="13843" width="7.42578125" style="1215" bestFit="1" customWidth="1"/>
    <col min="13844" max="13844" width="11.5703125" style="1215" bestFit="1" customWidth="1"/>
    <col min="13845" max="13845" width="8.140625" style="1215" customWidth="1"/>
    <col min="13846" max="13846" width="13" style="1215" bestFit="1" customWidth="1"/>
    <col min="13847" max="14085" width="11.42578125" style="1215"/>
    <col min="14086" max="14086" width="8.85546875" style="1215" customWidth="1"/>
    <col min="14087" max="14087" width="50" style="1215" customWidth="1"/>
    <col min="14088" max="14088" width="6.42578125" style="1215" bestFit="1" customWidth="1"/>
    <col min="14089" max="14089" width="8.85546875" style="1215" customWidth="1"/>
    <col min="14090" max="14090" width="8.5703125" style="1215" customWidth="1"/>
    <col min="14091" max="14091" width="11.42578125" style="1215" bestFit="1" customWidth="1"/>
    <col min="14092" max="14092" width="7.85546875" style="1215" bestFit="1" customWidth="1"/>
    <col min="14093" max="14093" width="11.5703125" style="1215" bestFit="1" customWidth="1"/>
    <col min="14094" max="14094" width="8" style="1215" bestFit="1" customWidth="1"/>
    <col min="14095" max="14095" width="11.5703125" style="1215" bestFit="1" customWidth="1"/>
    <col min="14096" max="14096" width="8.140625" style="1215" bestFit="1" customWidth="1"/>
    <col min="14097" max="14097" width="11.5703125" style="1215" bestFit="1" customWidth="1"/>
    <col min="14098" max="14098" width="8.42578125" style="1215" customWidth="1"/>
    <col min="14099" max="14099" width="7.42578125" style="1215" bestFit="1" customWidth="1"/>
    <col min="14100" max="14100" width="11.5703125" style="1215" bestFit="1" customWidth="1"/>
    <col min="14101" max="14101" width="8.140625" style="1215" customWidth="1"/>
    <col min="14102" max="14102" width="13" style="1215" bestFit="1" customWidth="1"/>
    <col min="14103" max="14341" width="11.42578125" style="1215"/>
    <col min="14342" max="14342" width="8.85546875" style="1215" customWidth="1"/>
    <col min="14343" max="14343" width="50" style="1215" customWidth="1"/>
    <col min="14344" max="14344" width="6.42578125" style="1215" bestFit="1" customWidth="1"/>
    <col min="14345" max="14345" width="8.85546875" style="1215" customWidth="1"/>
    <col min="14346" max="14346" width="8.5703125" style="1215" customWidth="1"/>
    <col min="14347" max="14347" width="11.42578125" style="1215" bestFit="1" customWidth="1"/>
    <col min="14348" max="14348" width="7.85546875" style="1215" bestFit="1" customWidth="1"/>
    <col min="14349" max="14349" width="11.5703125" style="1215" bestFit="1" customWidth="1"/>
    <col min="14350" max="14350" width="8" style="1215" bestFit="1" customWidth="1"/>
    <col min="14351" max="14351" width="11.5703125" style="1215" bestFit="1" customWidth="1"/>
    <col min="14352" max="14352" width="8.140625" style="1215" bestFit="1" customWidth="1"/>
    <col min="14353" max="14353" width="11.5703125" style="1215" bestFit="1" customWidth="1"/>
    <col min="14354" max="14354" width="8.42578125" style="1215" customWidth="1"/>
    <col min="14355" max="14355" width="7.42578125" style="1215" bestFit="1" customWidth="1"/>
    <col min="14356" max="14356" width="11.5703125" style="1215" bestFit="1" customWidth="1"/>
    <col min="14357" max="14357" width="8.140625" style="1215" customWidth="1"/>
    <col min="14358" max="14358" width="13" style="1215" bestFit="1" customWidth="1"/>
    <col min="14359" max="14597" width="11.42578125" style="1215"/>
    <col min="14598" max="14598" width="8.85546875" style="1215" customWidth="1"/>
    <col min="14599" max="14599" width="50" style="1215" customWidth="1"/>
    <col min="14600" max="14600" width="6.42578125" style="1215" bestFit="1" customWidth="1"/>
    <col min="14601" max="14601" width="8.85546875" style="1215" customWidth="1"/>
    <col min="14602" max="14602" width="8.5703125" style="1215" customWidth="1"/>
    <col min="14603" max="14603" width="11.42578125" style="1215" bestFit="1" customWidth="1"/>
    <col min="14604" max="14604" width="7.85546875" style="1215" bestFit="1" customWidth="1"/>
    <col min="14605" max="14605" width="11.5703125" style="1215" bestFit="1" customWidth="1"/>
    <col min="14606" max="14606" width="8" style="1215" bestFit="1" customWidth="1"/>
    <col min="14607" max="14607" width="11.5703125" style="1215" bestFit="1" customWidth="1"/>
    <col min="14608" max="14608" width="8.140625" style="1215" bestFit="1" customWidth="1"/>
    <col min="14609" max="14609" width="11.5703125" style="1215" bestFit="1" customWidth="1"/>
    <col min="14610" max="14610" width="8.42578125" style="1215" customWidth="1"/>
    <col min="14611" max="14611" width="7.42578125" style="1215" bestFit="1" customWidth="1"/>
    <col min="14612" max="14612" width="11.5703125" style="1215" bestFit="1" customWidth="1"/>
    <col min="14613" max="14613" width="8.140625" style="1215" customWidth="1"/>
    <col min="14614" max="14614" width="13" style="1215" bestFit="1" customWidth="1"/>
    <col min="14615" max="14853" width="11.42578125" style="1215"/>
    <col min="14854" max="14854" width="8.85546875" style="1215" customWidth="1"/>
    <col min="14855" max="14855" width="50" style="1215" customWidth="1"/>
    <col min="14856" max="14856" width="6.42578125" style="1215" bestFit="1" customWidth="1"/>
    <col min="14857" max="14857" width="8.85546875" style="1215" customWidth="1"/>
    <col min="14858" max="14858" width="8.5703125" style="1215" customWidth="1"/>
    <col min="14859" max="14859" width="11.42578125" style="1215" bestFit="1" customWidth="1"/>
    <col min="14860" max="14860" width="7.85546875" style="1215" bestFit="1" customWidth="1"/>
    <col min="14861" max="14861" width="11.5703125" style="1215" bestFit="1" customWidth="1"/>
    <col min="14862" max="14862" width="8" style="1215" bestFit="1" customWidth="1"/>
    <col min="14863" max="14863" width="11.5703125" style="1215" bestFit="1" customWidth="1"/>
    <col min="14864" max="14864" width="8.140625" style="1215" bestFit="1" customWidth="1"/>
    <col min="14865" max="14865" width="11.5703125" style="1215" bestFit="1" customWidth="1"/>
    <col min="14866" max="14866" width="8.42578125" style="1215" customWidth="1"/>
    <col min="14867" max="14867" width="7.42578125" style="1215" bestFit="1" customWidth="1"/>
    <col min="14868" max="14868" width="11.5703125" style="1215" bestFit="1" customWidth="1"/>
    <col min="14869" max="14869" width="8.140625" style="1215" customWidth="1"/>
    <col min="14870" max="14870" width="13" style="1215" bestFit="1" customWidth="1"/>
    <col min="14871" max="15109" width="11.42578125" style="1215"/>
    <col min="15110" max="15110" width="8.85546875" style="1215" customWidth="1"/>
    <col min="15111" max="15111" width="50" style="1215" customWidth="1"/>
    <col min="15112" max="15112" width="6.42578125" style="1215" bestFit="1" customWidth="1"/>
    <col min="15113" max="15113" width="8.85546875" style="1215" customWidth="1"/>
    <col min="15114" max="15114" width="8.5703125" style="1215" customWidth="1"/>
    <col min="15115" max="15115" width="11.42578125" style="1215" bestFit="1" customWidth="1"/>
    <col min="15116" max="15116" width="7.85546875" style="1215" bestFit="1" customWidth="1"/>
    <col min="15117" max="15117" width="11.5703125" style="1215" bestFit="1" customWidth="1"/>
    <col min="15118" max="15118" width="8" style="1215" bestFit="1" customWidth="1"/>
    <col min="15119" max="15119" width="11.5703125" style="1215" bestFit="1" customWidth="1"/>
    <col min="15120" max="15120" width="8.140625" style="1215" bestFit="1" customWidth="1"/>
    <col min="15121" max="15121" width="11.5703125" style="1215" bestFit="1" customWidth="1"/>
    <col min="15122" max="15122" width="8.42578125" style="1215" customWidth="1"/>
    <col min="15123" max="15123" width="7.42578125" style="1215" bestFit="1" customWidth="1"/>
    <col min="15124" max="15124" width="11.5703125" style="1215" bestFit="1" customWidth="1"/>
    <col min="15125" max="15125" width="8.140625" style="1215" customWidth="1"/>
    <col min="15126" max="15126" width="13" style="1215" bestFit="1" customWidth="1"/>
    <col min="15127" max="15365" width="11.42578125" style="1215"/>
    <col min="15366" max="15366" width="8.85546875" style="1215" customWidth="1"/>
    <col min="15367" max="15367" width="50" style="1215" customWidth="1"/>
    <col min="15368" max="15368" width="6.42578125" style="1215" bestFit="1" customWidth="1"/>
    <col min="15369" max="15369" width="8.85546875" style="1215" customWidth="1"/>
    <col min="15370" max="15370" width="8.5703125" style="1215" customWidth="1"/>
    <col min="15371" max="15371" width="11.42578125" style="1215" bestFit="1" customWidth="1"/>
    <col min="15372" max="15372" width="7.85546875" style="1215" bestFit="1" customWidth="1"/>
    <col min="15373" max="15373" width="11.5703125" style="1215" bestFit="1" customWidth="1"/>
    <col min="15374" max="15374" width="8" style="1215" bestFit="1" customWidth="1"/>
    <col min="15375" max="15375" width="11.5703125" style="1215" bestFit="1" customWidth="1"/>
    <col min="15376" max="15376" width="8.140625" style="1215" bestFit="1" customWidth="1"/>
    <col min="15377" max="15377" width="11.5703125" style="1215" bestFit="1" customWidth="1"/>
    <col min="15378" max="15378" width="8.42578125" style="1215" customWidth="1"/>
    <col min="15379" max="15379" width="7.42578125" style="1215" bestFit="1" customWidth="1"/>
    <col min="15380" max="15380" width="11.5703125" style="1215" bestFit="1" customWidth="1"/>
    <col min="15381" max="15381" width="8.140625" style="1215" customWidth="1"/>
    <col min="15382" max="15382" width="13" style="1215" bestFit="1" customWidth="1"/>
    <col min="15383" max="15621" width="11.42578125" style="1215"/>
    <col min="15622" max="15622" width="8.85546875" style="1215" customWidth="1"/>
    <col min="15623" max="15623" width="50" style="1215" customWidth="1"/>
    <col min="15624" max="15624" width="6.42578125" style="1215" bestFit="1" customWidth="1"/>
    <col min="15625" max="15625" width="8.85546875" style="1215" customWidth="1"/>
    <col min="15626" max="15626" width="8.5703125" style="1215" customWidth="1"/>
    <col min="15627" max="15627" width="11.42578125" style="1215" bestFit="1" customWidth="1"/>
    <col min="15628" max="15628" width="7.85546875" style="1215" bestFit="1" customWidth="1"/>
    <col min="15629" max="15629" width="11.5703125" style="1215" bestFit="1" customWidth="1"/>
    <col min="15630" max="15630" width="8" style="1215" bestFit="1" customWidth="1"/>
    <col min="15631" max="15631" width="11.5703125" style="1215" bestFit="1" customWidth="1"/>
    <col min="15632" max="15632" width="8.140625" style="1215" bestFit="1" customWidth="1"/>
    <col min="15633" max="15633" width="11.5703125" style="1215" bestFit="1" customWidth="1"/>
    <col min="15634" max="15634" width="8.42578125" style="1215" customWidth="1"/>
    <col min="15635" max="15635" width="7.42578125" style="1215" bestFit="1" customWidth="1"/>
    <col min="15636" max="15636" width="11.5703125" style="1215" bestFit="1" customWidth="1"/>
    <col min="15637" max="15637" width="8.140625" style="1215" customWidth="1"/>
    <col min="15638" max="15638" width="13" style="1215" bestFit="1" customWidth="1"/>
    <col min="15639" max="15877" width="11.42578125" style="1215"/>
    <col min="15878" max="15878" width="8.85546875" style="1215" customWidth="1"/>
    <col min="15879" max="15879" width="50" style="1215" customWidth="1"/>
    <col min="15880" max="15880" width="6.42578125" style="1215" bestFit="1" customWidth="1"/>
    <col min="15881" max="15881" width="8.85546875" style="1215" customWidth="1"/>
    <col min="15882" max="15882" width="8.5703125" style="1215" customWidth="1"/>
    <col min="15883" max="15883" width="11.42578125" style="1215" bestFit="1" customWidth="1"/>
    <col min="15884" max="15884" width="7.85546875" style="1215" bestFit="1" customWidth="1"/>
    <col min="15885" max="15885" width="11.5703125" style="1215" bestFit="1" customWidth="1"/>
    <col min="15886" max="15886" width="8" style="1215" bestFit="1" customWidth="1"/>
    <col min="15887" max="15887" width="11.5703125" style="1215" bestFit="1" customWidth="1"/>
    <col min="15888" max="15888" width="8.140625" style="1215" bestFit="1" customWidth="1"/>
    <col min="15889" max="15889" width="11.5703125" style="1215" bestFit="1" customWidth="1"/>
    <col min="15890" max="15890" width="8.42578125" style="1215" customWidth="1"/>
    <col min="15891" max="15891" width="7.42578125" style="1215" bestFit="1" customWidth="1"/>
    <col min="15892" max="15892" width="11.5703125" style="1215" bestFit="1" customWidth="1"/>
    <col min="15893" max="15893" width="8.140625" style="1215" customWidth="1"/>
    <col min="15894" max="15894" width="13" style="1215" bestFit="1" customWidth="1"/>
    <col min="15895" max="16133" width="11.42578125" style="1215"/>
    <col min="16134" max="16134" width="8.85546875" style="1215" customWidth="1"/>
    <col min="16135" max="16135" width="50" style="1215" customWidth="1"/>
    <col min="16136" max="16136" width="6.42578125" style="1215" bestFit="1" customWidth="1"/>
    <col min="16137" max="16137" width="8.85546875" style="1215" customWidth="1"/>
    <col min="16138" max="16138" width="8.5703125" style="1215" customWidth="1"/>
    <col min="16139" max="16139" width="11.42578125" style="1215" bestFit="1" customWidth="1"/>
    <col min="16140" max="16140" width="7.85546875" style="1215" bestFit="1" customWidth="1"/>
    <col min="16141" max="16141" width="11.5703125" style="1215" bestFit="1" customWidth="1"/>
    <col min="16142" max="16142" width="8" style="1215" bestFit="1" customWidth="1"/>
    <col min="16143" max="16143" width="11.5703125" style="1215" bestFit="1" customWidth="1"/>
    <col min="16144" max="16144" width="8.140625" style="1215" bestFit="1" customWidth="1"/>
    <col min="16145" max="16145" width="11.5703125" style="1215" bestFit="1" customWidth="1"/>
    <col min="16146" max="16146" width="8.42578125" style="1215" customWidth="1"/>
    <col min="16147" max="16147" width="7.42578125" style="1215" bestFit="1" customWidth="1"/>
    <col min="16148" max="16148" width="11.5703125" style="1215" bestFit="1" customWidth="1"/>
    <col min="16149" max="16149" width="8.140625" style="1215" customWidth="1"/>
    <col min="16150" max="16150" width="13" style="1215" bestFit="1" customWidth="1"/>
    <col min="16151" max="16384" width="11.42578125" style="1215"/>
  </cols>
  <sheetData>
    <row r="1" spans="1:25" s="1736" customFormat="1" ht="15.75">
      <c r="B1" s="3198" t="s">
        <v>12</v>
      </c>
      <c r="C1" s="3198"/>
      <c r="D1" s="3198"/>
      <c r="E1" s="3198"/>
      <c r="F1" s="3198"/>
      <c r="G1" s="3198"/>
      <c r="H1" s="3198"/>
      <c r="I1" s="3198"/>
      <c r="J1" s="3198"/>
      <c r="K1" s="3198"/>
      <c r="L1" s="3198"/>
      <c r="M1" s="3198"/>
      <c r="N1" s="3198"/>
      <c r="O1" s="3198"/>
      <c r="P1" s="3198"/>
      <c r="Q1" s="3198"/>
      <c r="R1" s="3198"/>
      <c r="S1" s="3198"/>
      <c r="W1" s="1737"/>
    </row>
    <row r="2" spans="1:25" s="1736" customFormat="1" ht="15.75">
      <c r="B2" s="3198" t="s">
        <v>4413</v>
      </c>
      <c r="C2" s="3198"/>
      <c r="D2" s="3198"/>
      <c r="E2" s="3198"/>
      <c r="F2" s="3198"/>
      <c r="G2" s="3198"/>
      <c r="H2" s="3198"/>
      <c r="I2" s="3198"/>
      <c r="J2" s="3198"/>
      <c r="K2" s="3198"/>
      <c r="L2" s="3198"/>
      <c r="M2" s="3198"/>
      <c r="N2" s="3198"/>
      <c r="O2" s="3198"/>
      <c r="P2" s="3198"/>
      <c r="Q2" s="3198"/>
      <c r="R2" s="3198"/>
      <c r="S2" s="3198"/>
      <c r="W2" s="1737"/>
    </row>
    <row r="3" spans="1:25" s="1736" customFormat="1" ht="15.75">
      <c r="B3" s="3198" t="s">
        <v>4388</v>
      </c>
      <c r="C3" s="3198"/>
      <c r="D3" s="3198"/>
      <c r="E3" s="3198"/>
      <c r="F3" s="3198"/>
      <c r="G3" s="3198"/>
      <c r="H3" s="3198"/>
      <c r="I3" s="3198"/>
      <c r="J3" s="3198"/>
      <c r="K3" s="3198"/>
      <c r="L3" s="3198"/>
      <c r="M3" s="3198"/>
      <c r="N3" s="3198"/>
      <c r="O3" s="3198"/>
      <c r="P3" s="3198"/>
      <c r="Q3" s="3198"/>
      <c r="R3" s="3198"/>
      <c r="S3" s="3198"/>
      <c r="W3" s="1737"/>
    </row>
    <row r="4" spans="1:25" s="1231" customFormat="1" ht="28.35" customHeight="1">
      <c r="B4" s="1346"/>
      <c r="C4" s="1738" t="s">
        <v>6</v>
      </c>
      <c r="D4" s="1430" t="s">
        <v>4</v>
      </c>
      <c r="E4" s="3199" t="s">
        <v>2826</v>
      </c>
      <c r="F4" s="3199"/>
      <c r="G4" s="3199"/>
      <c r="H4" s="3199"/>
      <c r="I4" s="3199"/>
      <c r="J4" s="3199"/>
      <c r="K4" s="3199"/>
      <c r="L4" s="3199"/>
      <c r="M4" s="3199"/>
      <c r="N4" s="3199"/>
      <c r="O4" s="3199"/>
      <c r="P4" s="1429" t="s">
        <v>13</v>
      </c>
      <c r="Q4" s="1739"/>
      <c r="R4" s="3200">
        <v>44681</v>
      </c>
      <c r="S4" s="3200"/>
    </row>
    <row r="5" spans="1:25" s="1231" customFormat="1">
      <c r="B5" s="1347"/>
      <c r="C5" s="1740" t="s">
        <v>5</v>
      </c>
      <c r="D5" s="1431" t="s">
        <v>4</v>
      </c>
      <c r="E5" s="1741" t="s">
        <v>532</v>
      </c>
      <c r="F5" s="1347"/>
      <c r="G5" s="1347"/>
      <c r="H5" s="1347"/>
      <c r="I5" s="1347"/>
      <c r="J5" s="1347"/>
      <c r="K5" s="1346"/>
      <c r="L5" s="1347"/>
      <c r="M5" s="1346"/>
      <c r="N5" s="1346"/>
      <c r="O5" s="1346"/>
      <c r="P5" s="1347" t="s">
        <v>14</v>
      </c>
      <c r="R5" s="1347"/>
      <c r="S5" s="1742" t="s">
        <v>535</v>
      </c>
    </row>
    <row r="6" spans="1:25" s="1231" customFormat="1">
      <c r="C6" s="1740" t="s">
        <v>15</v>
      </c>
      <c r="D6" s="1431" t="s">
        <v>4</v>
      </c>
      <c r="E6" s="1741" t="s">
        <v>3663</v>
      </c>
      <c r="J6" s="1346"/>
      <c r="K6" s="1346"/>
      <c r="L6" s="1346"/>
      <c r="M6" s="1346"/>
      <c r="N6" s="1346"/>
      <c r="O6" s="1346"/>
      <c r="P6" s="1347" t="s">
        <v>16</v>
      </c>
      <c r="S6" s="1742" t="s">
        <v>535</v>
      </c>
    </row>
    <row r="7" spans="1:25" s="1231" customFormat="1">
      <c r="C7" s="1740" t="s">
        <v>17</v>
      </c>
      <c r="D7" s="1431" t="s">
        <v>4</v>
      </c>
      <c r="E7" s="1741" t="s">
        <v>11</v>
      </c>
      <c r="J7" s="1346"/>
      <c r="K7" s="1346"/>
      <c r="L7" s="1346"/>
      <c r="M7" s="1431"/>
      <c r="N7" s="1431"/>
      <c r="O7" s="1346"/>
      <c r="P7" s="1347" t="s">
        <v>18</v>
      </c>
      <c r="R7" s="1743"/>
      <c r="S7" s="1742" t="s">
        <v>10</v>
      </c>
    </row>
    <row r="8" spans="1:25" s="1231" customFormat="1">
      <c r="C8" s="1740" t="s">
        <v>19</v>
      </c>
      <c r="D8" s="1431" t="s">
        <v>4</v>
      </c>
      <c r="E8" s="1744">
        <v>2022</v>
      </c>
      <c r="J8" s="1346"/>
      <c r="K8" s="1346"/>
      <c r="L8" s="1346"/>
      <c r="M8" s="1346"/>
      <c r="N8" s="1431"/>
      <c r="O8" s="1745"/>
      <c r="P8" s="1346"/>
    </row>
    <row r="9" spans="1:25" s="1231" customFormat="1" ht="14.25" thickBot="1">
      <c r="C9" s="1746"/>
      <c r="D9" s="1346"/>
      <c r="E9" s="1230"/>
      <c r="F9" s="1230"/>
      <c r="G9" s="1230"/>
      <c r="H9" s="1230"/>
      <c r="I9" s="1230"/>
      <c r="J9" s="1346"/>
      <c r="K9" s="1346"/>
      <c r="L9" s="1346"/>
      <c r="M9" s="1346"/>
      <c r="N9" s="1346"/>
      <c r="O9" s="1346"/>
      <c r="P9" s="1346"/>
      <c r="W9" s="1346"/>
    </row>
    <row r="10" spans="1:25" ht="14.25" thickBot="1">
      <c r="B10" s="3038" t="s">
        <v>20</v>
      </c>
      <c r="C10" s="3038" t="s">
        <v>21</v>
      </c>
      <c r="D10" s="3167" t="s">
        <v>22</v>
      </c>
      <c r="E10" s="3170" t="s">
        <v>23</v>
      </c>
      <c r="F10" s="3171"/>
      <c r="G10" s="3171"/>
      <c r="H10" s="3172"/>
      <c r="I10" s="2517"/>
      <c r="J10" s="3176" t="s">
        <v>24</v>
      </c>
      <c r="K10" s="3177"/>
      <c r="L10" s="3196"/>
      <c r="M10" s="3197"/>
      <c r="N10" s="3177"/>
      <c r="O10" s="3177"/>
      <c r="P10" s="3178"/>
      <c r="Q10" s="3170" t="s">
        <v>25</v>
      </c>
      <c r="R10" s="3171"/>
      <c r="S10" s="3172"/>
    </row>
    <row r="11" spans="1:25" ht="14.25" thickBot="1">
      <c r="B11" s="3039"/>
      <c r="C11" s="3039"/>
      <c r="D11" s="3168"/>
      <c r="E11" s="3173"/>
      <c r="F11" s="3174"/>
      <c r="G11" s="3174"/>
      <c r="H11" s="3175"/>
      <c r="I11" s="2518"/>
      <c r="J11" s="3176" t="s">
        <v>26</v>
      </c>
      <c r="K11" s="3178"/>
      <c r="L11" s="3176" t="s">
        <v>27</v>
      </c>
      <c r="M11" s="3178"/>
      <c r="N11" s="3176" t="s">
        <v>28</v>
      </c>
      <c r="O11" s="3177"/>
      <c r="P11" s="3178"/>
      <c r="Q11" s="3173"/>
      <c r="R11" s="3174"/>
      <c r="S11" s="3175"/>
    </row>
    <row r="12" spans="1:25" ht="14.25" thickBot="1">
      <c r="B12" s="3039"/>
      <c r="C12" s="3039"/>
      <c r="D12" s="3168"/>
      <c r="E12" s="3038" t="s">
        <v>29</v>
      </c>
      <c r="F12" s="3038" t="s">
        <v>30</v>
      </c>
      <c r="G12" s="3184" t="s">
        <v>3924</v>
      </c>
      <c r="H12" s="3201" t="s">
        <v>3923</v>
      </c>
      <c r="I12" s="3184" t="s">
        <v>3925</v>
      </c>
      <c r="J12" s="3038" t="s">
        <v>3</v>
      </c>
      <c r="K12" s="3038" t="s">
        <v>32</v>
      </c>
      <c r="L12" s="3038" t="s">
        <v>3</v>
      </c>
      <c r="M12" s="3038" t="s">
        <v>32</v>
      </c>
      <c r="N12" s="3038" t="s">
        <v>3</v>
      </c>
      <c r="O12" s="3038" t="s">
        <v>32</v>
      </c>
      <c r="P12" s="3038" t="s">
        <v>0</v>
      </c>
      <c r="Q12" s="3038" t="s">
        <v>3</v>
      </c>
      <c r="R12" s="3186" t="s">
        <v>32</v>
      </c>
      <c r="S12" s="3038" t="s">
        <v>0</v>
      </c>
      <c r="W12" s="3188" t="s">
        <v>3613</v>
      </c>
      <c r="X12" s="3189"/>
      <c r="Y12" s="3190"/>
    </row>
    <row r="13" spans="1:25" ht="14.25" thickBot="1">
      <c r="B13" s="3040"/>
      <c r="C13" s="3040"/>
      <c r="D13" s="3169"/>
      <c r="E13" s="3040"/>
      <c r="F13" s="3040"/>
      <c r="G13" s="3185"/>
      <c r="H13" s="3202"/>
      <c r="I13" s="3185"/>
      <c r="J13" s="3040"/>
      <c r="K13" s="3040"/>
      <c r="L13" s="3040"/>
      <c r="M13" s="3040"/>
      <c r="N13" s="3040"/>
      <c r="O13" s="3040"/>
      <c r="P13" s="3040"/>
      <c r="Q13" s="3040"/>
      <c r="R13" s="3187"/>
      <c r="S13" s="3040"/>
    </row>
    <row r="14" spans="1:25" ht="9" customHeight="1">
      <c r="B14" s="1354"/>
      <c r="C14" s="1355"/>
      <c r="D14" s="1356"/>
      <c r="E14" s="1354"/>
      <c r="F14" s="1355"/>
      <c r="G14" s="1355"/>
      <c r="H14" s="1585"/>
      <c r="I14" s="1355"/>
      <c r="J14" s="1354"/>
      <c r="K14" s="1356"/>
      <c r="L14" s="1356"/>
      <c r="M14" s="1356"/>
      <c r="N14" s="1354"/>
      <c r="O14" s="1355"/>
      <c r="P14" s="1585"/>
      <c r="Q14" s="1354"/>
      <c r="R14" s="1747"/>
      <c r="S14" s="1585"/>
    </row>
    <row r="15" spans="1:25" s="1423" customFormat="1">
      <c r="A15" s="1423" t="s">
        <v>3619</v>
      </c>
      <c r="B15" s="1793" t="s">
        <v>42</v>
      </c>
      <c r="C15" s="1794" t="s">
        <v>1153</v>
      </c>
      <c r="D15" s="1765"/>
      <c r="E15" s="1766"/>
      <c r="F15" s="1766"/>
      <c r="G15" s="1767"/>
      <c r="H15" s="1781">
        <f t="shared" ref="H15:H18" si="0">ROUND(E15*F15,2)</f>
        <v>0</v>
      </c>
      <c r="I15" s="1781">
        <f t="shared" ref="I15:I18" si="1">ROUND(E15*G15,2)</f>
        <v>0</v>
      </c>
      <c r="J15" s="1795"/>
      <c r="K15" s="1785"/>
      <c r="L15" s="1772"/>
      <c r="M15" s="1783"/>
      <c r="N15" s="1765"/>
      <c r="O15" s="1787"/>
      <c r="P15" s="1788"/>
      <c r="Q15" s="1789"/>
      <c r="R15" s="1790"/>
      <c r="S15" s="1791"/>
      <c r="T15" s="1630">
        <f t="shared" ref="T15:T18" si="2">+R15+O15</f>
        <v>0</v>
      </c>
      <c r="U15" s="1630">
        <f t="shared" ref="U15:U18" si="3">+H15</f>
        <v>0</v>
      </c>
      <c r="V15" s="1630">
        <f t="shared" ref="V15:V18" si="4">+U15-T15</f>
        <v>0</v>
      </c>
      <c r="W15" s="1629"/>
    </row>
    <row r="16" spans="1:25" s="1423" customFormat="1">
      <c r="A16" s="1423" t="s">
        <v>3619</v>
      </c>
      <c r="B16" s="1799" t="s">
        <v>52</v>
      </c>
      <c r="C16" s="1764" t="s">
        <v>2928</v>
      </c>
      <c r="D16" s="1765"/>
      <c r="E16" s="1766"/>
      <c r="F16" s="1766"/>
      <c r="G16" s="1767"/>
      <c r="H16" s="1781">
        <f t="shared" si="0"/>
        <v>0</v>
      </c>
      <c r="I16" s="1781">
        <f t="shared" si="1"/>
        <v>0</v>
      </c>
      <c r="J16" s="1766"/>
      <c r="K16" s="1785"/>
      <c r="L16" s="1782"/>
      <c r="M16" s="1783"/>
      <c r="N16" s="1765"/>
      <c r="O16" s="1787"/>
      <c r="P16" s="1788"/>
      <c r="Q16" s="1789"/>
      <c r="R16" s="1790"/>
      <c r="S16" s="1791"/>
      <c r="T16" s="1630">
        <f t="shared" si="2"/>
        <v>0</v>
      </c>
      <c r="U16" s="1630">
        <f t="shared" si="3"/>
        <v>0</v>
      </c>
      <c r="V16" s="1630">
        <f t="shared" si="4"/>
        <v>0</v>
      </c>
      <c r="W16" s="1629"/>
    </row>
    <row r="17" spans="2:24" s="1423" customFormat="1">
      <c r="B17" s="1800" t="s">
        <v>2339</v>
      </c>
      <c r="C17" s="1797" t="s">
        <v>2975</v>
      </c>
      <c r="D17" s="1765"/>
      <c r="E17" s="1766"/>
      <c r="F17" s="1766"/>
      <c r="G17" s="1767"/>
      <c r="H17" s="1781">
        <f t="shared" si="0"/>
        <v>0</v>
      </c>
      <c r="I17" s="1781">
        <f t="shared" si="1"/>
        <v>0</v>
      </c>
      <c r="J17" s="1766"/>
      <c r="K17" s="1785"/>
      <c r="L17" s="1782"/>
      <c r="M17" s="1783"/>
      <c r="N17" s="1765"/>
      <c r="O17" s="1787"/>
      <c r="P17" s="1788"/>
      <c r="Q17" s="1789"/>
      <c r="R17" s="1790"/>
      <c r="S17" s="1791"/>
      <c r="T17" s="1630">
        <f t="shared" si="2"/>
        <v>0</v>
      </c>
      <c r="U17" s="1630">
        <f t="shared" si="3"/>
        <v>0</v>
      </c>
      <c r="V17" s="1630">
        <f t="shared" si="4"/>
        <v>0</v>
      </c>
      <c r="W17" s="1629"/>
    </row>
    <row r="18" spans="2:24" s="1410" customFormat="1" ht="14.25" thickBot="1">
      <c r="B18" s="1796" t="s">
        <v>2343</v>
      </c>
      <c r="C18" s="1778" t="s">
        <v>4414</v>
      </c>
      <c r="D18" s="1420" t="s">
        <v>36</v>
      </c>
      <c r="E18" s="1779">
        <v>834.25</v>
      </c>
      <c r="F18" s="1779">
        <v>20.49</v>
      </c>
      <c r="G18" s="1780">
        <v>20.49</v>
      </c>
      <c r="H18" s="1781">
        <f t="shared" si="0"/>
        <v>17093.78</v>
      </c>
      <c r="I18" s="1781">
        <f t="shared" si="1"/>
        <v>17093.78</v>
      </c>
      <c r="J18" s="1766">
        <v>0</v>
      </c>
      <c r="K18" s="1232">
        <v>0</v>
      </c>
      <c r="L18" s="1782">
        <v>834.25</v>
      </c>
      <c r="M18" s="1783">
        <f>L18*G18</f>
        <v>17093.782499999998</v>
      </c>
      <c r="N18" s="1420">
        <f t="shared" ref="N18" si="5">J18+L18</f>
        <v>834.25</v>
      </c>
      <c r="O18" s="1363">
        <f t="shared" ref="O18" si="6">N18*G18</f>
        <v>17093.782499999998</v>
      </c>
      <c r="P18" s="1784">
        <f>+IF(D18=0,"",O18/I18)</f>
        <v>1.0000001462520285</v>
      </c>
      <c r="Q18" s="1421">
        <f>E18-N18</f>
        <v>0</v>
      </c>
      <c r="R18" s="1234">
        <f>ROUND((Q18*G18),2)</f>
        <v>0</v>
      </c>
      <c r="S18" s="1422">
        <f>+IF(I18=0,"",R18/I18)</f>
        <v>0</v>
      </c>
      <c r="T18" s="1418">
        <f t="shared" si="2"/>
        <v>17093.782499999998</v>
      </c>
      <c r="U18" s="1418">
        <f t="shared" si="3"/>
        <v>17093.78</v>
      </c>
      <c r="V18" s="1418">
        <f t="shared" si="4"/>
        <v>-2.4999999986903276E-3</v>
      </c>
      <c r="W18" s="1428"/>
    </row>
    <row r="19" spans="2:24" s="561" customFormat="1" ht="12.75">
      <c r="B19" s="1253"/>
      <c r="C19" s="1325" t="s">
        <v>59</v>
      </c>
      <c r="D19" s="1326"/>
      <c r="E19" s="1326"/>
      <c r="F19" s="1326"/>
      <c r="G19" s="1326"/>
      <c r="H19" s="2123">
        <f>(SUM(H15:H18))</f>
        <v>17093.78</v>
      </c>
      <c r="I19" s="2124">
        <f>(SUM(I15:I18))</f>
        <v>17093.78</v>
      </c>
      <c r="J19" s="2125">
        <f>+K19/I19</f>
        <v>0</v>
      </c>
      <c r="K19" s="1328">
        <f>SUM(K15:K18)</f>
        <v>0</v>
      </c>
      <c r="L19" s="1802">
        <f>M19/I19</f>
        <v>1.0000001462520285</v>
      </c>
      <c r="M19" s="1424">
        <f>SUM(M15:M18)</f>
        <v>17093.782499999998</v>
      </c>
      <c r="N19" s="1329">
        <f>+O19/I19</f>
        <v>1.0000007312601424</v>
      </c>
      <c r="O19" s="1328">
        <f>SUM(O15:O18)+0.01</f>
        <v>17093.792499999996</v>
      </c>
      <c r="P19" s="1329"/>
      <c r="Q19" s="1254"/>
      <c r="R19" s="1327">
        <f>SUM(R15:R18)</f>
        <v>0</v>
      </c>
      <c r="S19" s="1373">
        <f>+R19/I19</f>
        <v>0</v>
      </c>
      <c r="T19" s="562">
        <f>+R19+O19</f>
        <v>17093.792499999996</v>
      </c>
      <c r="U19" s="562"/>
      <c r="V19" s="562"/>
      <c r="W19" s="1348">
        <f>+H19</f>
        <v>17093.78</v>
      </c>
      <c r="X19" s="562">
        <f>+T19-W19</f>
        <v>1.2499999997089617E-2</v>
      </c>
    </row>
    <row r="20" spans="2:24" s="49" customFormat="1" ht="12.75">
      <c r="B20" s="1669"/>
      <c r="C20" s="1670" t="s">
        <v>256</v>
      </c>
      <c r="D20" s="1671"/>
      <c r="E20" s="1672"/>
      <c r="F20" s="1672"/>
      <c r="G20" s="1672"/>
      <c r="H20" s="2126"/>
      <c r="I20" s="1673">
        <v>0</v>
      </c>
      <c r="J20" s="1408"/>
      <c r="K20" s="1408">
        <f>+J19*I20</f>
        <v>0</v>
      </c>
      <c r="L20" s="1804"/>
      <c r="M20" s="1332">
        <f>+L19*I20</f>
        <v>0</v>
      </c>
      <c r="N20" s="1674"/>
      <c r="O20" s="1408">
        <f t="shared" ref="O20:O21" si="7">K20+M20</f>
        <v>0</v>
      </c>
      <c r="P20" s="1674"/>
      <c r="Q20" s="1805"/>
      <c r="R20" s="1673">
        <f>I20-O20</f>
        <v>0</v>
      </c>
      <c r="S20" s="1677"/>
      <c r="T20" s="1678"/>
      <c r="U20" s="1678"/>
      <c r="V20" s="1678"/>
      <c r="W20" s="524"/>
    </row>
    <row r="21" spans="2:24" s="561" customFormat="1" ht="12.75">
      <c r="B21" s="1255"/>
      <c r="C21" s="1335" t="s">
        <v>1816</v>
      </c>
      <c r="D21" s="1336"/>
      <c r="E21" s="1330"/>
      <c r="F21" s="1330"/>
      <c r="G21" s="1330"/>
      <c r="H21" s="2127"/>
      <c r="I21" s="1331">
        <v>0</v>
      </c>
      <c r="J21" s="1332"/>
      <c r="K21" s="1408">
        <f>+J19*I21</f>
        <v>0</v>
      </c>
      <c r="L21" s="1806"/>
      <c r="M21" s="1332">
        <f>+L19*I21</f>
        <v>0</v>
      </c>
      <c r="N21" s="1333"/>
      <c r="O21" s="1332">
        <f t="shared" si="7"/>
        <v>0</v>
      </c>
      <c r="P21" s="1333"/>
      <c r="Q21" s="1275"/>
      <c r="R21" s="1331">
        <f>I21-O21</f>
        <v>0</v>
      </c>
      <c r="S21" s="1334"/>
      <c r="T21" s="562"/>
      <c r="U21" s="562"/>
      <c r="V21" s="562"/>
      <c r="W21" s="1348"/>
    </row>
    <row r="22" spans="2:24" s="561" customFormat="1" ht="12.75">
      <c r="B22" s="1255"/>
      <c r="C22" s="1337" t="s">
        <v>3567</v>
      </c>
      <c r="D22" s="1338"/>
      <c r="E22" s="1338"/>
      <c r="F22" s="1338"/>
      <c r="G22" s="1338"/>
      <c r="H22" s="2127"/>
      <c r="I22" s="1339">
        <f>ROUND(SUM(I19:I21),2)</f>
        <v>17093.78</v>
      </c>
      <c r="J22" s="1340"/>
      <c r="K22" s="1340">
        <f>SUM(K19:K21)</f>
        <v>0</v>
      </c>
      <c r="L22" s="1807"/>
      <c r="M22" s="1340">
        <f>SUM(M19:M21)</f>
        <v>17093.782499999998</v>
      </c>
      <c r="N22" s="1339"/>
      <c r="O22" s="1340">
        <f>SUM(O19:O21)</f>
        <v>17093.792499999996</v>
      </c>
      <c r="P22" s="1243"/>
      <c r="Q22" s="1339"/>
      <c r="R22" s="1341">
        <f>SUM(R19:R21)</f>
        <v>0</v>
      </c>
      <c r="S22" s="1342"/>
      <c r="T22" s="562" t="e">
        <f>+#REF!-R19</f>
        <v>#REF!</v>
      </c>
      <c r="U22" s="562"/>
      <c r="V22" s="562"/>
      <c r="W22" s="1348"/>
    </row>
    <row r="23" spans="2:24" s="1229" customFormat="1" ht="14.25" thickBot="1">
      <c r="B23" s="1256"/>
      <c r="C23" s="1808" t="s">
        <v>61</v>
      </c>
      <c r="D23" s="1257"/>
      <c r="E23" s="1257"/>
      <c r="F23" s="1257"/>
      <c r="G23" s="1257"/>
      <c r="H23" s="2128"/>
      <c r="I23" s="1258">
        <f>SUM(I22:I22)</f>
        <v>17093.78</v>
      </c>
      <c r="J23" s="1261">
        <f>+K23/I23</f>
        <v>0</v>
      </c>
      <c r="K23" s="1259">
        <f>SUM(K22:K22)</f>
        <v>0</v>
      </c>
      <c r="L23" s="1681">
        <f>M23/I23</f>
        <v>1.0000001462520285</v>
      </c>
      <c r="M23" s="1426">
        <f>SUM(M22:M22)</f>
        <v>17093.782499999998</v>
      </c>
      <c r="N23" s="1261">
        <f>O23/I23</f>
        <v>1.0000007312601424</v>
      </c>
      <c r="O23" s="1259">
        <f>SUM(O22:O22)</f>
        <v>17093.792499999996</v>
      </c>
      <c r="P23" s="1261"/>
      <c r="Q23" s="1260"/>
      <c r="R23" s="1258">
        <f>ROUND(SUM(R22:R22),2)</f>
        <v>0</v>
      </c>
      <c r="S23" s="1684">
        <f>+R23/I23</f>
        <v>0</v>
      </c>
      <c r="T23" s="562">
        <f>+I23</f>
        <v>17093.78</v>
      </c>
      <c r="U23" s="562"/>
      <c r="V23" s="562"/>
      <c r="W23" s="1348">
        <f>+O23+R23</f>
        <v>17093.792499999996</v>
      </c>
      <c r="X23" s="562">
        <f>+T23-W23</f>
        <v>-1.2499999997089617E-2</v>
      </c>
    </row>
    <row r="24" spans="2:24" s="561" customFormat="1" ht="12.75" hidden="1">
      <c r="B24" s="1244"/>
      <c r="C24" s="1246"/>
      <c r="D24" s="1247"/>
      <c r="E24" s="1248"/>
      <c r="F24" s="1249"/>
      <c r="G24" s="1249"/>
      <c r="H24" s="1250"/>
      <c r="I24" s="1250"/>
      <c r="J24" s="1251"/>
      <c r="K24" s="1252"/>
      <c r="L24" s="1685"/>
      <c r="M24" s="1427"/>
      <c r="N24" s="1247"/>
      <c r="O24" s="1251"/>
      <c r="P24" s="1251"/>
      <c r="Q24" s="1249"/>
      <c r="R24" s="1246"/>
      <c r="S24" s="1246"/>
      <c r="T24" s="562"/>
      <c r="U24" s="562"/>
      <c r="V24" s="562"/>
      <c r="W24" s="1173"/>
    </row>
    <row r="25" spans="2:24" s="561" customFormat="1" ht="12.75" hidden="1">
      <c r="B25" s="1688"/>
      <c r="C25" s="1689"/>
      <c r="D25" s="638"/>
      <c r="E25" s="1690"/>
      <c r="F25" s="1809"/>
      <c r="G25" s="1809"/>
      <c r="H25" s="1691"/>
      <c r="I25" s="1691"/>
      <c r="J25" s="1692"/>
      <c r="K25" s="638"/>
      <c r="L25" s="1693"/>
      <c r="M25" s="2515"/>
      <c r="N25" s="638"/>
      <c r="O25" s="1692"/>
      <c r="P25" s="1692"/>
      <c r="Q25" s="1809"/>
      <c r="R25" s="1689"/>
      <c r="S25" s="1689"/>
      <c r="W25" s="1173"/>
    </row>
    <row r="26" spans="2:24" s="561" customFormat="1" hidden="1">
      <c r="B26" s="1695"/>
      <c r="C26" s="1696"/>
      <c r="D26" s="3191" t="s">
        <v>62</v>
      </c>
      <c r="E26" s="3192"/>
      <c r="F26" s="3192"/>
      <c r="G26" s="3192"/>
      <c r="H26" s="3192"/>
      <c r="I26" s="3192"/>
      <c r="J26" s="3193"/>
      <c r="K26" s="1697">
        <f>+K19/H19</f>
        <v>0</v>
      </c>
      <c r="L26" s="1698"/>
      <c r="M26" s="668">
        <f>+M19/H19</f>
        <v>1.0000001462520285</v>
      </c>
      <c r="N26" s="683"/>
      <c r="O26" s="1699"/>
      <c r="P26" s="1700">
        <f>+O19/H19</f>
        <v>1.0000007312601424</v>
      </c>
      <c r="Q26" s="1810"/>
      <c r="R26" s="1701"/>
      <c r="S26" s="1702">
        <f>+R19/H19</f>
        <v>0</v>
      </c>
      <c r="T26" s="1703"/>
      <c r="U26" s="1703"/>
      <c r="V26" s="1703"/>
      <c r="W26" s="1173"/>
    </row>
    <row r="27" spans="2:24" s="561" customFormat="1" hidden="1">
      <c r="B27" s="1688"/>
      <c r="C27" s="1689"/>
      <c r="D27" s="683"/>
      <c r="E27" s="1704"/>
      <c r="F27" s="1811"/>
      <c r="G27" s="1811"/>
      <c r="H27" s="1705"/>
      <c r="I27" s="1705"/>
      <c r="J27" s="683"/>
      <c r="K27" s="683"/>
      <c r="L27" s="1698"/>
      <c r="M27" s="2516"/>
      <c r="N27" s="683"/>
      <c r="O27" s="1699"/>
      <c r="P27" s="683"/>
      <c r="Q27" s="1810"/>
      <c r="R27" s="1701"/>
      <c r="S27" s="1706"/>
      <c r="W27" s="1173"/>
    </row>
    <row r="28" spans="2:24" s="561" customFormat="1" hidden="1">
      <c r="B28" s="1688"/>
      <c r="C28" s="1812" t="s">
        <v>1805</v>
      </c>
      <c r="D28" s="683">
        <v>0.13514169600000001</v>
      </c>
      <c r="E28" s="1704"/>
      <c r="F28" s="1811"/>
      <c r="G28" s="1811"/>
      <c r="H28" s="1705">
        <f>H19*D28</f>
        <v>2310.0824202508797</v>
      </c>
      <c r="I28" s="1705"/>
      <c r="J28" s="683"/>
      <c r="K28" s="683"/>
      <c r="L28" s="1698"/>
      <c r="M28" s="2516"/>
      <c r="N28" s="683"/>
      <c r="O28" s="1699"/>
      <c r="P28" s="683"/>
      <c r="Q28" s="1810"/>
      <c r="R28" s="1701"/>
      <c r="S28" s="1706"/>
      <c r="W28" s="1173"/>
    </row>
    <row r="29" spans="2:24" s="561" customFormat="1" hidden="1">
      <c r="B29" s="1688"/>
      <c r="C29" s="1812" t="s">
        <v>1806</v>
      </c>
      <c r="D29" s="683">
        <v>2.5765203E-2</v>
      </c>
      <c r="E29" s="1704"/>
      <c r="F29" s="1811"/>
      <c r="G29" s="1811"/>
      <c r="H29" s="1705" t="e">
        <f>#REF!*D29</f>
        <v>#REF!</v>
      </c>
      <c r="I29" s="1705"/>
      <c r="J29" s="683"/>
      <c r="K29" s="683"/>
      <c r="L29" s="1698"/>
      <c r="M29" s="2516"/>
      <c r="N29" s="683"/>
      <c r="O29" s="1699"/>
      <c r="P29" s="683"/>
      <c r="Q29" s="1810"/>
      <c r="R29" s="1701"/>
      <c r="S29" s="1706"/>
      <c r="W29" s="1173"/>
    </row>
    <row r="30" spans="2:24" s="561" customFormat="1" hidden="1">
      <c r="B30" s="1688"/>
      <c r="C30" s="1812" t="s">
        <v>1807</v>
      </c>
      <c r="D30" s="683">
        <v>5.4089901000000003E-2</v>
      </c>
      <c r="E30" s="1704"/>
      <c r="F30" s="1811"/>
      <c r="G30" s="1811"/>
      <c r="H30" s="1705" t="e">
        <f>#REF!*D30</f>
        <v>#REF!</v>
      </c>
      <c r="I30" s="1705"/>
      <c r="J30" s="683"/>
      <c r="K30" s="683"/>
      <c r="L30" s="1698"/>
      <c r="M30" s="2516"/>
      <c r="N30" s="683"/>
      <c r="O30" s="1699"/>
      <c r="P30" s="683"/>
      <c r="Q30" s="1810"/>
      <c r="R30" s="1701"/>
      <c r="S30" s="1706"/>
      <c r="W30" s="1173"/>
    </row>
    <row r="31" spans="2:24" s="561" customFormat="1" hidden="1">
      <c r="B31" s="1688"/>
      <c r="C31" s="1812" t="s">
        <v>1808</v>
      </c>
      <c r="D31" s="683">
        <v>1.4803359E-2</v>
      </c>
      <c r="E31" s="1704"/>
      <c r="F31" s="1811"/>
      <c r="G31" s="1811"/>
      <c r="H31" s="1705" t="e">
        <f>#REF!*D31</f>
        <v>#REF!</v>
      </c>
      <c r="I31" s="1705"/>
      <c r="J31" s="683"/>
      <c r="K31" s="683"/>
      <c r="L31" s="1698"/>
      <c r="M31" s="2516"/>
      <c r="N31" s="683"/>
      <c r="O31" s="1699"/>
      <c r="P31" s="683"/>
      <c r="Q31" s="1810"/>
      <c r="R31" s="1701"/>
      <c r="S31" s="1706"/>
      <c r="W31" s="1173"/>
    </row>
    <row r="32" spans="2:24" s="561" customFormat="1" hidden="1">
      <c r="B32" s="1688"/>
      <c r="C32" s="1812" t="s">
        <v>1809</v>
      </c>
      <c r="D32" s="683">
        <v>3.2312274000000002E-2</v>
      </c>
      <c r="E32" s="1704"/>
      <c r="F32" s="1811"/>
      <c r="G32" s="1811"/>
      <c r="H32" s="1705" t="e">
        <f>#REF!*D32</f>
        <v>#REF!</v>
      </c>
      <c r="I32" s="1705"/>
      <c r="J32" s="683"/>
      <c r="K32" s="683"/>
      <c r="L32" s="1698"/>
      <c r="M32" s="2516"/>
      <c r="N32" s="683"/>
      <c r="O32" s="1699"/>
      <c r="P32" s="683"/>
      <c r="Q32" s="1810"/>
      <c r="R32" s="1701"/>
      <c r="S32" s="1706"/>
      <c r="W32" s="1173"/>
    </row>
    <row r="33" spans="2:23" s="561" customFormat="1" hidden="1">
      <c r="B33" s="1688"/>
      <c r="C33" s="1812" t="s">
        <v>1810</v>
      </c>
      <c r="D33" s="683"/>
      <c r="E33" s="1704"/>
      <c r="F33" s="1811"/>
      <c r="G33" s="1811"/>
      <c r="H33" s="1705"/>
      <c r="I33" s="1705"/>
      <c r="J33" s="683"/>
      <c r="K33" s="683"/>
      <c r="L33" s="1698"/>
      <c r="M33" s="2516"/>
      <c r="N33" s="683"/>
      <c r="O33" s="1699"/>
      <c r="P33" s="683"/>
      <c r="Q33" s="1810"/>
      <c r="R33" s="1701"/>
      <c r="S33" s="1706"/>
      <c r="W33" s="1173"/>
    </row>
    <row r="34" spans="2:23" s="561" customFormat="1" hidden="1">
      <c r="B34" s="1688"/>
      <c r="C34" s="1812" t="s">
        <v>1811</v>
      </c>
      <c r="D34" s="683"/>
      <c r="E34" s="1704"/>
      <c r="F34" s="1811"/>
      <c r="G34" s="1811"/>
      <c r="H34" s="1705"/>
      <c r="I34" s="1705"/>
      <c r="J34" s="683"/>
      <c r="K34" s="683"/>
      <c r="L34" s="1698"/>
      <c r="M34" s="2516"/>
      <c r="N34" s="683"/>
      <c r="O34" s="1699"/>
      <c r="P34" s="683"/>
      <c r="Q34" s="1810"/>
      <c r="R34" s="1701"/>
      <c r="S34" s="1706"/>
      <c r="W34" s="1173"/>
    </row>
    <row r="35" spans="2:23" s="561" customFormat="1" hidden="1">
      <c r="B35" s="1688"/>
      <c r="C35" s="1812" t="s">
        <v>1812</v>
      </c>
      <c r="D35" s="683"/>
      <c r="E35" s="1704"/>
      <c r="F35" s="1811"/>
      <c r="G35" s="1811"/>
      <c r="H35" s="1705"/>
      <c r="I35" s="1705"/>
      <c r="J35" s="683"/>
      <c r="K35" s="683"/>
      <c r="L35" s="1698"/>
      <c r="M35" s="2516"/>
      <c r="N35" s="683"/>
      <c r="O35" s="1699"/>
      <c r="P35" s="683"/>
      <c r="Q35" s="1810"/>
      <c r="R35" s="1701"/>
      <c r="S35" s="1706"/>
      <c r="W35" s="1173"/>
    </row>
    <row r="36" spans="2:23" s="561" customFormat="1" hidden="1">
      <c r="B36" s="1688"/>
      <c r="C36" s="1812" t="s">
        <v>1813</v>
      </c>
      <c r="D36" s="683"/>
      <c r="E36" s="1704"/>
      <c r="F36" s="1811"/>
      <c r="G36" s="1811"/>
      <c r="H36" s="1705"/>
      <c r="I36" s="1705"/>
      <c r="J36" s="683"/>
      <c r="K36" s="683"/>
      <c r="L36" s="1698"/>
      <c r="M36" s="2516"/>
      <c r="N36" s="683"/>
      <c r="O36" s="1699"/>
      <c r="P36" s="683"/>
      <c r="Q36" s="1810"/>
      <c r="R36" s="1701"/>
      <c r="S36" s="1706"/>
      <c r="W36" s="1173"/>
    </row>
    <row r="37" spans="2:23" s="561" customFormat="1" hidden="1">
      <c r="B37" s="1688"/>
      <c r="C37" s="1812" t="s">
        <v>1814</v>
      </c>
      <c r="D37" s="683"/>
      <c r="E37" s="1704"/>
      <c r="F37" s="1811"/>
      <c r="G37" s="1811"/>
      <c r="H37" s="1705"/>
      <c r="I37" s="1705"/>
      <c r="J37" s="683"/>
      <c r="K37" s="683"/>
      <c r="L37" s="1698"/>
      <c r="M37" s="2516"/>
      <c r="N37" s="683"/>
      <c r="O37" s="1699"/>
      <c r="P37" s="683"/>
      <c r="Q37" s="1810"/>
      <c r="R37" s="1701"/>
      <c r="S37" s="1706"/>
      <c r="W37" s="1173"/>
    </row>
    <row r="38" spans="2:23" s="561" customFormat="1" hidden="1">
      <c r="B38" s="1688"/>
      <c r="C38" s="1812" t="s">
        <v>1815</v>
      </c>
      <c r="D38" s="683"/>
      <c r="E38" s="1704"/>
      <c r="F38" s="1811"/>
      <c r="G38" s="1811"/>
      <c r="H38" s="1705"/>
      <c r="I38" s="1705"/>
      <c r="J38" s="683"/>
      <c r="K38" s="683"/>
      <c r="L38" s="1698"/>
      <c r="M38" s="2516"/>
      <c r="N38" s="683"/>
      <c r="O38" s="1699"/>
      <c r="P38" s="683"/>
      <c r="Q38" s="1810"/>
      <c r="R38" s="1701"/>
      <c r="S38" s="1706"/>
      <c r="W38" s="1173"/>
    </row>
    <row r="39" spans="2:23" s="561" customFormat="1" ht="12.75" hidden="1">
      <c r="B39" s="1813"/>
      <c r="C39" s="1813"/>
      <c r="D39" s="1814"/>
      <c r="E39" s="1815"/>
      <c r="F39" s="1815"/>
      <c r="G39" s="1815"/>
      <c r="H39" s="1815"/>
      <c r="I39" s="1815"/>
      <c r="J39" s="1816"/>
      <c r="K39" s="1817"/>
      <c r="L39" s="1818"/>
      <c r="M39" s="1819"/>
      <c r="N39" s="1816"/>
      <c r="O39" s="1817"/>
      <c r="P39" s="1820"/>
      <c r="Q39" s="1821"/>
      <c r="R39" s="1821"/>
      <c r="S39" s="1822"/>
      <c r="W39" s="1173"/>
    </row>
    <row r="40" spans="2:23" s="561" customFormat="1" ht="15.75">
      <c r="D40" s="1173"/>
      <c r="E40" s="562"/>
      <c r="F40" s="562"/>
      <c r="G40" s="562"/>
      <c r="H40" s="562"/>
      <c r="I40" s="1823">
        <f>I19-H19</f>
        <v>0</v>
      </c>
      <c r="J40" s="1173"/>
      <c r="K40" s="1824"/>
      <c r="L40" s="1173"/>
      <c r="M40" s="2096">
        <f>+K19+M19</f>
        <v>17093.782499999998</v>
      </c>
      <c r="N40" s="2097"/>
      <c r="O40" s="2097"/>
      <c r="P40" s="2097"/>
      <c r="R40" s="562"/>
    </row>
    <row r="41" spans="2:23" s="18" customFormat="1" ht="12.75">
      <c r="D41" s="97"/>
      <c r="E41" s="26"/>
      <c r="F41" s="26"/>
      <c r="G41" s="26"/>
      <c r="J41" s="1208"/>
      <c r="K41" s="97"/>
      <c r="L41" s="1433"/>
      <c r="M41" s="2098"/>
      <c r="N41" s="2098"/>
      <c r="O41" s="2098"/>
      <c r="P41" s="2098">
        <f>+R19+O19</f>
        <v>17093.792499999996</v>
      </c>
      <c r="R41" s="26"/>
    </row>
    <row r="42" spans="2:23" s="18" customFormat="1">
      <c r="D42" s="97"/>
      <c r="E42" s="26"/>
      <c r="F42" s="26"/>
      <c r="G42" s="26"/>
      <c r="H42" s="26"/>
      <c r="I42" s="26"/>
      <c r="J42" s="1208"/>
      <c r="K42" s="1825"/>
      <c r="L42" s="1433"/>
      <c r="M42" s="1709"/>
      <c r="N42" s="524"/>
      <c r="O42" s="524"/>
      <c r="P42" s="524"/>
      <c r="R42" s="26"/>
    </row>
    <row r="43" spans="2:23" s="18" customFormat="1">
      <c r="D43" s="1711"/>
      <c r="E43" s="26"/>
      <c r="F43" s="26">
        <v>457948.8995</v>
      </c>
      <c r="G43" s="26"/>
      <c r="H43" s="26">
        <v>15398736.550000001</v>
      </c>
      <c r="I43" s="26"/>
      <c r="J43" s="1209"/>
      <c r="K43" s="1825">
        <v>616776.95999999996</v>
      </c>
      <c r="L43" s="1433"/>
      <c r="M43" s="524"/>
      <c r="N43" s="1709">
        <f>+M44-N19</f>
        <v>-0.70000073126014239</v>
      </c>
      <c r="O43" s="524">
        <f>+N43*H19</f>
        <v>-11965.658499999996</v>
      </c>
      <c r="P43" s="524"/>
      <c r="S43" s="200"/>
    </row>
    <row r="44" spans="2:23" s="18" customFormat="1">
      <c r="D44" s="97"/>
      <c r="E44" s="26"/>
      <c r="F44" s="26"/>
      <c r="G44" s="26"/>
      <c r="H44" s="26"/>
      <c r="I44" s="26"/>
      <c r="J44" s="1209"/>
      <c r="K44" s="1712"/>
      <c r="L44" s="1713"/>
      <c r="M44" s="524">
        <v>0.3</v>
      </c>
      <c r="N44" s="524"/>
      <c r="O44" s="524"/>
      <c r="P44" s="524">
        <f>+O19+R19</f>
        <v>17093.792499999996</v>
      </c>
      <c r="R44" s="26"/>
      <c r="S44" s="1803">
        <f>+R23+I23</f>
        <v>17093.78</v>
      </c>
    </row>
    <row r="45" spans="2:23" s="18" customFormat="1">
      <c r="D45" s="97"/>
      <c r="E45" s="1826"/>
      <c r="F45" s="1216"/>
      <c r="G45" s="1216"/>
      <c r="H45" s="26">
        <f>+H43-H19</f>
        <v>15381642.770000001</v>
      </c>
      <c r="I45" s="26"/>
      <c r="J45" s="1209"/>
      <c r="K45" s="1405">
        <f>+K43-K20</f>
        <v>616776.95999999996</v>
      </c>
      <c r="L45" s="1433"/>
      <c r="M45" s="524"/>
      <c r="N45" s="524"/>
      <c r="O45" s="524"/>
      <c r="P45" s="524"/>
    </row>
    <row r="46" spans="2:23">
      <c r="E46" s="1226">
        <f>+F46*K19</f>
        <v>0</v>
      </c>
      <c r="F46" s="1226">
        <f>+I20/H19</f>
        <v>0</v>
      </c>
      <c r="H46" s="1716"/>
      <c r="I46" s="1716"/>
      <c r="J46" s="1716"/>
      <c r="K46" s="1320"/>
      <c r="M46" s="1717" t="e">
        <f>SUM(#REF!)</f>
        <v>#REF!</v>
      </c>
      <c r="N46" s="1718" t="e">
        <f>SUM(#REF!)</f>
        <v>#REF!</v>
      </c>
      <c r="O46" s="1718"/>
      <c r="P46" s="1718"/>
      <c r="Q46" s="1718"/>
      <c r="W46" s="1215"/>
    </row>
    <row r="47" spans="2:23">
      <c r="E47" s="1226">
        <f>+F47*K19</f>
        <v>0</v>
      </c>
      <c r="F47" s="1226">
        <f>+I21/H19</f>
        <v>0</v>
      </c>
      <c r="H47" s="1716"/>
      <c r="I47" s="1716"/>
      <c r="J47" s="1716"/>
      <c r="K47" s="1320">
        <v>5428.7406763147101</v>
      </c>
      <c r="L47" s="1435"/>
      <c r="M47" s="1717"/>
      <c r="N47" s="1718"/>
      <c r="O47" s="1718"/>
      <c r="P47" s="1718"/>
      <c r="Q47" s="1718"/>
      <c r="W47" s="1215"/>
    </row>
    <row r="48" spans="2:23">
      <c r="H48" s="1716"/>
      <c r="I48" s="1716"/>
      <c r="J48" s="1716"/>
      <c r="K48" s="1321"/>
      <c r="L48" s="1435"/>
      <c r="M48" s="1717"/>
      <c r="N48" s="1709" t="e">
        <f>+N46/H19</f>
        <v>#REF!</v>
      </c>
      <c r="O48" s="1718"/>
      <c r="P48" s="1718"/>
      <c r="Q48" s="1718"/>
      <c r="W48" s="1215"/>
    </row>
    <row r="49" spans="4:23" ht="15.75">
      <c r="D49" s="1237"/>
      <c r="H49" s="1716"/>
      <c r="I49" s="1716"/>
      <c r="J49" s="1716"/>
      <c r="K49" s="1302"/>
      <c r="L49" s="1435"/>
      <c r="M49" s="1717"/>
      <c r="N49" s="1718"/>
      <c r="O49" s="1718"/>
      <c r="P49" s="1718"/>
      <c r="Q49" s="1718"/>
      <c r="W49" s="1215"/>
    </row>
    <row r="50" spans="4:23">
      <c r="H50" s="1716"/>
      <c r="I50" s="1716"/>
      <c r="J50" s="1716"/>
      <c r="K50" s="18"/>
      <c r="L50" s="1435"/>
      <c r="M50" s="1717"/>
      <c r="N50" s="1718"/>
      <c r="O50" s="1718"/>
      <c r="P50" s="1718"/>
      <c r="Q50" s="1718"/>
      <c r="W50" s="1215"/>
    </row>
    <row r="51" spans="4:23">
      <c r="H51" s="1716"/>
      <c r="I51" s="1716"/>
      <c r="J51" s="1716"/>
      <c r="K51" s="1716"/>
      <c r="L51" s="1435"/>
      <c r="M51" s="1717"/>
      <c r="N51" s="1718"/>
      <c r="O51" s="1718"/>
      <c r="P51" s="1718"/>
      <c r="Q51" s="1718"/>
      <c r="W51" s="1215"/>
    </row>
    <row r="52" spans="4:23">
      <c r="H52" s="1716"/>
      <c r="I52" s="1716"/>
      <c r="J52" s="1716"/>
      <c r="K52" s="1716"/>
      <c r="L52" s="1435"/>
      <c r="M52" s="1717"/>
      <c r="N52" s="1718"/>
      <c r="O52" s="1718"/>
      <c r="P52" s="1718"/>
      <c r="Q52" s="1718"/>
      <c r="W52" s="1215"/>
    </row>
    <row r="53" spans="4:23">
      <c r="H53" s="1716"/>
      <c r="I53" s="1716"/>
      <c r="J53" s="1716"/>
      <c r="K53" s="1716"/>
      <c r="L53" s="1435"/>
      <c r="M53" s="1717"/>
      <c r="N53" s="1718"/>
      <c r="O53" s="1718"/>
      <c r="P53" s="1718"/>
      <c r="Q53" s="1718"/>
      <c r="W53" s="1215"/>
    </row>
    <row r="54" spans="4:23">
      <c r="H54" s="1716"/>
      <c r="I54" s="1716"/>
      <c r="J54" s="1716"/>
      <c r="K54" s="1716"/>
      <c r="L54" s="1435"/>
      <c r="M54" s="1717"/>
      <c r="N54" s="1718"/>
      <c r="O54" s="1718"/>
      <c r="P54" s="1718"/>
      <c r="Q54" s="1718"/>
      <c r="W54" s="1215"/>
    </row>
    <row r="55" spans="4:23">
      <c r="H55" s="1716"/>
      <c r="I55" s="1716"/>
      <c r="J55" s="1716"/>
      <c r="K55" s="1716"/>
      <c r="L55" s="1435"/>
      <c r="M55" s="1717"/>
      <c r="N55" s="1718"/>
      <c r="O55" s="1718"/>
      <c r="P55" s="1718"/>
      <c r="Q55" s="1718"/>
      <c r="W55" s="1215"/>
    </row>
    <row r="56" spans="4:23">
      <c r="H56" s="1716"/>
      <c r="I56" s="1716"/>
      <c r="J56" s="1716"/>
      <c r="K56" s="1720"/>
      <c r="L56" s="1435"/>
      <c r="M56" s="1717"/>
      <c r="N56" s="1718"/>
      <c r="O56" s="1718"/>
      <c r="P56" s="1718"/>
      <c r="Q56" s="1718"/>
      <c r="W56" s="1215"/>
    </row>
    <row r="57" spans="4:23">
      <c r="H57" s="1716"/>
      <c r="I57" s="1716"/>
      <c r="J57" s="1716"/>
      <c r="K57" s="1716"/>
      <c r="L57" s="1435"/>
      <c r="M57" s="1717"/>
      <c r="N57" s="1718"/>
      <c r="O57" s="1718"/>
      <c r="P57" s="1718"/>
      <c r="Q57" s="1718"/>
      <c r="W57" s="1215"/>
    </row>
  </sheetData>
  <autoFilter ref="L1:L57" xr:uid="{00000000-0009-0000-0000-00001C000000}"/>
  <mergeCells count="31">
    <mergeCell ref="W12:Y12"/>
    <mergeCell ref="D26:J26"/>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24:S1048576 S4:S22">
    <cfRule type="cellIs" dxfId="22" priority="8" operator="lessThan">
      <formula>0</formula>
    </cfRule>
  </conditionalFormatting>
  <conditionalFormatting sqref="Q2 Q23:Q1048576 Q4:Q21">
    <cfRule type="cellIs" dxfId="21" priority="6" operator="lessThan">
      <formula>0</formula>
    </cfRule>
    <cfRule type="cellIs" dxfId="20" priority="7" operator="lessThan">
      <formula>0</formula>
    </cfRule>
  </conditionalFormatting>
  <conditionalFormatting sqref="P22">
    <cfRule type="cellIs" dxfId="19" priority="4" operator="lessThan">
      <formula>0</formula>
    </cfRule>
    <cfRule type="cellIs" dxfId="18" priority="5"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41" min="1" max="17" man="1"/>
  </rowBreak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S877"/>
  <sheetViews>
    <sheetView view="pageBreakPreview" topLeftCell="A700" zoomScaleNormal="85" zoomScaleSheetLayoutView="100" workbookViewId="0">
      <selection activeCell="B713" sqref="B713:C713"/>
    </sheetView>
  </sheetViews>
  <sheetFormatPr baseColWidth="10" defaultRowHeight="13.5"/>
  <cols>
    <col min="1" max="1" width="2.5703125" style="2100" customWidth="1"/>
    <col min="2" max="2" width="12" style="1215" customWidth="1"/>
    <col min="3" max="3" width="64.42578125" style="1225" customWidth="1"/>
    <col min="4" max="4" width="10.5703125" style="1218" customWidth="1"/>
    <col min="5" max="5" width="12.5703125" style="1226" customWidth="1"/>
    <col min="6" max="6" width="12.5703125" style="1226" hidden="1" customWidth="1"/>
    <col min="7" max="7" width="12.5703125" style="1473" hidden="1" customWidth="1"/>
    <col min="8" max="8" width="14" style="1226" customWidth="1"/>
    <col min="9" max="10" width="16.85546875" style="1574" hidden="1" customWidth="1"/>
    <col min="11" max="14" width="14" style="1574" hidden="1" customWidth="1"/>
    <col min="15" max="15" width="16.42578125" style="1574" hidden="1" customWidth="1"/>
    <col min="16" max="16" width="14.5703125" style="1574" hidden="1" customWidth="1"/>
    <col min="17" max="17" width="15.140625" style="1574" hidden="1" customWidth="1"/>
    <col min="18" max="18" width="15.140625" style="1574" customWidth="1"/>
    <col min="19" max="19" width="12.5703125" style="1218" customWidth="1"/>
    <col min="20" max="20" width="16.42578125" style="1218" customWidth="1"/>
    <col min="21" max="21" width="12.42578125" style="1432" customWidth="1"/>
    <col min="22" max="22" width="14.5703125" style="1406" customWidth="1"/>
    <col min="23" max="23" width="12" style="1218" customWidth="1"/>
    <col min="24" max="24" width="16.42578125" style="1218" customWidth="1"/>
    <col min="25" max="25" width="9.140625" style="1218" customWidth="1"/>
    <col min="26" max="26" width="9.42578125" style="1215" customWidth="1"/>
    <col min="27" max="27" width="12.5703125" style="1215" customWidth="1"/>
    <col min="28" max="28" width="8.28515625" style="1215" customWidth="1"/>
    <col min="29" max="34" width="13" style="1215" hidden="1" customWidth="1"/>
    <col min="35" max="35" width="10.85546875" style="1218" hidden="1" customWidth="1"/>
    <col min="36" max="36" width="10.85546875" style="1215" hidden="1" customWidth="1"/>
    <col min="37" max="37" width="14.42578125" style="1215" hidden="1" customWidth="1"/>
    <col min="38" max="39" width="10.85546875" style="1215" hidden="1" customWidth="1"/>
    <col min="40" max="40" width="0" style="1215" hidden="1" customWidth="1"/>
    <col min="41" max="41" width="14.7109375" style="1215" customWidth="1"/>
    <col min="42" max="267" width="11.5703125" style="1215"/>
    <col min="268" max="268" width="8.5703125" style="1215" customWidth="1"/>
    <col min="269" max="269" width="50" style="1215" customWidth="1"/>
    <col min="270" max="270" width="6.42578125" style="1215" bestFit="1" customWidth="1"/>
    <col min="271" max="272" width="8.5703125" style="1215" customWidth="1"/>
    <col min="273" max="273" width="11.42578125" style="1215" bestFit="1" customWidth="1"/>
    <col min="274" max="274" width="7.5703125" style="1215" bestFit="1" customWidth="1"/>
    <col min="275" max="275" width="11.5703125" style="1215" bestFit="1" customWidth="1"/>
    <col min="276" max="276" width="8" style="1215" bestFit="1" customWidth="1"/>
    <col min="277" max="277" width="11.5703125" style="1215" bestFit="1" customWidth="1"/>
    <col min="278" max="278" width="8.42578125" style="1215" bestFit="1" customWidth="1"/>
    <col min="279" max="279" width="11.5703125" style="1215" bestFit="1" customWidth="1"/>
    <col min="280" max="280" width="8.42578125" style="1215" customWidth="1"/>
    <col min="281" max="281" width="7.42578125" style="1215" bestFit="1" customWidth="1"/>
    <col min="282" max="282" width="11.5703125" style="1215" bestFit="1" customWidth="1"/>
    <col min="283" max="283" width="8.42578125" style="1215" customWidth="1"/>
    <col min="284" max="284" width="13" style="1215" bestFit="1" customWidth="1"/>
    <col min="285" max="523" width="11.5703125" style="1215"/>
    <col min="524" max="524" width="8.5703125" style="1215" customWidth="1"/>
    <col min="525" max="525" width="50" style="1215" customWidth="1"/>
    <col min="526" max="526" width="6.42578125" style="1215" bestFit="1" customWidth="1"/>
    <col min="527" max="528" width="8.5703125" style="1215" customWidth="1"/>
    <col min="529" max="529" width="11.42578125" style="1215" bestFit="1" customWidth="1"/>
    <col min="530" max="530" width="7.5703125" style="1215" bestFit="1" customWidth="1"/>
    <col min="531" max="531" width="11.5703125" style="1215" bestFit="1" customWidth="1"/>
    <col min="532" max="532" width="8" style="1215" bestFit="1" customWidth="1"/>
    <col min="533" max="533" width="11.5703125" style="1215" bestFit="1" customWidth="1"/>
    <col min="534" max="534" width="8.42578125" style="1215" bestFit="1" customWidth="1"/>
    <col min="535" max="535" width="11.5703125" style="1215" bestFit="1" customWidth="1"/>
    <col min="536" max="536" width="8.42578125" style="1215" customWidth="1"/>
    <col min="537" max="537" width="7.42578125" style="1215" bestFit="1" customWidth="1"/>
    <col min="538" max="538" width="11.5703125" style="1215" bestFit="1" customWidth="1"/>
    <col min="539" max="539" width="8.42578125" style="1215" customWidth="1"/>
    <col min="540" max="540" width="13" style="1215" bestFit="1" customWidth="1"/>
    <col min="541" max="779" width="11.5703125" style="1215"/>
    <col min="780" max="780" width="8.5703125" style="1215" customWidth="1"/>
    <col min="781" max="781" width="50" style="1215" customWidth="1"/>
    <col min="782" max="782" width="6.42578125" style="1215" bestFit="1" customWidth="1"/>
    <col min="783" max="784" width="8.5703125" style="1215" customWidth="1"/>
    <col min="785" max="785" width="11.42578125" style="1215" bestFit="1" customWidth="1"/>
    <col min="786" max="786" width="7.5703125" style="1215" bestFit="1" customWidth="1"/>
    <col min="787" max="787" width="11.5703125" style="1215" bestFit="1" customWidth="1"/>
    <col min="788" max="788" width="8" style="1215" bestFit="1" customWidth="1"/>
    <col min="789" max="789" width="11.5703125" style="1215" bestFit="1" customWidth="1"/>
    <col min="790" max="790" width="8.42578125" style="1215" bestFit="1" customWidth="1"/>
    <col min="791" max="791" width="11.5703125" style="1215" bestFit="1" customWidth="1"/>
    <col min="792" max="792" width="8.42578125" style="1215" customWidth="1"/>
    <col min="793" max="793" width="7.42578125" style="1215" bestFit="1" customWidth="1"/>
    <col min="794" max="794" width="11.5703125" style="1215" bestFit="1" customWidth="1"/>
    <col min="795" max="795" width="8.42578125" style="1215" customWidth="1"/>
    <col min="796" max="796" width="13" style="1215" bestFit="1" customWidth="1"/>
    <col min="797" max="1035" width="11.5703125" style="1215"/>
    <col min="1036" max="1036" width="8.5703125" style="1215" customWidth="1"/>
    <col min="1037" max="1037" width="50" style="1215" customWidth="1"/>
    <col min="1038" max="1038" width="6.42578125" style="1215" bestFit="1" customWidth="1"/>
    <col min="1039" max="1040" width="8.5703125" style="1215" customWidth="1"/>
    <col min="1041" max="1041" width="11.42578125" style="1215" bestFit="1" customWidth="1"/>
    <col min="1042" max="1042" width="7.5703125" style="1215" bestFit="1" customWidth="1"/>
    <col min="1043" max="1043" width="11.5703125" style="1215" bestFit="1" customWidth="1"/>
    <col min="1044" max="1044" width="8" style="1215" bestFit="1" customWidth="1"/>
    <col min="1045" max="1045" width="11.5703125" style="1215" bestFit="1" customWidth="1"/>
    <col min="1046" max="1046" width="8.42578125" style="1215" bestFit="1" customWidth="1"/>
    <col min="1047" max="1047" width="11.5703125" style="1215" bestFit="1" customWidth="1"/>
    <col min="1048" max="1048" width="8.42578125" style="1215" customWidth="1"/>
    <col min="1049" max="1049" width="7.42578125" style="1215" bestFit="1" customWidth="1"/>
    <col min="1050" max="1050" width="11.5703125" style="1215" bestFit="1" customWidth="1"/>
    <col min="1051" max="1051" width="8.42578125" style="1215" customWidth="1"/>
    <col min="1052" max="1052" width="13" style="1215" bestFit="1" customWidth="1"/>
    <col min="1053" max="1291" width="11.5703125" style="1215"/>
    <col min="1292" max="1292" width="8.5703125" style="1215" customWidth="1"/>
    <col min="1293" max="1293" width="50" style="1215" customWidth="1"/>
    <col min="1294" max="1294" width="6.42578125" style="1215" bestFit="1" customWidth="1"/>
    <col min="1295" max="1296" width="8.5703125" style="1215" customWidth="1"/>
    <col min="1297" max="1297" width="11.42578125" style="1215" bestFit="1" customWidth="1"/>
    <col min="1298" max="1298" width="7.5703125" style="1215" bestFit="1" customWidth="1"/>
    <col min="1299" max="1299" width="11.5703125" style="1215" bestFit="1" customWidth="1"/>
    <col min="1300" max="1300" width="8" style="1215" bestFit="1" customWidth="1"/>
    <col min="1301" max="1301" width="11.5703125" style="1215" bestFit="1" customWidth="1"/>
    <col min="1302" max="1302" width="8.42578125" style="1215" bestFit="1" customWidth="1"/>
    <col min="1303" max="1303" width="11.5703125" style="1215" bestFit="1" customWidth="1"/>
    <col min="1304" max="1304" width="8.42578125" style="1215" customWidth="1"/>
    <col min="1305" max="1305" width="7.42578125" style="1215" bestFit="1" customWidth="1"/>
    <col min="1306" max="1306" width="11.5703125" style="1215" bestFit="1" customWidth="1"/>
    <col min="1307" max="1307" width="8.42578125" style="1215" customWidth="1"/>
    <col min="1308" max="1308" width="13" style="1215" bestFit="1" customWidth="1"/>
    <col min="1309" max="1547" width="11.5703125" style="1215"/>
    <col min="1548" max="1548" width="8.5703125" style="1215" customWidth="1"/>
    <col min="1549" max="1549" width="50" style="1215" customWidth="1"/>
    <col min="1550" max="1550" width="6.42578125" style="1215" bestFit="1" customWidth="1"/>
    <col min="1551" max="1552" width="8.5703125" style="1215" customWidth="1"/>
    <col min="1553" max="1553" width="11.42578125" style="1215" bestFit="1" customWidth="1"/>
    <col min="1554" max="1554" width="7.5703125" style="1215" bestFit="1" customWidth="1"/>
    <col min="1555" max="1555" width="11.5703125" style="1215" bestFit="1" customWidth="1"/>
    <col min="1556" max="1556" width="8" style="1215" bestFit="1" customWidth="1"/>
    <col min="1557" max="1557" width="11.5703125" style="1215" bestFit="1" customWidth="1"/>
    <col min="1558" max="1558" width="8.42578125" style="1215" bestFit="1" customWidth="1"/>
    <col min="1559" max="1559" width="11.5703125" style="1215" bestFit="1" customWidth="1"/>
    <col min="1560" max="1560" width="8.42578125" style="1215" customWidth="1"/>
    <col min="1561" max="1561" width="7.42578125" style="1215" bestFit="1" customWidth="1"/>
    <col min="1562" max="1562" width="11.5703125" style="1215" bestFit="1" customWidth="1"/>
    <col min="1563" max="1563" width="8.42578125" style="1215" customWidth="1"/>
    <col min="1564" max="1564" width="13" style="1215" bestFit="1" customWidth="1"/>
    <col min="1565" max="1803" width="11.5703125" style="1215"/>
    <col min="1804" max="1804" width="8.5703125" style="1215" customWidth="1"/>
    <col min="1805" max="1805" width="50" style="1215" customWidth="1"/>
    <col min="1806" max="1806" width="6.42578125" style="1215" bestFit="1" customWidth="1"/>
    <col min="1807" max="1808" width="8.5703125" style="1215" customWidth="1"/>
    <col min="1809" max="1809" width="11.42578125" style="1215" bestFit="1" customWidth="1"/>
    <col min="1810" max="1810" width="7.5703125" style="1215" bestFit="1" customWidth="1"/>
    <col min="1811" max="1811" width="11.5703125" style="1215" bestFit="1" customWidth="1"/>
    <col min="1812" max="1812" width="8" style="1215" bestFit="1" customWidth="1"/>
    <col min="1813" max="1813" width="11.5703125" style="1215" bestFit="1" customWidth="1"/>
    <col min="1814" max="1814" width="8.42578125" style="1215" bestFit="1" customWidth="1"/>
    <col min="1815" max="1815" width="11.5703125" style="1215" bestFit="1" customWidth="1"/>
    <col min="1816" max="1816" width="8.42578125" style="1215" customWidth="1"/>
    <col min="1817" max="1817" width="7.42578125" style="1215" bestFit="1" customWidth="1"/>
    <col min="1818" max="1818" width="11.5703125" style="1215" bestFit="1" customWidth="1"/>
    <col min="1819" max="1819" width="8.42578125" style="1215" customWidth="1"/>
    <col min="1820" max="1820" width="13" style="1215" bestFit="1" customWidth="1"/>
    <col min="1821" max="2059" width="11.5703125" style="1215"/>
    <col min="2060" max="2060" width="8.5703125" style="1215" customWidth="1"/>
    <col min="2061" max="2061" width="50" style="1215" customWidth="1"/>
    <col min="2062" max="2062" width="6.42578125" style="1215" bestFit="1" customWidth="1"/>
    <col min="2063" max="2064" width="8.5703125" style="1215" customWidth="1"/>
    <col min="2065" max="2065" width="11.42578125" style="1215" bestFit="1" customWidth="1"/>
    <col min="2066" max="2066" width="7.5703125" style="1215" bestFit="1" customWidth="1"/>
    <col min="2067" max="2067" width="11.5703125" style="1215" bestFit="1" customWidth="1"/>
    <col min="2068" max="2068" width="8" style="1215" bestFit="1" customWidth="1"/>
    <col min="2069" max="2069" width="11.5703125" style="1215" bestFit="1" customWidth="1"/>
    <col min="2070" max="2070" width="8.42578125" style="1215" bestFit="1" customWidth="1"/>
    <col min="2071" max="2071" width="11.5703125" style="1215" bestFit="1" customWidth="1"/>
    <col min="2072" max="2072" width="8.42578125" style="1215" customWidth="1"/>
    <col min="2073" max="2073" width="7.42578125" style="1215" bestFit="1" customWidth="1"/>
    <col min="2074" max="2074" width="11.5703125" style="1215" bestFit="1" customWidth="1"/>
    <col min="2075" max="2075" width="8.42578125" style="1215" customWidth="1"/>
    <col min="2076" max="2076" width="13" style="1215" bestFit="1" customWidth="1"/>
    <col min="2077" max="2315" width="11.5703125" style="1215"/>
    <col min="2316" max="2316" width="8.5703125" style="1215" customWidth="1"/>
    <col min="2317" max="2317" width="50" style="1215" customWidth="1"/>
    <col min="2318" max="2318" width="6.42578125" style="1215" bestFit="1" customWidth="1"/>
    <col min="2319" max="2320" width="8.5703125" style="1215" customWidth="1"/>
    <col min="2321" max="2321" width="11.42578125" style="1215" bestFit="1" customWidth="1"/>
    <col min="2322" max="2322" width="7.5703125" style="1215" bestFit="1" customWidth="1"/>
    <col min="2323" max="2323" width="11.5703125" style="1215" bestFit="1" customWidth="1"/>
    <col min="2324" max="2324" width="8" style="1215" bestFit="1" customWidth="1"/>
    <col min="2325" max="2325" width="11.5703125" style="1215" bestFit="1" customWidth="1"/>
    <col min="2326" max="2326" width="8.42578125" style="1215" bestFit="1" customWidth="1"/>
    <col min="2327" max="2327" width="11.5703125" style="1215" bestFit="1" customWidth="1"/>
    <col min="2328" max="2328" width="8.42578125" style="1215" customWidth="1"/>
    <col min="2329" max="2329" width="7.42578125" style="1215" bestFit="1" customWidth="1"/>
    <col min="2330" max="2330" width="11.5703125" style="1215" bestFit="1" customWidth="1"/>
    <col min="2331" max="2331" width="8.42578125" style="1215" customWidth="1"/>
    <col min="2332" max="2332" width="13" style="1215" bestFit="1" customWidth="1"/>
    <col min="2333" max="2571" width="11.5703125" style="1215"/>
    <col min="2572" max="2572" width="8.5703125" style="1215" customWidth="1"/>
    <col min="2573" max="2573" width="50" style="1215" customWidth="1"/>
    <col min="2574" max="2574" width="6.42578125" style="1215" bestFit="1" customWidth="1"/>
    <col min="2575" max="2576" width="8.5703125" style="1215" customWidth="1"/>
    <col min="2577" max="2577" width="11.42578125" style="1215" bestFit="1" customWidth="1"/>
    <col min="2578" max="2578" width="7.5703125" style="1215" bestFit="1" customWidth="1"/>
    <col min="2579" max="2579" width="11.5703125" style="1215" bestFit="1" customWidth="1"/>
    <col min="2580" max="2580" width="8" style="1215" bestFit="1" customWidth="1"/>
    <col min="2581" max="2581" width="11.5703125" style="1215" bestFit="1" customWidth="1"/>
    <col min="2582" max="2582" width="8.42578125" style="1215" bestFit="1" customWidth="1"/>
    <col min="2583" max="2583" width="11.5703125" style="1215" bestFit="1" customWidth="1"/>
    <col min="2584" max="2584" width="8.42578125" style="1215" customWidth="1"/>
    <col min="2585" max="2585" width="7.42578125" style="1215" bestFit="1" customWidth="1"/>
    <col min="2586" max="2586" width="11.5703125" style="1215" bestFit="1" customWidth="1"/>
    <col min="2587" max="2587" width="8.42578125" style="1215" customWidth="1"/>
    <col min="2588" max="2588" width="13" style="1215" bestFit="1" customWidth="1"/>
    <col min="2589" max="2827" width="11.5703125" style="1215"/>
    <col min="2828" max="2828" width="8.5703125" style="1215" customWidth="1"/>
    <col min="2829" max="2829" width="50" style="1215" customWidth="1"/>
    <col min="2830" max="2830" width="6.42578125" style="1215" bestFit="1" customWidth="1"/>
    <col min="2831" max="2832" width="8.5703125" style="1215" customWidth="1"/>
    <col min="2833" max="2833" width="11.42578125" style="1215" bestFit="1" customWidth="1"/>
    <col min="2834" max="2834" width="7.5703125" style="1215" bestFit="1" customWidth="1"/>
    <col min="2835" max="2835" width="11.5703125" style="1215" bestFit="1" customWidth="1"/>
    <col min="2836" max="2836" width="8" style="1215" bestFit="1" customWidth="1"/>
    <col min="2837" max="2837" width="11.5703125" style="1215" bestFit="1" customWidth="1"/>
    <col min="2838" max="2838" width="8.42578125" style="1215" bestFit="1" customWidth="1"/>
    <col min="2839" max="2839" width="11.5703125" style="1215" bestFit="1" customWidth="1"/>
    <col min="2840" max="2840" width="8.42578125" style="1215" customWidth="1"/>
    <col min="2841" max="2841" width="7.42578125" style="1215" bestFit="1" customWidth="1"/>
    <col min="2842" max="2842" width="11.5703125" style="1215" bestFit="1" customWidth="1"/>
    <col min="2843" max="2843" width="8.42578125" style="1215" customWidth="1"/>
    <col min="2844" max="2844" width="13" style="1215" bestFit="1" customWidth="1"/>
    <col min="2845" max="3083" width="11.5703125" style="1215"/>
    <col min="3084" max="3084" width="8.5703125" style="1215" customWidth="1"/>
    <col min="3085" max="3085" width="50" style="1215" customWidth="1"/>
    <col min="3086" max="3086" width="6.42578125" style="1215" bestFit="1" customWidth="1"/>
    <col min="3087" max="3088" width="8.5703125" style="1215" customWidth="1"/>
    <col min="3089" max="3089" width="11.42578125" style="1215" bestFit="1" customWidth="1"/>
    <col min="3090" max="3090" width="7.5703125" style="1215" bestFit="1" customWidth="1"/>
    <col min="3091" max="3091" width="11.5703125" style="1215" bestFit="1" customWidth="1"/>
    <col min="3092" max="3092" width="8" style="1215" bestFit="1" customWidth="1"/>
    <col min="3093" max="3093" width="11.5703125" style="1215" bestFit="1" customWidth="1"/>
    <col min="3094" max="3094" width="8.42578125" style="1215" bestFit="1" customWidth="1"/>
    <col min="3095" max="3095" width="11.5703125" style="1215" bestFit="1" customWidth="1"/>
    <col min="3096" max="3096" width="8.42578125" style="1215" customWidth="1"/>
    <col min="3097" max="3097" width="7.42578125" style="1215" bestFit="1" customWidth="1"/>
    <col min="3098" max="3098" width="11.5703125" style="1215" bestFit="1" customWidth="1"/>
    <col min="3099" max="3099" width="8.42578125" style="1215" customWidth="1"/>
    <col min="3100" max="3100" width="13" style="1215" bestFit="1" customWidth="1"/>
    <col min="3101" max="3339" width="11.5703125" style="1215"/>
    <col min="3340" max="3340" width="8.5703125" style="1215" customWidth="1"/>
    <col min="3341" max="3341" width="50" style="1215" customWidth="1"/>
    <col min="3342" max="3342" width="6.42578125" style="1215" bestFit="1" customWidth="1"/>
    <col min="3343" max="3344" width="8.5703125" style="1215" customWidth="1"/>
    <col min="3345" max="3345" width="11.42578125" style="1215" bestFit="1" customWidth="1"/>
    <col min="3346" max="3346" width="7.5703125" style="1215" bestFit="1" customWidth="1"/>
    <col min="3347" max="3347" width="11.5703125" style="1215" bestFit="1" customWidth="1"/>
    <col min="3348" max="3348" width="8" style="1215" bestFit="1" customWidth="1"/>
    <col min="3349" max="3349" width="11.5703125" style="1215" bestFit="1" customWidth="1"/>
    <col min="3350" max="3350" width="8.42578125" style="1215" bestFit="1" customWidth="1"/>
    <col min="3351" max="3351" width="11.5703125" style="1215" bestFit="1" customWidth="1"/>
    <col min="3352" max="3352" width="8.42578125" style="1215" customWidth="1"/>
    <col min="3353" max="3353" width="7.42578125" style="1215" bestFit="1" customWidth="1"/>
    <col min="3354" max="3354" width="11.5703125" style="1215" bestFit="1" customWidth="1"/>
    <col min="3355" max="3355" width="8.42578125" style="1215" customWidth="1"/>
    <col min="3356" max="3356" width="13" style="1215" bestFit="1" customWidth="1"/>
    <col min="3357" max="3595" width="11.5703125" style="1215"/>
    <col min="3596" max="3596" width="8.5703125" style="1215" customWidth="1"/>
    <col min="3597" max="3597" width="50" style="1215" customWidth="1"/>
    <col min="3598" max="3598" width="6.42578125" style="1215" bestFit="1" customWidth="1"/>
    <col min="3599" max="3600" width="8.5703125" style="1215" customWidth="1"/>
    <col min="3601" max="3601" width="11.42578125" style="1215" bestFit="1" customWidth="1"/>
    <col min="3602" max="3602" width="7.5703125" style="1215" bestFit="1" customWidth="1"/>
    <col min="3603" max="3603" width="11.5703125" style="1215" bestFit="1" customWidth="1"/>
    <col min="3604" max="3604" width="8" style="1215" bestFit="1" customWidth="1"/>
    <col min="3605" max="3605" width="11.5703125" style="1215" bestFit="1" customWidth="1"/>
    <col min="3606" max="3606" width="8.42578125" style="1215" bestFit="1" customWidth="1"/>
    <col min="3607" max="3607" width="11.5703125" style="1215" bestFit="1" customWidth="1"/>
    <col min="3608" max="3608" width="8.42578125" style="1215" customWidth="1"/>
    <col min="3609" max="3609" width="7.42578125" style="1215" bestFit="1" customWidth="1"/>
    <col min="3610" max="3610" width="11.5703125" style="1215" bestFit="1" customWidth="1"/>
    <col min="3611" max="3611" width="8.42578125" style="1215" customWidth="1"/>
    <col min="3612" max="3612" width="13" style="1215" bestFit="1" customWidth="1"/>
    <col min="3613" max="3851" width="11.5703125" style="1215"/>
    <col min="3852" max="3852" width="8.5703125" style="1215" customWidth="1"/>
    <col min="3853" max="3853" width="50" style="1215" customWidth="1"/>
    <col min="3854" max="3854" width="6.42578125" style="1215" bestFit="1" customWidth="1"/>
    <col min="3855" max="3856" width="8.5703125" style="1215" customWidth="1"/>
    <col min="3857" max="3857" width="11.42578125" style="1215" bestFit="1" customWidth="1"/>
    <col min="3858" max="3858" width="7.5703125" style="1215" bestFit="1" customWidth="1"/>
    <col min="3859" max="3859" width="11.5703125" style="1215" bestFit="1" customWidth="1"/>
    <col min="3860" max="3860" width="8" style="1215" bestFit="1" customWidth="1"/>
    <col min="3861" max="3861" width="11.5703125" style="1215" bestFit="1" customWidth="1"/>
    <col min="3862" max="3862" width="8.42578125" style="1215" bestFit="1" customWidth="1"/>
    <col min="3863" max="3863" width="11.5703125" style="1215" bestFit="1" customWidth="1"/>
    <col min="3864" max="3864" width="8.42578125" style="1215" customWidth="1"/>
    <col min="3865" max="3865" width="7.42578125" style="1215" bestFit="1" customWidth="1"/>
    <col min="3866" max="3866" width="11.5703125" style="1215" bestFit="1" customWidth="1"/>
    <col min="3867" max="3867" width="8.42578125" style="1215" customWidth="1"/>
    <col min="3868" max="3868" width="13" style="1215" bestFit="1" customWidth="1"/>
    <col min="3869" max="4107" width="11.5703125" style="1215"/>
    <col min="4108" max="4108" width="8.5703125" style="1215" customWidth="1"/>
    <col min="4109" max="4109" width="50" style="1215" customWidth="1"/>
    <col min="4110" max="4110" width="6.42578125" style="1215" bestFit="1" customWidth="1"/>
    <col min="4111" max="4112" width="8.5703125" style="1215" customWidth="1"/>
    <col min="4113" max="4113" width="11.42578125" style="1215" bestFit="1" customWidth="1"/>
    <col min="4114" max="4114" width="7.5703125" style="1215" bestFit="1" customWidth="1"/>
    <col min="4115" max="4115" width="11.5703125" style="1215" bestFit="1" customWidth="1"/>
    <col min="4116" max="4116" width="8" style="1215" bestFit="1" customWidth="1"/>
    <col min="4117" max="4117" width="11.5703125" style="1215" bestFit="1" customWidth="1"/>
    <col min="4118" max="4118" width="8.42578125" style="1215" bestFit="1" customWidth="1"/>
    <col min="4119" max="4119" width="11.5703125" style="1215" bestFit="1" customWidth="1"/>
    <col min="4120" max="4120" width="8.42578125" style="1215" customWidth="1"/>
    <col min="4121" max="4121" width="7.42578125" style="1215" bestFit="1" customWidth="1"/>
    <col min="4122" max="4122" width="11.5703125" style="1215" bestFit="1" customWidth="1"/>
    <col min="4123" max="4123" width="8.42578125" style="1215" customWidth="1"/>
    <col min="4124" max="4124" width="13" style="1215" bestFit="1" customWidth="1"/>
    <col min="4125" max="4363" width="11.5703125" style="1215"/>
    <col min="4364" max="4364" width="8.5703125" style="1215" customWidth="1"/>
    <col min="4365" max="4365" width="50" style="1215" customWidth="1"/>
    <col min="4366" max="4366" width="6.42578125" style="1215" bestFit="1" customWidth="1"/>
    <col min="4367" max="4368" width="8.5703125" style="1215" customWidth="1"/>
    <col min="4369" max="4369" width="11.42578125" style="1215" bestFit="1" customWidth="1"/>
    <col min="4370" max="4370" width="7.5703125" style="1215" bestFit="1" customWidth="1"/>
    <col min="4371" max="4371" width="11.5703125" style="1215" bestFit="1" customWidth="1"/>
    <col min="4372" max="4372" width="8" style="1215" bestFit="1" customWidth="1"/>
    <col min="4373" max="4373" width="11.5703125" style="1215" bestFit="1" customWidth="1"/>
    <col min="4374" max="4374" width="8.42578125" style="1215" bestFit="1" customWidth="1"/>
    <col min="4375" max="4375" width="11.5703125" style="1215" bestFit="1" customWidth="1"/>
    <col min="4376" max="4376" width="8.42578125" style="1215" customWidth="1"/>
    <col min="4377" max="4377" width="7.42578125" style="1215" bestFit="1" customWidth="1"/>
    <col min="4378" max="4378" width="11.5703125" style="1215" bestFit="1" customWidth="1"/>
    <col min="4379" max="4379" width="8.42578125" style="1215" customWidth="1"/>
    <col min="4380" max="4380" width="13" style="1215" bestFit="1" customWidth="1"/>
    <col min="4381" max="4619" width="11.5703125" style="1215"/>
    <col min="4620" max="4620" width="8.5703125" style="1215" customWidth="1"/>
    <col min="4621" max="4621" width="50" style="1215" customWidth="1"/>
    <col min="4622" max="4622" width="6.42578125" style="1215" bestFit="1" customWidth="1"/>
    <col min="4623" max="4624" width="8.5703125" style="1215" customWidth="1"/>
    <col min="4625" max="4625" width="11.42578125" style="1215" bestFit="1" customWidth="1"/>
    <col min="4626" max="4626" width="7.5703125" style="1215" bestFit="1" customWidth="1"/>
    <col min="4627" max="4627" width="11.5703125" style="1215" bestFit="1" customWidth="1"/>
    <col min="4628" max="4628" width="8" style="1215" bestFit="1" customWidth="1"/>
    <col min="4629" max="4629" width="11.5703125" style="1215" bestFit="1" customWidth="1"/>
    <col min="4630" max="4630" width="8.42578125" style="1215" bestFit="1" customWidth="1"/>
    <col min="4631" max="4631" width="11.5703125" style="1215" bestFit="1" customWidth="1"/>
    <col min="4632" max="4632" width="8.42578125" style="1215" customWidth="1"/>
    <col min="4633" max="4633" width="7.42578125" style="1215" bestFit="1" customWidth="1"/>
    <col min="4634" max="4634" width="11.5703125" style="1215" bestFit="1" customWidth="1"/>
    <col min="4635" max="4635" width="8.42578125" style="1215" customWidth="1"/>
    <col min="4636" max="4636" width="13" style="1215" bestFit="1" customWidth="1"/>
    <col min="4637" max="4875" width="11.5703125" style="1215"/>
    <col min="4876" max="4876" width="8.5703125" style="1215" customWidth="1"/>
    <col min="4877" max="4877" width="50" style="1215" customWidth="1"/>
    <col min="4878" max="4878" width="6.42578125" style="1215" bestFit="1" customWidth="1"/>
    <col min="4879" max="4880" width="8.5703125" style="1215" customWidth="1"/>
    <col min="4881" max="4881" width="11.42578125" style="1215" bestFit="1" customWidth="1"/>
    <col min="4882" max="4882" width="7.5703125" style="1215" bestFit="1" customWidth="1"/>
    <col min="4883" max="4883" width="11.5703125" style="1215" bestFit="1" customWidth="1"/>
    <col min="4884" max="4884" width="8" style="1215" bestFit="1" customWidth="1"/>
    <col min="4885" max="4885" width="11.5703125" style="1215" bestFit="1" customWidth="1"/>
    <col min="4886" max="4886" width="8.42578125" style="1215" bestFit="1" customWidth="1"/>
    <col min="4887" max="4887" width="11.5703125" style="1215" bestFit="1" customWidth="1"/>
    <col min="4888" max="4888" width="8.42578125" style="1215" customWidth="1"/>
    <col min="4889" max="4889" width="7.42578125" style="1215" bestFit="1" customWidth="1"/>
    <col min="4890" max="4890" width="11.5703125" style="1215" bestFit="1" customWidth="1"/>
    <col min="4891" max="4891" width="8.42578125" style="1215" customWidth="1"/>
    <col min="4892" max="4892" width="13" style="1215" bestFit="1" customWidth="1"/>
    <col min="4893" max="5131" width="11.5703125" style="1215"/>
    <col min="5132" max="5132" width="8.5703125" style="1215" customWidth="1"/>
    <col min="5133" max="5133" width="50" style="1215" customWidth="1"/>
    <col min="5134" max="5134" width="6.42578125" style="1215" bestFit="1" customWidth="1"/>
    <col min="5135" max="5136" width="8.5703125" style="1215" customWidth="1"/>
    <col min="5137" max="5137" width="11.42578125" style="1215" bestFit="1" customWidth="1"/>
    <col min="5138" max="5138" width="7.5703125" style="1215" bestFit="1" customWidth="1"/>
    <col min="5139" max="5139" width="11.5703125" style="1215" bestFit="1" customWidth="1"/>
    <col min="5140" max="5140" width="8" style="1215" bestFit="1" customWidth="1"/>
    <col min="5141" max="5141" width="11.5703125" style="1215" bestFit="1" customWidth="1"/>
    <col min="5142" max="5142" width="8.42578125" style="1215" bestFit="1" customWidth="1"/>
    <col min="5143" max="5143" width="11.5703125" style="1215" bestFit="1" customWidth="1"/>
    <col min="5144" max="5144" width="8.42578125" style="1215" customWidth="1"/>
    <col min="5145" max="5145" width="7.42578125" style="1215" bestFit="1" customWidth="1"/>
    <col min="5146" max="5146" width="11.5703125" style="1215" bestFit="1" customWidth="1"/>
    <col min="5147" max="5147" width="8.42578125" style="1215" customWidth="1"/>
    <col min="5148" max="5148" width="13" style="1215" bestFit="1" customWidth="1"/>
    <col min="5149" max="5387" width="11.5703125" style="1215"/>
    <col min="5388" max="5388" width="8.5703125" style="1215" customWidth="1"/>
    <col min="5389" max="5389" width="50" style="1215" customWidth="1"/>
    <col min="5390" max="5390" width="6.42578125" style="1215" bestFit="1" customWidth="1"/>
    <col min="5391" max="5392" width="8.5703125" style="1215" customWidth="1"/>
    <col min="5393" max="5393" width="11.42578125" style="1215" bestFit="1" customWidth="1"/>
    <col min="5394" max="5394" width="7.5703125" style="1215" bestFit="1" customWidth="1"/>
    <col min="5395" max="5395" width="11.5703125" style="1215" bestFit="1" customWidth="1"/>
    <col min="5396" max="5396" width="8" style="1215" bestFit="1" customWidth="1"/>
    <col min="5397" max="5397" width="11.5703125" style="1215" bestFit="1" customWidth="1"/>
    <col min="5398" max="5398" width="8.42578125" style="1215" bestFit="1" customWidth="1"/>
    <col min="5399" max="5399" width="11.5703125" style="1215" bestFit="1" customWidth="1"/>
    <col min="5400" max="5400" width="8.42578125" style="1215" customWidth="1"/>
    <col min="5401" max="5401" width="7.42578125" style="1215" bestFit="1" customWidth="1"/>
    <col min="5402" max="5402" width="11.5703125" style="1215" bestFit="1" customWidth="1"/>
    <col min="5403" max="5403" width="8.42578125" style="1215" customWidth="1"/>
    <col min="5404" max="5404" width="13" style="1215" bestFit="1" customWidth="1"/>
    <col min="5405" max="5643" width="11.5703125" style="1215"/>
    <col min="5644" max="5644" width="8.5703125" style="1215" customWidth="1"/>
    <col min="5645" max="5645" width="50" style="1215" customWidth="1"/>
    <col min="5646" max="5646" width="6.42578125" style="1215" bestFit="1" customWidth="1"/>
    <col min="5647" max="5648" width="8.5703125" style="1215" customWidth="1"/>
    <col min="5649" max="5649" width="11.42578125" style="1215" bestFit="1" customWidth="1"/>
    <col min="5650" max="5650" width="7.5703125" style="1215" bestFit="1" customWidth="1"/>
    <col min="5651" max="5651" width="11.5703125" style="1215" bestFit="1" customWidth="1"/>
    <col min="5652" max="5652" width="8" style="1215" bestFit="1" customWidth="1"/>
    <col min="5653" max="5653" width="11.5703125" style="1215" bestFit="1" customWidth="1"/>
    <col min="5654" max="5654" width="8.42578125" style="1215" bestFit="1" customWidth="1"/>
    <col min="5655" max="5655" width="11.5703125" style="1215" bestFit="1" customWidth="1"/>
    <col min="5656" max="5656" width="8.42578125" style="1215" customWidth="1"/>
    <col min="5657" max="5657" width="7.42578125" style="1215" bestFit="1" customWidth="1"/>
    <col min="5658" max="5658" width="11.5703125" style="1215" bestFit="1" customWidth="1"/>
    <col min="5659" max="5659" width="8.42578125" style="1215" customWidth="1"/>
    <col min="5660" max="5660" width="13" style="1215" bestFit="1" customWidth="1"/>
    <col min="5661" max="5899" width="11.5703125" style="1215"/>
    <col min="5900" max="5900" width="8.5703125" style="1215" customWidth="1"/>
    <col min="5901" max="5901" width="50" style="1215" customWidth="1"/>
    <col min="5902" max="5902" width="6.42578125" style="1215" bestFit="1" customWidth="1"/>
    <col min="5903" max="5904" width="8.5703125" style="1215" customWidth="1"/>
    <col min="5905" max="5905" width="11.42578125" style="1215" bestFit="1" customWidth="1"/>
    <col min="5906" max="5906" width="7.5703125" style="1215" bestFit="1" customWidth="1"/>
    <col min="5907" max="5907" width="11.5703125" style="1215" bestFit="1" customWidth="1"/>
    <col min="5908" max="5908" width="8" style="1215" bestFit="1" customWidth="1"/>
    <col min="5909" max="5909" width="11.5703125" style="1215" bestFit="1" customWidth="1"/>
    <col min="5910" max="5910" width="8.42578125" style="1215" bestFit="1" customWidth="1"/>
    <col min="5911" max="5911" width="11.5703125" style="1215" bestFit="1" customWidth="1"/>
    <col min="5912" max="5912" width="8.42578125" style="1215" customWidth="1"/>
    <col min="5913" max="5913" width="7.42578125" style="1215" bestFit="1" customWidth="1"/>
    <col min="5914" max="5914" width="11.5703125" style="1215" bestFit="1" customWidth="1"/>
    <col min="5915" max="5915" width="8.42578125" style="1215" customWidth="1"/>
    <col min="5916" max="5916" width="13" style="1215" bestFit="1" customWidth="1"/>
    <col min="5917" max="6155" width="11.5703125" style="1215"/>
    <col min="6156" max="6156" width="8.5703125" style="1215" customWidth="1"/>
    <col min="6157" max="6157" width="50" style="1215" customWidth="1"/>
    <col min="6158" max="6158" width="6.42578125" style="1215" bestFit="1" customWidth="1"/>
    <col min="6159" max="6160" width="8.5703125" style="1215" customWidth="1"/>
    <col min="6161" max="6161" width="11.42578125" style="1215" bestFit="1" customWidth="1"/>
    <col min="6162" max="6162" width="7.5703125" style="1215" bestFit="1" customWidth="1"/>
    <col min="6163" max="6163" width="11.5703125" style="1215" bestFit="1" customWidth="1"/>
    <col min="6164" max="6164" width="8" style="1215" bestFit="1" customWidth="1"/>
    <col min="6165" max="6165" width="11.5703125" style="1215" bestFit="1" customWidth="1"/>
    <col min="6166" max="6166" width="8.42578125" style="1215" bestFit="1" customWidth="1"/>
    <col min="6167" max="6167" width="11.5703125" style="1215" bestFit="1" customWidth="1"/>
    <col min="6168" max="6168" width="8.42578125" style="1215" customWidth="1"/>
    <col min="6169" max="6169" width="7.42578125" style="1215" bestFit="1" customWidth="1"/>
    <col min="6170" max="6170" width="11.5703125" style="1215" bestFit="1" customWidth="1"/>
    <col min="6171" max="6171" width="8.42578125" style="1215" customWidth="1"/>
    <col min="6172" max="6172" width="13" style="1215" bestFit="1" customWidth="1"/>
    <col min="6173" max="6411" width="11.5703125" style="1215"/>
    <col min="6412" max="6412" width="8.5703125" style="1215" customWidth="1"/>
    <col min="6413" max="6413" width="50" style="1215" customWidth="1"/>
    <col min="6414" max="6414" width="6.42578125" style="1215" bestFit="1" customWidth="1"/>
    <col min="6415" max="6416" width="8.5703125" style="1215" customWidth="1"/>
    <col min="6417" max="6417" width="11.42578125" style="1215" bestFit="1" customWidth="1"/>
    <col min="6418" max="6418" width="7.5703125" style="1215" bestFit="1" customWidth="1"/>
    <col min="6419" max="6419" width="11.5703125" style="1215" bestFit="1" customWidth="1"/>
    <col min="6420" max="6420" width="8" style="1215" bestFit="1" customWidth="1"/>
    <col min="6421" max="6421" width="11.5703125" style="1215" bestFit="1" customWidth="1"/>
    <col min="6422" max="6422" width="8.42578125" style="1215" bestFit="1" customWidth="1"/>
    <col min="6423" max="6423" width="11.5703125" style="1215" bestFit="1" customWidth="1"/>
    <col min="6424" max="6424" width="8.42578125" style="1215" customWidth="1"/>
    <col min="6425" max="6425" width="7.42578125" style="1215" bestFit="1" customWidth="1"/>
    <col min="6426" max="6426" width="11.5703125" style="1215" bestFit="1" customWidth="1"/>
    <col min="6427" max="6427" width="8.42578125" style="1215" customWidth="1"/>
    <col min="6428" max="6428" width="13" style="1215" bestFit="1" customWidth="1"/>
    <col min="6429" max="6667" width="11.5703125" style="1215"/>
    <col min="6668" max="6668" width="8.5703125" style="1215" customWidth="1"/>
    <col min="6669" max="6669" width="50" style="1215" customWidth="1"/>
    <col min="6670" max="6670" width="6.42578125" style="1215" bestFit="1" customWidth="1"/>
    <col min="6671" max="6672" width="8.5703125" style="1215" customWidth="1"/>
    <col min="6673" max="6673" width="11.42578125" style="1215" bestFit="1" customWidth="1"/>
    <col min="6674" max="6674" width="7.5703125" style="1215" bestFit="1" customWidth="1"/>
    <col min="6675" max="6675" width="11.5703125" style="1215" bestFit="1" customWidth="1"/>
    <col min="6676" max="6676" width="8" style="1215" bestFit="1" customWidth="1"/>
    <col min="6677" max="6677" width="11.5703125" style="1215" bestFit="1" customWidth="1"/>
    <col min="6678" max="6678" width="8.42578125" style="1215" bestFit="1" customWidth="1"/>
    <col min="6679" max="6679" width="11.5703125" style="1215" bestFit="1" customWidth="1"/>
    <col min="6680" max="6680" width="8.42578125" style="1215" customWidth="1"/>
    <col min="6681" max="6681" width="7.42578125" style="1215" bestFit="1" customWidth="1"/>
    <col min="6682" max="6682" width="11.5703125" style="1215" bestFit="1" customWidth="1"/>
    <col min="6683" max="6683" width="8.42578125" style="1215" customWidth="1"/>
    <col min="6684" max="6684" width="13" style="1215" bestFit="1" customWidth="1"/>
    <col min="6685" max="6923" width="11.5703125" style="1215"/>
    <col min="6924" max="6924" width="8.5703125" style="1215" customWidth="1"/>
    <col min="6925" max="6925" width="50" style="1215" customWidth="1"/>
    <col min="6926" max="6926" width="6.42578125" style="1215" bestFit="1" customWidth="1"/>
    <col min="6927" max="6928" width="8.5703125" style="1215" customWidth="1"/>
    <col min="6929" max="6929" width="11.42578125" style="1215" bestFit="1" customWidth="1"/>
    <col min="6930" max="6930" width="7.5703125" style="1215" bestFit="1" customWidth="1"/>
    <col min="6931" max="6931" width="11.5703125" style="1215" bestFit="1" customWidth="1"/>
    <col min="6932" max="6932" width="8" style="1215" bestFit="1" customWidth="1"/>
    <col min="6933" max="6933" width="11.5703125" style="1215" bestFit="1" customWidth="1"/>
    <col min="6934" max="6934" width="8.42578125" style="1215" bestFit="1" customWidth="1"/>
    <col min="6935" max="6935" width="11.5703125" style="1215" bestFit="1" customWidth="1"/>
    <col min="6936" max="6936" width="8.42578125" style="1215" customWidth="1"/>
    <col min="6937" max="6937" width="7.42578125" style="1215" bestFit="1" customWidth="1"/>
    <col min="6938" max="6938" width="11.5703125" style="1215" bestFit="1" customWidth="1"/>
    <col min="6939" max="6939" width="8.42578125" style="1215" customWidth="1"/>
    <col min="6940" max="6940" width="13" style="1215" bestFit="1" customWidth="1"/>
    <col min="6941" max="7179" width="11.5703125" style="1215"/>
    <col min="7180" max="7180" width="8.5703125" style="1215" customWidth="1"/>
    <col min="7181" max="7181" width="50" style="1215" customWidth="1"/>
    <col min="7182" max="7182" width="6.42578125" style="1215" bestFit="1" customWidth="1"/>
    <col min="7183" max="7184" width="8.5703125" style="1215" customWidth="1"/>
    <col min="7185" max="7185" width="11.42578125" style="1215" bestFit="1" customWidth="1"/>
    <col min="7186" max="7186" width="7.5703125" style="1215" bestFit="1" customWidth="1"/>
    <col min="7187" max="7187" width="11.5703125" style="1215" bestFit="1" customWidth="1"/>
    <col min="7188" max="7188" width="8" style="1215" bestFit="1" customWidth="1"/>
    <col min="7189" max="7189" width="11.5703125" style="1215" bestFit="1" customWidth="1"/>
    <col min="7190" max="7190" width="8.42578125" style="1215" bestFit="1" customWidth="1"/>
    <col min="7191" max="7191" width="11.5703125" style="1215" bestFit="1" customWidth="1"/>
    <col min="7192" max="7192" width="8.42578125" style="1215" customWidth="1"/>
    <col min="7193" max="7193" width="7.42578125" style="1215" bestFit="1" customWidth="1"/>
    <col min="7194" max="7194" width="11.5703125" style="1215" bestFit="1" customWidth="1"/>
    <col min="7195" max="7195" width="8.42578125" style="1215" customWidth="1"/>
    <col min="7196" max="7196" width="13" style="1215" bestFit="1" customWidth="1"/>
    <col min="7197" max="7435" width="11.5703125" style="1215"/>
    <col min="7436" max="7436" width="8.5703125" style="1215" customWidth="1"/>
    <col min="7437" max="7437" width="50" style="1215" customWidth="1"/>
    <col min="7438" max="7438" width="6.42578125" style="1215" bestFit="1" customWidth="1"/>
    <col min="7439" max="7440" width="8.5703125" style="1215" customWidth="1"/>
    <col min="7441" max="7441" width="11.42578125" style="1215" bestFit="1" customWidth="1"/>
    <col min="7442" max="7442" width="7.5703125" style="1215" bestFit="1" customWidth="1"/>
    <col min="7443" max="7443" width="11.5703125" style="1215" bestFit="1" customWidth="1"/>
    <col min="7444" max="7444" width="8" style="1215" bestFit="1" customWidth="1"/>
    <col min="7445" max="7445" width="11.5703125" style="1215" bestFit="1" customWidth="1"/>
    <col min="7446" max="7446" width="8.42578125" style="1215" bestFit="1" customWidth="1"/>
    <col min="7447" max="7447" width="11.5703125" style="1215" bestFit="1" customWidth="1"/>
    <col min="7448" max="7448" width="8.42578125" style="1215" customWidth="1"/>
    <col min="7449" max="7449" width="7.42578125" style="1215" bestFit="1" customWidth="1"/>
    <col min="7450" max="7450" width="11.5703125" style="1215" bestFit="1" customWidth="1"/>
    <col min="7451" max="7451" width="8.42578125" style="1215" customWidth="1"/>
    <col min="7452" max="7452" width="13" style="1215" bestFit="1" customWidth="1"/>
    <col min="7453" max="7691" width="11.5703125" style="1215"/>
    <col min="7692" max="7692" width="8.5703125" style="1215" customWidth="1"/>
    <col min="7693" max="7693" width="50" style="1215" customWidth="1"/>
    <col min="7694" max="7694" width="6.42578125" style="1215" bestFit="1" customWidth="1"/>
    <col min="7695" max="7696" width="8.5703125" style="1215" customWidth="1"/>
    <col min="7697" max="7697" width="11.42578125" style="1215" bestFit="1" customWidth="1"/>
    <col min="7698" max="7698" width="7.5703125" style="1215" bestFit="1" customWidth="1"/>
    <col min="7699" max="7699" width="11.5703125" style="1215" bestFit="1" customWidth="1"/>
    <col min="7700" max="7700" width="8" style="1215" bestFit="1" customWidth="1"/>
    <col min="7701" max="7701" width="11.5703125" style="1215" bestFit="1" customWidth="1"/>
    <col min="7702" max="7702" width="8.42578125" style="1215" bestFit="1" customWidth="1"/>
    <col min="7703" max="7703" width="11.5703125" style="1215" bestFit="1" customWidth="1"/>
    <col min="7704" max="7704" width="8.42578125" style="1215" customWidth="1"/>
    <col min="7705" max="7705" width="7.42578125" style="1215" bestFit="1" customWidth="1"/>
    <col min="7706" max="7706" width="11.5703125" style="1215" bestFit="1" customWidth="1"/>
    <col min="7707" max="7707" width="8.42578125" style="1215" customWidth="1"/>
    <col min="7708" max="7708" width="13" style="1215" bestFit="1" customWidth="1"/>
    <col min="7709" max="7947" width="11.5703125" style="1215"/>
    <col min="7948" max="7948" width="8.5703125" style="1215" customWidth="1"/>
    <col min="7949" max="7949" width="50" style="1215" customWidth="1"/>
    <col min="7950" max="7950" width="6.42578125" style="1215" bestFit="1" customWidth="1"/>
    <col min="7951" max="7952" width="8.5703125" style="1215" customWidth="1"/>
    <col min="7953" max="7953" width="11.42578125" style="1215" bestFit="1" customWidth="1"/>
    <col min="7954" max="7954" width="7.5703125" style="1215" bestFit="1" customWidth="1"/>
    <col min="7955" max="7955" width="11.5703125" style="1215" bestFit="1" customWidth="1"/>
    <col min="7956" max="7956" width="8" style="1215" bestFit="1" customWidth="1"/>
    <col min="7957" max="7957" width="11.5703125" style="1215" bestFit="1" customWidth="1"/>
    <col min="7958" max="7958" width="8.42578125" style="1215" bestFit="1" customWidth="1"/>
    <col min="7959" max="7959" width="11.5703125" style="1215" bestFit="1" customWidth="1"/>
    <col min="7960" max="7960" width="8.42578125" style="1215" customWidth="1"/>
    <col min="7961" max="7961" width="7.42578125" style="1215" bestFit="1" customWidth="1"/>
    <col min="7962" max="7962" width="11.5703125" style="1215" bestFit="1" customWidth="1"/>
    <col min="7963" max="7963" width="8.42578125" style="1215" customWidth="1"/>
    <col min="7964" max="7964" width="13" style="1215" bestFit="1" customWidth="1"/>
    <col min="7965" max="8203" width="11.5703125" style="1215"/>
    <col min="8204" max="8204" width="8.5703125" style="1215" customWidth="1"/>
    <col min="8205" max="8205" width="50" style="1215" customWidth="1"/>
    <col min="8206" max="8206" width="6.42578125" style="1215" bestFit="1" customWidth="1"/>
    <col min="8207" max="8208" width="8.5703125" style="1215" customWidth="1"/>
    <col min="8209" max="8209" width="11.42578125" style="1215" bestFit="1" customWidth="1"/>
    <col min="8210" max="8210" width="7.5703125" style="1215" bestFit="1" customWidth="1"/>
    <col min="8211" max="8211" width="11.5703125" style="1215" bestFit="1" customWidth="1"/>
    <col min="8212" max="8212" width="8" style="1215" bestFit="1" customWidth="1"/>
    <col min="8213" max="8213" width="11.5703125" style="1215" bestFit="1" customWidth="1"/>
    <col min="8214" max="8214" width="8.42578125" style="1215" bestFit="1" customWidth="1"/>
    <col min="8215" max="8215" width="11.5703125" style="1215" bestFit="1" customWidth="1"/>
    <col min="8216" max="8216" width="8.42578125" style="1215" customWidth="1"/>
    <col min="8217" max="8217" width="7.42578125" style="1215" bestFit="1" customWidth="1"/>
    <col min="8218" max="8218" width="11.5703125" style="1215" bestFit="1" customWidth="1"/>
    <col min="8219" max="8219" width="8.42578125" style="1215" customWidth="1"/>
    <col min="8220" max="8220" width="13" style="1215" bestFit="1" customWidth="1"/>
    <col min="8221" max="8459" width="11.5703125" style="1215"/>
    <col min="8460" max="8460" width="8.5703125" style="1215" customWidth="1"/>
    <col min="8461" max="8461" width="50" style="1215" customWidth="1"/>
    <col min="8462" max="8462" width="6.42578125" style="1215" bestFit="1" customWidth="1"/>
    <col min="8463" max="8464" width="8.5703125" style="1215" customWidth="1"/>
    <col min="8465" max="8465" width="11.42578125" style="1215" bestFit="1" customWidth="1"/>
    <col min="8466" max="8466" width="7.5703125" style="1215" bestFit="1" customWidth="1"/>
    <col min="8467" max="8467" width="11.5703125" style="1215" bestFit="1" customWidth="1"/>
    <col min="8468" max="8468" width="8" style="1215" bestFit="1" customWidth="1"/>
    <col min="8469" max="8469" width="11.5703125" style="1215" bestFit="1" customWidth="1"/>
    <col min="8470" max="8470" width="8.42578125" style="1215" bestFit="1" customWidth="1"/>
    <col min="8471" max="8471" width="11.5703125" style="1215" bestFit="1" customWidth="1"/>
    <col min="8472" max="8472" width="8.42578125" style="1215" customWidth="1"/>
    <col min="8473" max="8473" width="7.42578125" style="1215" bestFit="1" customWidth="1"/>
    <col min="8474" max="8474" width="11.5703125" style="1215" bestFit="1" customWidth="1"/>
    <col min="8475" max="8475" width="8.42578125" style="1215" customWidth="1"/>
    <col min="8476" max="8476" width="13" style="1215" bestFit="1" customWidth="1"/>
    <col min="8477" max="8715" width="11.5703125" style="1215"/>
    <col min="8716" max="8716" width="8.5703125" style="1215" customWidth="1"/>
    <col min="8717" max="8717" width="50" style="1215" customWidth="1"/>
    <col min="8718" max="8718" width="6.42578125" style="1215" bestFit="1" customWidth="1"/>
    <col min="8719" max="8720" width="8.5703125" style="1215" customWidth="1"/>
    <col min="8721" max="8721" width="11.42578125" style="1215" bestFit="1" customWidth="1"/>
    <col min="8722" max="8722" width="7.5703125" style="1215" bestFit="1" customWidth="1"/>
    <col min="8723" max="8723" width="11.5703125" style="1215" bestFit="1" customWidth="1"/>
    <col min="8724" max="8724" width="8" style="1215" bestFit="1" customWidth="1"/>
    <col min="8725" max="8725" width="11.5703125" style="1215" bestFit="1" customWidth="1"/>
    <col min="8726" max="8726" width="8.42578125" style="1215" bestFit="1" customWidth="1"/>
    <col min="8727" max="8727" width="11.5703125" style="1215" bestFit="1" customWidth="1"/>
    <col min="8728" max="8728" width="8.42578125" style="1215" customWidth="1"/>
    <col min="8729" max="8729" width="7.42578125" style="1215" bestFit="1" customWidth="1"/>
    <col min="8730" max="8730" width="11.5703125" style="1215" bestFit="1" customWidth="1"/>
    <col min="8731" max="8731" width="8.42578125" style="1215" customWidth="1"/>
    <col min="8732" max="8732" width="13" style="1215" bestFit="1" customWidth="1"/>
    <col min="8733" max="8971" width="11.5703125" style="1215"/>
    <col min="8972" max="8972" width="8.5703125" style="1215" customWidth="1"/>
    <col min="8973" max="8973" width="50" style="1215" customWidth="1"/>
    <col min="8974" max="8974" width="6.42578125" style="1215" bestFit="1" customWidth="1"/>
    <col min="8975" max="8976" width="8.5703125" style="1215" customWidth="1"/>
    <col min="8977" max="8977" width="11.42578125" style="1215" bestFit="1" customWidth="1"/>
    <col min="8978" max="8978" width="7.5703125" style="1215" bestFit="1" customWidth="1"/>
    <col min="8979" max="8979" width="11.5703125" style="1215" bestFit="1" customWidth="1"/>
    <col min="8980" max="8980" width="8" style="1215" bestFit="1" customWidth="1"/>
    <col min="8981" max="8981" width="11.5703125" style="1215" bestFit="1" customWidth="1"/>
    <col min="8982" max="8982" width="8.42578125" style="1215" bestFit="1" customWidth="1"/>
    <col min="8983" max="8983" width="11.5703125" style="1215" bestFit="1" customWidth="1"/>
    <col min="8984" max="8984" width="8.42578125" style="1215" customWidth="1"/>
    <col min="8985" max="8985" width="7.42578125" style="1215" bestFit="1" customWidth="1"/>
    <col min="8986" max="8986" width="11.5703125" style="1215" bestFit="1" customWidth="1"/>
    <col min="8987" max="8987" width="8.42578125" style="1215" customWidth="1"/>
    <col min="8988" max="8988" width="13" style="1215" bestFit="1" customWidth="1"/>
    <col min="8989" max="9227" width="11.5703125" style="1215"/>
    <col min="9228" max="9228" width="8.5703125" style="1215" customWidth="1"/>
    <col min="9229" max="9229" width="50" style="1215" customWidth="1"/>
    <col min="9230" max="9230" width="6.42578125" style="1215" bestFit="1" customWidth="1"/>
    <col min="9231" max="9232" width="8.5703125" style="1215" customWidth="1"/>
    <col min="9233" max="9233" width="11.42578125" style="1215" bestFit="1" customWidth="1"/>
    <col min="9234" max="9234" width="7.5703125" style="1215" bestFit="1" customWidth="1"/>
    <col min="9235" max="9235" width="11.5703125" style="1215" bestFit="1" customWidth="1"/>
    <col min="9236" max="9236" width="8" style="1215" bestFit="1" customWidth="1"/>
    <col min="9237" max="9237" width="11.5703125" style="1215" bestFit="1" customWidth="1"/>
    <col min="9238" max="9238" width="8.42578125" style="1215" bestFit="1" customWidth="1"/>
    <col min="9239" max="9239" width="11.5703125" style="1215" bestFit="1" customWidth="1"/>
    <col min="9240" max="9240" width="8.42578125" style="1215" customWidth="1"/>
    <col min="9241" max="9241" width="7.42578125" style="1215" bestFit="1" customWidth="1"/>
    <col min="9242" max="9242" width="11.5703125" style="1215" bestFit="1" customWidth="1"/>
    <col min="9243" max="9243" width="8.42578125" style="1215" customWidth="1"/>
    <col min="9244" max="9244" width="13" style="1215" bestFit="1" customWidth="1"/>
    <col min="9245" max="9483" width="11.5703125" style="1215"/>
    <col min="9484" max="9484" width="8.5703125" style="1215" customWidth="1"/>
    <col min="9485" max="9485" width="50" style="1215" customWidth="1"/>
    <col min="9486" max="9486" width="6.42578125" style="1215" bestFit="1" customWidth="1"/>
    <col min="9487" max="9488" width="8.5703125" style="1215" customWidth="1"/>
    <col min="9489" max="9489" width="11.42578125" style="1215" bestFit="1" customWidth="1"/>
    <col min="9490" max="9490" width="7.5703125" style="1215" bestFit="1" customWidth="1"/>
    <col min="9491" max="9491" width="11.5703125" style="1215" bestFit="1" customWidth="1"/>
    <col min="9492" max="9492" width="8" style="1215" bestFit="1" customWidth="1"/>
    <col min="9493" max="9493" width="11.5703125" style="1215" bestFit="1" customWidth="1"/>
    <col min="9494" max="9494" width="8.42578125" style="1215" bestFit="1" customWidth="1"/>
    <col min="9495" max="9495" width="11.5703125" style="1215" bestFit="1" customWidth="1"/>
    <col min="9496" max="9496" width="8.42578125" style="1215" customWidth="1"/>
    <col min="9497" max="9497" width="7.42578125" style="1215" bestFit="1" customWidth="1"/>
    <col min="9498" max="9498" width="11.5703125" style="1215" bestFit="1" customWidth="1"/>
    <col min="9499" max="9499" width="8.42578125" style="1215" customWidth="1"/>
    <col min="9500" max="9500" width="13" style="1215" bestFit="1" customWidth="1"/>
    <col min="9501" max="9739" width="11.5703125" style="1215"/>
    <col min="9740" max="9740" width="8.5703125" style="1215" customWidth="1"/>
    <col min="9741" max="9741" width="50" style="1215" customWidth="1"/>
    <col min="9742" max="9742" width="6.42578125" style="1215" bestFit="1" customWidth="1"/>
    <col min="9743" max="9744" width="8.5703125" style="1215" customWidth="1"/>
    <col min="9745" max="9745" width="11.42578125" style="1215" bestFit="1" customWidth="1"/>
    <col min="9746" max="9746" width="7.5703125" style="1215" bestFit="1" customWidth="1"/>
    <col min="9747" max="9747" width="11.5703125" style="1215" bestFit="1" customWidth="1"/>
    <col min="9748" max="9748" width="8" style="1215" bestFit="1" customWidth="1"/>
    <col min="9749" max="9749" width="11.5703125" style="1215" bestFit="1" customWidth="1"/>
    <col min="9750" max="9750" width="8.42578125" style="1215" bestFit="1" customWidth="1"/>
    <col min="9751" max="9751" width="11.5703125" style="1215" bestFit="1" customWidth="1"/>
    <col min="9752" max="9752" width="8.42578125" style="1215" customWidth="1"/>
    <col min="9753" max="9753" width="7.42578125" style="1215" bestFit="1" customWidth="1"/>
    <col min="9754" max="9754" width="11.5703125" style="1215" bestFit="1" customWidth="1"/>
    <col min="9755" max="9755" width="8.42578125" style="1215" customWidth="1"/>
    <col min="9756" max="9756" width="13" style="1215" bestFit="1" customWidth="1"/>
    <col min="9757" max="9995" width="11.5703125" style="1215"/>
    <col min="9996" max="9996" width="8.5703125" style="1215" customWidth="1"/>
    <col min="9997" max="9997" width="50" style="1215" customWidth="1"/>
    <col min="9998" max="9998" width="6.42578125" style="1215" bestFit="1" customWidth="1"/>
    <col min="9999" max="10000" width="8.5703125" style="1215" customWidth="1"/>
    <col min="10001" max="10001" width="11.42578125" style="1215" bestFit="1" customWidth="1"/>
    <col min="10002" max="10002" width="7.5703125" style="1215" bestFit="1" customWidth="1"/>
    <col min="10003" max="10003" width="11.5703125" style="1215" bestFit="1" customWidth="1"/>
    <col min="10004" max="10004" width="8" style="1215" bestFit="1" customWidth="1"/>
    <col min="10005" max="10005" width="11.5703125" style="1215" bestFit="1" customWidth="1"/>
    <col min="10006" max="10006" width="8.42578125" style="1215" bestFit="1" customWidth="1"/>
    <col min="10007" max="10007" width="11.5703125" style="1215" bestFit="1" customWidth="1"/>
    <col min="10008" max="10008" width="8.42578125" style="1215" customWidth="1"/>
    <col min="10009" max="10009" width="7.42578125" style="1215" bestFit="1" customWidth="1"/>
    <col min="10010" max="10010" width="11.5703125" style="1215" bestFit="1" customWidth="1"/>
    <col min="10011" max="10011" width="8.42578125" style="1215" customWidth="1"/>
    <col min="10012" max="10012" width="13" style="1215" bestFit="1" customWidth="1"/>
    <col min="10013" max="10251" width="11.5703125" style="1215"/>
    <col min="10252" max="10252" width="8.5703125" style="1215" customWidth="1"/>
    <col min="10253" max="10253" width="50" style="1215" customWidth="1"/>
    <col min="10254" max="10254" width="6.42578125" style="1215" bestFit="1" customWidth="1"/>
    <col min="10255" max="10256" width="8.5703125" style="1215" customWidth="1"/>
    <col min="10257" max="10257" width="11.42578125" style="1215" bestFit="1" customWidth="1"/>
    <col min="10258" max="10258" width="7.5703125" style="1215" bestFit="1" customWidth="1"/>
    <col min="10259" max="10259" width="11.5703125" style="1215" bestFit="1" customWidth="1"/>
    <col min="10260" max="10260" width="8" style="1215" bestFit="1" customWidth="1"/>
    <col min="10261" max="10261" width="11.5703125" style="1215" bestFit="1" customWidth="1"/>
    <col min="10262" max="10262" width="8.42578125" style="1215" bestFit="1" customWidth="1"/>
    <col min="10263" max="10263" width="11.5703125" style="1215" bestFit="1" customWidth="1"/>
    <col min="10264" max="10264" width="8.42578125" style="1215" customWidth="1"/>
    <col min="10265" max="10265" width="7.42578125" style="1215" bestFit="1" customWidth="1"/>
    <col min="10266" max="10266" width="11.5703125" style="1215" bestFit="1" customWidth="1"/>
    <col min="10267" max="10267" width="8.42578125" style="1215" customWidth="1"/>
    <col min="10268" max="10268" width="13" style="1215" bestFit="1" customWidth="1"/>
    <col min="10269" max="10507" width="11.5703125" style="1215"/>
    <col min="10508" max="10508" width="8.5703125" style="1215" customWidth="1"/>
    <col min="10509" max="10509" width="50" style="1215" customWidth="1"/>
    <col min="10510" max="10510" width="6.42578125" style="1215" bestFit="1" customWidth="1"/>
    <col min="10511" max="10512" width="8.5703125" style="1215" customWidth="1"/>
    <col min="10513" max="10513" width="11.42578125" style="1215" bestFit="1" customWidth="1"/>
    <col min="10514" max="10514" width="7.5703125" style="1215" bestFit="1" customWidth="1"/>
    <col min="10515" max="10515" width="11.5703125" style="1215" bestFit="1" customWidth="1"/>
    <col min="10516" max="10516" width="8" style="1215" bestFit="1" customWidth="1"/>
    <col min="10517" max="10517" width="11.5703125" style="1215" bestFit="1" customWidth="1"/>
    <col min="10518" max="10518" width="8.42578125" style="1215" bestFit="1" customWidth="1"/>
    <col min="10519" max="10519" width="11.5703125" style="1215" bestFit="1" customWidth="1"/>
    <col min="10520" max="10520" width="8.42578125" style="1215" customWidth="1"/>
    <col min="10521" max="10521" width="7.42578125" style="1215" bestFit="1" customWidth="1"/>
    <col min="10522" max="10522" width="11.5703125" style="1215" bestFit="1" customWidth="1"/>
    <col min="10523" max="10523" width="8.42578125" style="1215" customWidth="1"/>
    <col min="10524" max="10524" width="13" style="1215" bestFit="1" customWidth="1"/>
    <col min="10525" max="10763" width="11.5703125" style="1215"/>
    <col min="10764" max="10764" width="8.5703125" style="1215" customWidth="1"/>
    <col min="10765" max="10765" width="50" style="1215" customWidth="1"/>
    <col min="10766" max="10766" width="6.42578125" style="1215" bestFit="1" customWidth="1"/>
    <col min="10767" max="10768" width="8.5703125" style="1215" customWidth="1"/>
    <col min="10769" max="10769" width="11.42578125" style="1215" bestFit="1" customWidth="1"/>
    <col min="10770" max="10770" width="7.5703125" style="1215" bestFit="1" customWidth="1"/>
    <col min="10771" max="10771" width="11.5703125" style="1215" bestFit="1" customWidth="1"/>
    <col min="10772" max="10772" width="8" style="1215" bestFit="1" customWidth="1"/>
    <col min="10773" max="10773" width="11.5703125" style="1215" bestFit="1" customWidth="1"/>
    <col min="10774" max="10774" width="8.42578125" style="1215" bestFit="1" customWidth="1"/>
    <col min="10775" max="10775" width="11.5703125" style="1215" bestFit="1" customWidth="1"/>
    <col min="10776" max="10776" width="8.42578125" style="1215" customWidth="1"/>
    <col min="10777" max="10777" width="7.42578125" style="1215" bestFit="1" customWidth="1"/>
    <col min="10778" max="10778" width="11.5703125" style="1215" bestFit="1" customWidth="1"/>
    <col min="10779" max="10779" width="8.42578125" style="1215" customWidth="1"/>
    <col min="10780" max="10780" width="13" style="1215" bestFit="1" customWidth="1"/>
    <col min="10781" max="11019" width="11.5703125" style="1215"/>
    <col min="11020" max="11020" width="8.5703125" style="1215" customWidth="1"/>
    <col min="11021" max="11021" width="50" style="1215" customWidth="1"/>
    <col min="11022" max="11022" width="6.42578125" style="1215" bestFit="1" customWidth="1"/>
    <col min="11023" max="11024" width="8.5703125" style="1215" customWidth="1"/>
    <col min="11025" max="11025" width="11.42578125" style="1215" bestFit="1" customWidth="1"/>
    <col min="11026" max="11026" width="7.5703125" style="1215" bestFit="1" customWidth="1"/>
    <col min="11027" max="11027" width="11.5703125" style="1215" bestFit="1" customWidth="1"/>
    <col min="11028" max="11028" width="8" style="1215" bestFit="1" customWidth="1"/>
    <col min="11029" max="11029" width="11.5703125" style="1215" bestFit="1" customWidth="1"/>
    <col min="11030" max="11030" width="8.42578125" style="1215" bestFit="1" customWidth="1"/>
    <col min="11031" max="11031" width="11.5703125" style="1215" bestFit="1" customWidth="1"/>
    <col min="11032" max="11032" width="8.42578125" style="1215" customWidth="1"/>
    <col min="11033" max="11033" width="7.42578125" style="1215" bestFit="1" customWidth="1"/>
    <col min="11034" max="11034" width="11.5703125" style="1215" bestFit="1" customWidth="1"/>
    <col min="11035" max="11035" width="8.42578125" style="1215" customWidth="1"/>
    <col min="11036" max="11036" width="13" style="1215" bestFit="1" customWidth="1"/>
    <col min="11037" max="11275" width="11.5703125" style="1215"/>
    <col min="11276" max="11276" width="8.5703125" style="1215" customWidth="1"/>
    <col min="11277" max="11277" width="50" style="1215" customWidth="1"/>
    <col min="11278" max="11278" width="6.42578125" style="1215" bestFit="1" customWidth="1"/>
    <col min="11279" max="11280" width="8.5703125" style="1215" customWidth="1"/>
    <col min="11281" max="11281" width="11.42578125" style="1215" bestFit="1" customWidth="1"/>
    <col min="11282" max="11282" width="7.5703125" style="1215" bestFit="1" customWidth="1"/>
    <col min="11283" max="11283" width="11.5703125" style="1215" bestFit="1" customWidth="1"/>
    <col min="11284" max="11284" width="8" style="1215" bestFit="1" customWidth="1"/>
    <col min="11285" max="11285" width="11.5703125" style="1215" bestFit="1" customWidth="1"/>
    <col min="11286" max="11286" width="8.42578125" style="1215" bestFit="1" customWidth="1"/>
    <col min="11287" max="11287" width="11.5703125" style="1215" bestFit="1" customWidth="1"/>
    <col min="11288" max="11288" width="8.42578125" style="1215" customWidth="1"/>
    <col min="11289" max="11289" width="7.42578125" style="1215" bestFit="1" customWidth="1"/>
    <col min="11290" max="11290" width="11.5703125" style="1215" bestFit="1" customWidth="1"/>
    <col min="11291" max="11291" width="8.42578125" style="1215" customWidth="1"/>
    <col min="11292" max="11292" width="13" style="1215" bestFit="1" customWidth="1"/>
    <col min="11293" max="11531" width="11.5703125" style="1215"/>
    <col min="11532" max="11532" width="8.5703125" style="1215" customWidth="1"/>
    <col min="11533" max="11533" width="50" style="1215" customWidth="1"/>
    <col min="11534" max="11534" width="6.42578125" style="1215" bestFit="1" customWidth="1"/>
    <col min="11535" max="11536" width="8.5703125" style="1215" customWidth="1"/>
    <col min="11537" max="11537" width="11.42578125" style="1215" bestFit="1" customWidth="1"/>
    <col min="11538" max="11538" width="7.5703125" style="1215" bestFit="1" customWidth="1"/>
    <col min="11539" max="11539" width="11.5703125" style="1215" bestFit="1" customWidth="1"/>
    <col min="11540" max="11540" width="8" style="1215" bestFit="1" customWidth="1"/>
    <col min="11541" max="11541" width="11.5703125" style="1215" bestFit="1" customWidth="1"/>
    <col min="11542" max="11542" width="8.42578125" style="1215" bestFit="1" customWidth="1"/>
    <col min="11543" max="11543" width="11.5703125" style="1215" bestFit="1" customWidth="1"/>
    <col min="11544" max="11544" width="8.42578125" style="1215" customWidth="1"/>
    <col min="11545" max="11545" width="7.42578125" style="1215" bestFit="1" customWidth="1"/>
    <col min="11546" max="11546" width="11.5703125" style="1215" bestFit="1" customWidth="1"/>
    <col min="11547" max="11547" width="8.42578125" style="1215" customWidth="1"/>
    <col min="11548" max="11548" width="13" style="1215" bestFit="1" customWidth="1"/>
    <col min="11549" max="11787" width="11.5703125" style="1215"/>
    <col min="11788" max="11788" width="8.5703125" style="1215" customWidth="1"/>
    <col min="11789" max="11789" width="50" style="1215" customWidth="1"/>
    <col min="11790" max="11790" width="6.42578125" style="1215" bestFit="1" customWidth="1"/>
    <col min="11791" max="11792" width="8.5703125" style="1215" customWidth="1"/>
    <col min="11793" max="11793" width="11.42578125" style="1215" bestFit="1" customWidth="1"/>
    <col min="11794" max="11794" width="7.5703125" style="1215" bestFit="1" customWidth="1"/>
    <col min="11795" max="11795" width="11.5703125" style="1215" bestFit="1" customWidth="1"/>
    <col min="11796" max="11796" width="8" style="1215" bestFit="1" customWidth="1"/>
    <col min="11797" max="11797" width="11.5703125" style="1215" bestFit="1" customWidth="1"/>
    <col min="11798" max="11798" width="8.42578125" style="1215" bestFit="1" customWidth="1"/>
    <col min="11799" max="11799" width="11.5703125" style="1215" bestFit="1" customWidth="1"/>
    <col min="11800" max="11800" width="8.42578125" style="1215" customWidth="1"/>
    <col min="11801" max="11801" width="7.42578125" style="1215" bestFit="1" customWidth="1"/>
    <col min="11802" max="11802" width="11.5703125" style="1215" bestFit="1" customWidth="1"/>
    <col min="11803" max="11803" width="8.42578125" style="1215" customWidth="1"/>
    <col min="11804" max="11804" width="13" style="1215" bestFit="1" customWidth="1"/>
    <col min="11805" max="12043" width="11.5703125" style="1215"/>
    <col min="12044" max="12044" width="8.5703125" style="1215" customWidth="1"/>
    <col min="12045" max="12045" width="50" style="1215" customWidth="1"/>
    <col min="12046" max="12046" width="6.42578125" style="1215" bestFit="1" customWidth="1"/>
    <col min="12047" max="12048" width="8.5703125" style="1215" customWidth="1"/>
    <col min="12049" max="12049" width="11.42578125" style="1215" bestFit="1" customWidth="1"/>
    <col min="12050" max="12050" width="7.5703125" style="1215" bestFit="1" customWidth="1"/>
    <col min="12051" max="12051" width="11.5703125" style="1215" bestFit="1" customWidth="1"/>
    <col min="12052" max="12052" width="8" style="1215" bestFit="1" customWidth="1"/>
    <col min="12053" max="12053" width="11.5703125" style="1215" bestFit="1" customWidth="1"/>
    <col min="12054" max="12054" width="8.42578125" style="1215" bestFit="1" customWidth="1"/>
    <col min="12055" max="12055" width="11.5703125" style="1215" bestFit="1" customWidth="1"/>
    <col min="12056" max="12056" width="8.42578125" style="1215" customWidth="1"/>
    <col min="12057" max="12057" width="7.42578125" style="1215" bestFit="1" customWidth="1"/>
    <col min="12058" max="12058" width="11.5703125" style="1215" bestFit="1" customWidth="1"/>
    <col min="12059" max="12059" width="8.42578125" style="1215" customWidth="1"/>
    <col min="12060" max="12060" width="13" style="1215" bestFit="1" customWidth="1"/>
    <col min="12061" max="12299" width="11.5703125" style="1215"/>
    <col min="12300" max="12300" width="8.5703125" style="1215" customWidth="1"/>
    <col min="12301" max="12301" width="50" style="1215" customWidth="1"/>
    <col min="12302" max="12302" width="6.42578125" style="1215" bestFit="1" customWidth="1"/>
    <col min="12303" max="12304" width="8.5703125" style="1215" customWidth="1"/>
    <col min="12305" max="12305" width="11.42578125" style="1215" bestFit="1" customWidth="1"/>
    <col min="12306" max="12306" width="7.5703125" style="1215" bestFit="1" customWidth="1"/>
    <col min="12307" max="12307" width="11.5703125" style="1215" bestFit="1" customWidth="1"/>
    <col min="12308" max="12308" width="8" style="1215" bestFit="1" customWidth="1"/>
    <col min="12309" max="12309" width="11.5703125" style="1215" bestFit="1" customWidth="1"/>
    <col min="12310" max="12310" width="8.42578125" style="1215" bestFit="1" customWidth="1"/>
    <col min="12311" max="12311" width="11.5703125" style="1215" bestFit="1" customWidth="1"/>
    <col min="12312" max="12312" width="8.42578125" style="1215" customWidth="1"/>
    <col min="12313" max="12313" width="7.42578125" style="1215" bestFit="1" customWidth="1"/>
    <col min="12314" max="12314" width="11.5703125" style="1215" bestFit="1" customWidth="1"/>
    <col min="12315" max="12315" width="8.42578125" style="1215" customWidth="1"/>
    <col min="12316" max="12316" width="13" style="1215" bestFit="1" customWidth="1"/>
    <col min="12317" max="12555" width="11.5703125" style="1215"/>
    <col min="12556" max="12556" width="8.5703125" style="1215" customWidth="1"/>
    <col min="12557" max="12557" width="50" style="1215" customWidth="1"/>
    <col min="12558" max="12558" width="6.42578125" style="1215" bestFit="1" customWidth="1"/>
    <col min="12559" max="12560" width="8.5703125" style="1215" customWidth="1"/>
    <col min="12561" max="12561" width="11.42578125" style="1215" bestFit="1" customWidth="1"/>
    <col min="12562" max="12562" width="7.5703125" style="1215" bestFit="1" customWidth="1"/>
    <col min="12563" max="12563" width="11.5703125" style="1215" bestFit="1" customWidth="1"/>
    <col min="12564" max="12564" width="8" style="1215" bestFit="1" customWidth="1"/>
    <col min="12565" max="12565" width="11.5703125" style="1215" bestFit="1" customWidth="1"/>
    <col min="12566" max="12566" width="8.42578125" style="1215" bestFit="1" customWidth="1"/>
    <col min="12567" max="12567" width="11.5703125" style="1215" bestFit="1" customWidth="1"/>
    <col min="12568" max="12568" width="8.42578125" style="1215" customWidth="1"/>
    <col min="12569" max="12569" width="7.42578125" style="1215" bestFit="1" customWidth="1"/>
    <col min="12570" max="12570" width="11.5703125" style="1215" bestFit="1" customWidth="1"/>
    <col min="12571" max="12571" width="8.42578125" style="1215" customWidth="1"/>
    <col min="12572" max="12572" width="13" style="1215" bestFit="1" customWidth="1"/>
    <col min="12573" max="12811" width="11.5703125" style="1215"/>
    <col min="12812" max="12812" width="8.5703125" style="1215" customWidth="1"/>
    <col min="12813" max="12813" width="50" style="1215" customWidth="1"/>
    <col min="12814" max="12814" width="6.42578125" style="1215" bestFit="1" customWidth="1"/>
    <col min="12815" max="12816" width="8.5703125" style="1215" customWidth="1"/>
    <col min="12817" max="12817" width="11.42578125" style="1215" bestFit="1" customWidth="1"/>
    <col min="12818" max="12818" width="7.5703125" style="1215" bestFit="1" customWidth="1"/>
    <col min="12819" max="12819" width="11.5703125" style="1215" bestFit="1" customWidth="1"/>
    <col min="12820" max="12820" width="8" style="1215" bestFit="1" customWidth="1"/>
    <col min="12821" max="12821" width="11.5703125" style="1215" bestFit="1" customWidth="1"/>
    <col min="12822" max="12822" width="8.42578125" style="1215" bestFit="1" customWidth="1"/>
    <col min="12823" max="12823" width="11.5703125" style="1215" bestFit="1" customWidth="1"/>
    <col min="12824" max="12824" width="8.42578125" style="1215" customWidth="1"/>
    <col min="12825" max="12825" width="7.42578125" style="1215" bestFit="1" customWidth="1"/>
    <col min="12826" max="12826" width="11.5703125" style="1215" bestFit="1" customWidth="1"/>
    <col min="12827" max="12827" width="8.42578125" style="1215" customWidth="1"/>
    <col min="12828" max="12828" width="13" style="1215" bestFit="1" customWidth="1"/>
    <col min="12829" max="13067" width="11.5703125" style="1215"/>
    <col min="13068" max="13068" width="8.5703125" style="1215" customWidth="1"/>
    <col min="13069" max="13069" width="50" style="1215" customWidth="1"/>
    <col min="13070" max="13070" width="6.42578125" style="1215" bestFit="1" customWidth="1"/>
    <col min="13071" max="13072" width="8.5703125" style="1215" customWidth="1"/>
    <col min="13073" max="13073" width="11.42578125" style="1215" bestFit="1" customWidth="1"/>
    <col min="13074" max="13074" width="7.5703125" style="1215" bestFit="1" customWidth="1"/>
    <col min="13075" max="13075" width="11.5703125" style="1215" bestFit="1" customWidth="1"/>
    <col min="13076" max="13076" width="8" style="1215" bestFit="1" customWidth="1"/>
    <col min="13077" max="13077" width="11.5703125" style="1215" bestFit="1" customWidth="1"/>
    <col min="13078" max="13078" width="8.42578125" style="1215" bestFit="1" customWidth="1"/>
    <col min="13079" max="13079" width="11.5703125" style="1215" bestFit="1" customWidth="1"/>
    <col min="13080" max="13080" width="8.42578125" style="1215" customWidth="1"/>
    <col min="13081" max="13081" width="7.42578125" style="1215" bestFit="1" customWidth="1"/>
    <col min="13082" max="13082" width="11.5703125" style="1215" bestFit="1" customWidth="1"/>
    <col min="13083" max="13083" width="8.42578125" style="1215" customWidth="1"/>
    <col min="13084" max="13084" width="13" style="1215" bestFit="1" customWidth="1"/>
    <col min="13085" max="13323" width="11.5703125" style="1215"/>
    <col min="13324" max="13324" width="8.5703125" style="1215" customWidth="1"/>
    <col min="13325" max="13325" width="50" style="1215" customWidth="1"/>
    <col min="13326" max="13326" width="6.42578125" style="1215" bestFit="1" customWidth="1"/>
    <col min="13327" max="13328" width="8.5703125" style="1215" customWidth="1"/>
    <col min="13329" max="13329" width="11.42578125" style="1215" bestFit="1" customWidth="1"/>
    <col min="13330" max="13330" width="7.5703125" style="1215" bestFit="1" customWidth="1"/>
    <col min="13331" max="13331" width="11.5703125" style="1215" bestFit="1" customWidth="1"/>
    <col min="13332" max="13332" width="8" style="1215" bestFit="1" customWidth="1"/>
    <col min="13333" max="13333" width="11.5703125" style="1215" bestFit="1" customWidth="1"/>
    <col min="13334" max="13334" width="8.42578125" style="1215" bestFit="1" customWidth="1"/>
    <col min="13335" max="13335" width="11.5703125" style="1215" bestFit="1" customWidth="1"/>
    <col min="13336" max="13336" width="8.42578125" style="1215" customWidth="1"/>
    <col min="13337" max="13337" width="7.42578125" style="1215" bestFit="1" customWidth="1"/>
    <col min="13338" max="13338" width="11.5703125" style="1215" bestFit="1" customWidth="1"/>
    <col min="13339" max="13339" width="8.42578125" style="1215" customWidth="1"/>
    <col min="13340" max="13340" width="13" style="1215" bestFit="1" customWidth="1"/>
    <col min="13341" max="13579" width="11.5703125" style="1215"/>
    <col min="13580" max="13580" width="8.5703125" style="1215" customWidth="1"/>
    <col min="13581" max="13581" width="50" style="1215" customWidth="1"/>
    <col min="13582" max="13582" width="6.42578125" style="1215" bestFit="1" customWidth="1"/>
    <col min="13583" max="13584" width="8.5703125" style="1215" customWidth="1"/>
    <col min="13585" max="13585" width="11.42578125" style="1215" bestFit="1" customWidth="1"/>
    <col min="13586" max="13586" width="7.5703125" style="1215" bestFit="1" customWidth="1"/>
    <col min="13587" max="13587" width="11.5703125" style="1215" bestFit="1" customWidth="1"/>
    <col min="13588" max="13588" width="8" style="1215" bestFit="1" customWidth="1"/>
    <col min="13589" max="13589" width="11.5703125" style="1215" bestFit="1" customWidth="1"/>
    <col min="13590" max="13590" width="8.42578125" style="1215" bestFit="1" customWidth="1"/>
    <col min="13591" max="13591" width="11.5703125" style="1215" bestFit="1" customWidth="1"/>
    <col min="13592" max="13592" width="8.42578125" style="1215" customWidth="1"/>
    <col min="13593" max="13593" width="7.42578125" style="1215" bestFit="1" customWidth="1"/>
    <col min="13594" max="13594" width="11.5703125" style="1215" bestFit="1" customWidth="1"/>
    <col min="13595" max="13595" width="8.42578125" style="1215" customWidth="1"/>
    <col min="13596" max="13596" width="13" style="1215" bestFit="1" customWidth="1"/>
    <col min="13597" max="13835" width="11.5703125" style="1215"/>
    <col min="13836" max="13836" width="8.5703125" style="1215" customWidth="1"/>
    <col min="13837" max="13837" width="50" style="1215" customWidth="1"/>
    <col min="13838" max="13838" width="6.42578125" style="1215" bestFit="1" customWidth="1"/>
    <col min="13839" max="13840" width="8.5703125" style="1215" customWidth="1"/>
    <col min="13841" max="13841" width="11.42578125" style="1215" bestFit="1" customWidth="1"/>
    <col min="13842" max="13842" width="7.5703125" style="1215" bestFit="1" customWidth="1"/>
    <col min="13843" max="13843" width="11.5703125" style="1215" bestFit="1" customWidth="1"/>
    <col min="13844" max="13844" width="8" style="1215" bestFit="1" customWidth="1"/>
    <col min="13845" max="13845" width="11.5703125" style="1215" bestFit="1" customWidth="1"/>
    <col min="13846" max="13846" width="8.42578125" style="1215" bestFit="1" customWidth="1"/>
    <col min="13847" max="13847" width="11.5703125" style="1215" bestFit="1" customWidth="1"/>
    <col min="13848" max="13848" width="8.42578125" style="1215" customWidth="1"/>
    <col min="13849" max="13849" width="7.42578125" style="1215" bestFit="1" customWidth="1"/>
    <col min="13850" max="13850" width="11.5703125" style="1215" bestFit="1" customWidth="1"/>
    <col min="13851" max="13851" width="8.42578125" style="1215" customWidth="1"/>
    <col min="13852" max="13852" width="13" style="1215" bestFit="1" customWidth="1"/>
    <col min="13853" max="14091" width="11.5703125" style="1215"/>
    <col min="14092" max="14092" width="8.5703125" style="1215" customWidth="1"/>
    <col min="14093" max="14093" width="50" style="1215" customWidth="1"/>
    <col min="14094" max="14094" width="6.42578125" style="1215" bestFit="1" customWidth="1"/>
    <col min="14095" max="14096" width="8.5703125" style="1215" customWidth="1"/>
    <col min="14097" max="14097" width="11.42578125" style="1215" bestFit="1" customWidth="1"/>
    <col min="14098" max="14098" width="7.5703125" style="1215" bestFit="1" customWidth="1"/>
    <col min="14099" max="14099" width="11.5703125" style="1215" bestFit="1" customWidth="1"/>
    <col min="14100" max="14100" width="8" style="1215" bestFit="1" customWidth="1"/>
    <col min="14101" max="14101" width="11.5703125" style="1215" bestFit="1" customWidth="1"/>
    <col min="14102" max="14102" width="8.42578125" style="1215" bestFit="1" customWidth="1"/>
    <col min="14103" max="14103" width="11.5703125" style="1215" bestFit="1" customWidth="1"/>
    <col min="14104" max="14104" width="8.42578125" style="1215" customWidth="1"/>
    <col min="14105" max="14105" width="7.42578125" style="1215" bestFit="1" customWidth="1"/>
    <col min="14106" max="14106" width="11.5703125" style="1215" bestFit="1" customWidth="1"/>
    <col min="14107" max="14107" width="8.42578125" style="1215" customWidth="1"/>
    <col min="14108" max="14108" width="13" style="1215" bestFit="1" customWidth="1"/>
    <col min="14109" max="14347" width="11.5703125" style="1215"/>
    <col min="14348" max="14348" width="8.5703125" style="1215" customWidth="1"/>
    <col min="14349" max="14349" width="50" style="1215" customWidth="1"/>
    <col min="14350" max="14350" width="6.42578125" style="1215" bestFit="1" customWidth="1"/>
    <col min="14351" max="14352" width="8.5703125" style="1215" customWidth="1"/>
    <col min="14353" max="14353" width="11.42578125" style="1215" bestFit="1" customWidth="1"/>
    <col min="14354" max="14354" width="7.5703125" style="1215" bestFit="1" customWidth="1"/>
    <col min="14355" max="14355" width="11.5703125" style="1215" bestFit="1" customWidth="1"/>
    <col min="14356" max="14356" width="8" style="1215" bestFit="1" customWidth="1"/>
    <col min="14357" max="14357" width="11.5703125" style="1215" bestFit="1" customWidth="1"/>
    <col min="14358" max="14358" width="8.42578125" style="1215" bestFit="1" customWidth="1"/>
    <col min="14359" max="14359" width="11.5703125" style="1215" bestFit="1" customWidth="1"/>
    <col min="14360" max="14360" width="8.42578125" style="1215" customWidth="1"/>
    <col min="14361" max="14361" width="7.42578125" style="1215" bestFit="1" customWidth="1"/>
    <col min="14362" max="14362" width="11.5703125" style="1215" bestFit="1" customWidth="1"/>
    <col min="14363" max="14363" width="8.42578125" style="1215" customWidth="1"/>
    <col min="14364" max="14364" width="13" style="1215" bestFit="1" customWidth="1"/>
    <col min="14365" max="14603" width="11.5703125" style="1215"/>
    <col min="14604" max="14604" width="8.5703125" style="1215" customWidth="1"/>
    <col min="14605" max="14605" width="50" style="1215" customWidth="1"/>
    <col min="14606" max="14606" width="6.42578125" style="1215" bestFit="1" customWidth="1"/>
    <col min="14607" max="14608" width="8.5703125" style="1215" customWidth="1"/>
    <col min="14609" max="14609" width="11.42578125" style="1215" bestFit="1" customWidth="1"/>
    <col min="14610" max="14610" width="7.5703125" style="1215" bestFit="1" customWidth="1"/>
    <col min="14611" max="14611" width="11.5703125" style="1215" bestFit="1" customWidth="1"/>
    <col min="14612" max="14612" width="8" style="1215" bestFit="1" customWidth="1"/>
    <col min="14613" max="14613" width="11.5703125" style="1215" bestFit="1" customWidth="1"/>
    <col min="14614" max="14614" width="8.42578125" style="1215" bestFit="1" customWidth="1"/>
    <col min="14615" max="14615" width="11.5703125" style="1215" bestFit="1" customWidth="1"/>
    <col min="14616" max="14616" width="8.42578125" style="1215" customWidth="1"/>
    <col min="14617" max="14617" width="7.42578125" style="1215" bestFit="1" customWidth="1"/>
    <col min="14618" max="14618" width="11.5703125" style="1215" bestFit="1" customWidth="1"/>
    <col min="14619" max="14619" width="8.42578125" style="1215" customWidth="1"/>
    <col min="14620" max="14620" width="13" style="1215" bestFit="1" customWidth="1"/>
    <col min="14621" max="14859" width="11.5703125" style="1215"/>
    <col min="14860" max="14860" width="8.5703125" style="1215" customWidth="1"/>
    <col min="14861" max="14861" width="50" style="1215" customWidth="1"/>
    <col min="14862" max="14862" width="6.42578125" style="1215" bestFit="1" customWidth="1"/>
    <col min="14863" max="14864" width="8.5703125" style="1215" customWidth="1"/>
    <col min="14865" max="14865" width="11.42578125" style="1215" bestFit="1" customWidth="1"/>
    <col min="14866" max="14866" width="7.5703125" style="1215" bestFit="1" customWidth="1"/>
    <col min="14867" max="14867" width="11.5703125" style="1215" bestFit="1" customWidth="1"/>
    <col min="14868" max="14868" width="8" style="1215" bestFit="1" customWidth="1"/>
    <col min="14869" max="14869" width="11.5703125" style="1215" bestFit="1" customWidth="1"/>
    <col min="14870" max="14870" width="8.42578125" style="1215" bestFit="1" customWidth="1"/>
    <col min="14871" max="14871" width="11.5703125" style="1215" bestFit="1" customWidth="1"/>
    <col min="14872" max="14872" width="8.42578125" style="1215" customWidth="1"/>
    <col min="14873" max="14873" width="7.42578125" style="1215" bestFit="1" customWidth="1"/>
    <col min="14874" max="14874" width="11.5703125" style="1215" bestFit="1" customWidth="1"/>
    <col min="14875" max="14875" width="8.42578125" style="1215" customWidth="1"/>
    <col min="14876" max="14876" width="13" style="1215" bestFit="1" customWidth="1"/>
    <col min="14877" max="15115" width="11.5703125" style="1215"/>
    <col min="15116" max="15116" width="8.5703125" style="1215" customWidth="1"/>
    <col min="15117" max="15117" width="50" style="1215" customWidth="1"/>
    <col min="15118" max="15118" width="6.42578125" style="1215" bestFit="1" customWidth="1"/>
    <col min="15119" max="15120" width="8.5703125" style="1215" customWidth="1"/>
    <col min="15121" max="15121" width="11.42578125" style="1215" bestFit="1" customWidth="1"/>
    <col min="15122" max="15122" width="7.5703125" style="1215" bestFit="1" customWidth="1"/>
    <col min="15123" max="15123" width="11.5703125" style="1215" bestFit="1" customWidth="1"/>
    <col min="15124" max="15124" width="8" style="1215" bestFit="1" customWidth="1"/>
    <col min="15125" max="15125" width="11.5703125" style="1215" bestFit="1" customWidth="1"/>
    <col min="15126" max="15126" width="8.42578125" style="1215" bestFit="1" customWidth="1"/>
    <col min="15127" max="15127" width="11.5703125" style="1215" bestFit="1" customWidth="1"/>
    <col min="15128" max="15128" width="8.42578125" style="1215" customWidth="1"/>
    <col min="15129" max="15129" width="7.42578125" style="1215" bestFit="1" customWidth="1"/>
    <col min="15130" max="15130" width="11.5703125" style="1215" bestFit="1" customWidth="1"/>
    <col min="15131" max="15131" width="8.42578125" style="1215" customWidth="1"/>
    <col min="15132" max="15132" width="13" style="1215" bestFit="1" customWidth="1"/>
    <col min="15133" max="15371" width="11.5703125" style="1215"/>
    <col min="15372" max="15372" width="8.5703125" style="1215" customWidth="1"/>
    <col min="15373" max="15373" width="50" style="1215" customWidth="1"/>
    <col min="15374" max="15374" width="6.42578125" style="1215" bestFit="1" customWidth="1"/>
    <col min="15375" max="15376" width="8.5703125" style="1215" customWidth="1"/>
    <col min="15377" max="15377" width="11.42578125" style="1215" bestFit="1" customWidth="1"/>
    <col min="15378" max="15378" width="7.5703125" style="1215" bestFit="1" customWidth="1"/>
    <col min="15379" max="15379" width="11.5703125" style="1215" bestFit="1" customWidth="1"/>
    <col min="15380" max="15380" width="8" style="1215" bestFit="1" customWidth="1"/>
    <col min="15381" max="15381" width="11.5703125" style="1215" bestFit="1" customWidth="1"/>
    <col min="15382" max="15382" width="8.42578125" style="1215" bestFit="1" customWidth="1"/>
    <col min="15383" max="15383" width="11.5703125" style="1215" bestFit="1" customWidth="1"/>
    <col min="15384" max="15384" width="8.42578125" style="1215" customWidth="1"/>
    <col min="15385" max="15385" width="7.42578125" style="1215" bestFit="1" customWidth="1"/>
    <col min="15386" max="15386" width="11.5703125" style="1215" bestFit="1" customWidth="1"/>
    <col min="15387" max="15387" width="8.42578125" style="1215" customWidth="1"/>
    <col min="15388" max="15388" width="13" style="1215" bestFit="1" customWidth="1"/>
    <col min="15389" max="15627" width="11.5703125" style="1215"/>
    <col min="15628" max="15628" width="8.5703125" style="1215" customWidth="1"/>
    <col min="15629" max="15629" width="50" style="1215" customWidth="1"/>
    <col min="15630" max="15630" width="6.42578125" style="1215" bestFit="1" customWidth="1"/>
    <col min="15631" max="15632" width="8.5703125" style="1215" customWidth="1"/>
    <col min="15633" max="15633" width="11.42578125" style="1215" bestFit="1" customWidth="1"/>
    <col min="15634" max="15634" width="7.5703125" style="1215" bestFit="1" customWidth="1"/>
    <col min="15635" max="15635" width="11.5703125" style="1215" bestFit="1" customWidth="1"/>
    <col min="15636" max="15636" width="8" style="1215" bestFit="1" customWidth="1"/>
    <col min="15637" max="15637" width="11.5703125" style="1215" bestFit="1" customWidth="1"/>
    <col min="15638" max="15638" width="8.42578125" style="1215" bestFit="1" customWidth="1"/>
    <col min="15639" max="15639" width="11.5703125" style="1215" bestFit="1" customWidth="1"/>
    <col min="15640" max="15640" width="8.42578125" style="1215" customWidth="1"/>
    <col min="15641" max="15641" width="7.42578125" style="1215" bestFit="1" customWidth="1"/>
    <col min="15642" max="15642" width="11.5703125" style="1215" bestFit="1" customWidth="1"/>
    <col min="15643" max="15643" width="8.42578125" style="1215" customWidth="1"/>
    <col min="15644" max="15644" width="13" style="1215" bestFit="1" customWidth="1"/>
    <col min="15645" max="15883" width="11.5703125" style="1215"/>
    <col min="15884" max="15884" width="8.5703125" style="1215" customWidth="1"/>
    <col min="15885" max="15885" width="50" style="1215" customWidth="1"/>
    <col min="15886" max="15886" width="6.42578125" style="1215" bestFit="1" customWidth="1"/>
    <col min="15887" max="15888" width="8.5703125" style="1215" customWidth="1"/>
    <col min="15889" max="15889" width="11.42578125" style="1215" bestFit="1" customWidth="1"/>
    <col min="15890" max="15890" width="7.5703125" style="1215" bestFit="1" customWidth="1"/>
    <col min="15891" max="15891" width="11.5703125" style="1215" bestFit="1" customWidth="1"/>
    <col min="15892" max="15892" width="8" style="1215" bestFit="1" customWidth="1"/>
    <col min="15893" max="15893" width="11.5703125" style="1215" bestFit="1" customWidth="1"/>
    <col min="15894" max="15894" width="8.42578125" style="1215" bestFit="1" customWidth="1"/>
    <col min="15895" max="15895" width="11.5703125" style="1215" bestFit="1" customWidth="1"/>
    <col min="15896" max="15896" width="8.42578125" style="1215" customWidth="1"/>
    <col min="15897" max="15897" width="7.42578125" style="1215" bestFit="1" customWidth="1"/>
    <col min="15898" max="15898" width="11.5703125" style="1215" bestFit="1" customWidth="1"/>
    <col min="15899" max="15899" width="8.42578125" style="1215" customWidth="1"/>
    <col min="15900" max="15900" width="13" style="1215" bestFit="1" customWidth="1"/>
    <col min="15901" max="16139" width="11.5703125" style="1215"/>
    <col min="16140" max="16140" width="8.5703125" style="1215" customWidth="1"/>
    <col min="16141" max="16141" width="50" style="1215" customWidth="1"/>
    <col min="16142" max="16142" width="6.42578125" style="1215" bestFit="1" customWidth="1"/>
    <col min="16143" max="16144" width="8.5703125" style="1215" customWidth="1"/>
    <col min="16145" max="16145" width="11.42578125" style="1215" bestFit="1" customWidth="1"/>
    <col min="16146" max="16146" width="7.5703125" style="1215" bestFit="1" customWidth="1"/>
    <col min="16147" max="16147" width="11.5703125" style="1215" bestFit="1" customWidth="1"/>
    <col min="16148" max="16148" width="8" style="1215" bestFit="1" customWidth="1"/>
    <col min="16149" max="16149" width="11.5703125" style="1215" bestFit="1" customWidth="1"/>
    <col min="16150" max="16150" width="8.42578125" style="1215" bestFit="1" customWidth="1"/>
    <col min="16151" max="16151" width="11.5703125" style="1215" bestFit="1" customWidth="1"/>
    <col min="16152" max="16152" width="8.42578125" style="1215" customWidth="1"/>
    <col min="16153" max="16153" width="7.42578125" style="1215" bestFit="1" customWidth="1"/>
    <col min="16154" max="16154" width="11.5703125" style="1215" bestFit="1" customWidth="1"/>
    <col min="16155" max="16155" width="8.42578125" style="1215" customWidth="1"/>
    <col min="16156" max="16156" width="13" style="1215" bestFit="1" customWidth="1"/>
    <col min="16157" max="16372" width="11.5703125" style="1215"/>
    <col min="16373" max="16384" width="11.5703125" style="1215" customWidth="1"/>
  </cols>
  <sheetData>
    <row r="1" spans="1:44">
      <c r="B1" s="3179" t="s">
        <v>12</v>
      </c>
      <c r="C1" s="3179"/>
      <c r="D1" s="3179"/>
      <c r="E1" s="3179"/>
      <c r="F1" s="3179"/>
      <c r="G1" s="3179"/>
      <c r="H1" s="3179"/>
      <c r="I1" s="3179"/>
      <c r="J1" s="3179"/>
      <c r="K1" s="3179"/>
      <c r="L1" s="3179"/>
      <c r="M1" s="3179"/>
      <c r="N1" s="3179"/>
      <c r="O1" s="3179"/>
      <c r="P1" s="3179"/>
      <c r="Q1" s="3179"/>
      <c r="R1" s="3179"/>
      <c r="S1" s="3179"/>
      <c r="T1" s="3179"/>
      <c r="U1" s="3207"/>
      <c r="V1" s="3208"/>
      <c r="W1" s="3179"/>
      <c r="X1" s="3179"/>
      <c r="Y1" s="3179"/>
      <c r="Z1" s="3179"/>
      <c r="AA1" s="3179"/>
      <c r="AB1" s="3179"/>
    </row>
    <row r="2" spans="1:44">
      <c r="B2" s="3179" t="s">
        <v>4352</v>
      </c>
      <c r="C2" s="3179"/>
      <c r="D2" s="3179"/>
      <c r="E2" s="3179"/>
      <c r="F2" s="3179"/>
      <c r="G2" s="3179"/>
      <c r="H2" s="3179"/>
      <c r="I2" s="3179"/>
      <c r="J2" s="3179"/>
      <c r="K2" s="3179"/>
      <c r="L2" s="3179"/>
      <c r="M2" s="3179"/>
      <c r="N2" s="3179"/>
      <c r="O2" s="3179"/>
      <c r="P2" s="3179"/>
      <c r="Q2" s="3179"/>
      <c r="R2" s="3179"/>
      <c r="S2" s="3179"/>
      <c r="T2" s="3179"/>
      <c r="U2" s="3207"/>
      <c r="V2" s="3208"/>
      <c r="W2" s="3179"/>
      <c r="X2" s="3179"/>
      <c r="Y2" s="3179"/>
      <c r="Z2" s="3179"/>
      <c r="AA2" s="3179"/>
      <c r="AB2" s="3179"/>
    </row>
    <row r="3" spans="1:44" ht="14.25" thickBot="1">
      <c r="B3" s="3179" t="s">
        <v>4389</v>
      </c>
      <c r="C3" s="3179"/>
      <c r="D3" s="3179"/>
      <c r="E3" s="3179"/>
      <c r="F3" s="3179"/>
      <c r="G3" s="3179"/>
      <c r="H3" s="3179"/>
      <c r="I3" s="3179"/>
      <c r="J3" s="3179"/>
      <c r="K3" s="3179"/>
      <c r="L3" s="3179"/>
      <c r="M3" s="3179"/>
      <c r="N3" s="3179"/>
      <c r="O3" s="3179"/>
      <c r="P3" s="3179"/>
      <c r="Q3" s="3179"/>
      <c r="R3" s="3179"/>
      <c r="S3" s="3179"/>
      <c r="T3" s="3179"/>
      <c r="U3" s="3207"/>
      <c r="V3" s="3208"/>
      <c r="W3" s="3179"/>
      <c r="X3" s="3179"/>
      <c r="Y3" s="3179"/>
      <c r="Z3" s="3179"/>
      <c r="AA3" s="3179"/>
      <c r="AB3" s="3179"/>
    </row>
    <row r="4" spans="1:44" ht="31.5" customHeight="1" thickBot="1">
      <c r="B4" s="1218"/>
      <c r="C4" s="1220" t="s">
        <v>6</v>
      </c>
      <c r="D4" s="1240" t="s">
        <v>4</v>
      </c>
      <c r="E4" s="3219" t="s">
        <v>2826</v>
      </c>
      <c r="F4" s="3220"/>
      <c r="G4" s="3220"/>
      <c r="H4" s="3220"/>
      <c r="I4" s="3220"/>
      <c r="J4" s="3220"/>
      <c r="K4" s="3220"/>
      <c r="L4" s="3220"/>
      <c r="M4" s="3220"/>
      <c r="N4" s="3220"/>
      <c r="O4" s="3220"/>
      <c r="P4" s="3220"/>
      <c r="Q4" s="3220"/>
      <c r="R4" s="3220"/>
      <c r="S4" s="3220"/>
      <c r="T4" s="3220"/>
      <c r="U4" s="3221"/>
      <c r="V4" s="3222"/>
      <c r="W4" s="3220"/>
      <c r="X4" s="3223"/>
      <c r="Y4" s="2292" t="s">
        <v>13</v>
      </c>
      <c r="Z4" s="1217"/>
      <c r="AA4" s="3224">
        <v>44681</v>
      </c>
      <c r="AB4" s="3224"/>
      <c r="AI4" s="1215"/>
    </row>
    <row r="5" spans="1:44">
      <c r="B5" s="1219"/>
      <c r="C5" s="1220" t="s">
        <v>5</v>
      </c>
      <c r="D5" s="1221" t="s">
        <v>4</v>
      </c>
      <c r="E5" s="1222" t="s">
        <v>532</v>
      </c>
      <c r="F5" s="1222"/>
      <c r="G5" s="1471"/>
      <c r="H5" s="1219"/>
      <c r="I5" s="1572"/>
      <c r="J5" s="1572"/>
      <c r="K5" s="1572"/>
      <c r="L5" s="1572"/>
      <c r="M5" s="1572"/>
      <c r="N5" s="1572"/>
      <c r="O5" s="1572"/>
      <c r="P5" s="1572"/>
      <c r="Q5" s="1572"/>
      <c r="R5" s="1347"/>
      <c r="S5" s="1347"/>
      <c r="T5" s="1346"/>
      <c r="U5" s="1347"/>
      <c r="V5" s="1346"/>
      <c r="Y5" s="2293" t="s">
        <v>14</v>
      </c>
      <c r="AA5" s="1219"/>
      <c r="AB5" s="1239" t="s">
        <v>535</v>
      </c>
      <c r="AI5" s="1215"/>
    </row>
    <row r="6" spans="1:44">
      <c r="C6" s="1220" t="s">
        <v>15</v>
      </c>
      <c r="D6" s="1221" t="s">
        <v>4</v>
      </c>
      <c r="E6" s="1222" t="s">
        <v>3663</v>
      </c>
      <c r="F6" s="1222"/>
      <c r="G6" s="1471"/>
      <c r="H6" s="1215"/>
      <c r="I6" s="1573"/>
      <c r="J6" s="1573"/>
      <c r="K6" s="1573"/>
      <c r="L6" s="1573"/>
      <c r="M6" s="1573"/>
      <c r="N6" s="1573"/>
      <c r="O6" s="1573"/>
      <c r="P6" s="1573"/>
      <c r="Q6" s="1573"/>
      <c r="R6" s="1231"/>
      <c r="S6" s="1346"/>
      <c r="T6" s="1346"/>
      <c r="U6" s="1346"/>
      <c r="V6" s="1346"/>
      <c r="Y6" s="2293" t="s">
        <v>16</v>
      </c>
      <c r="AB6" s="1239" t="s">
        <v>535</v>
      </c>
      <c r="AI6" s="1215"/>
    </row>
    <row r="7" spans="1:44">
      <c r="C7" s="1220" t="s">
        <v>17</v>
      </c>
      <c r="D7" s="1221" t="s">
        <v>4</v>
      </c>
      <c r="E7" s="1222" t="s">
        <v>11</v>
      </c>
      <c r="F7" s="1222"/>
      <c r="G7" s="1471"/>
      <c r="H7" s="1215"/>
      <c r="I7" s="1573"/>
      <c r="J7" s="1573"/>
      <c r="K7" s="1573"/>
      <c r="L7" s="1573"/>
      <c r="M7" s="1573"/>
      <c r="N7" s="1573"/>
      <c r="O7" s="1573"/>
      <c r="P7" s="1573"/>
      <c r="Q7" s="1573"/>
      <c r="R7" s="1231"/>
      <c r="S7" s="1346"/>
      <c r="T7" s="1346"/>
      <c r="U7" s="1346"/>
      <c r="V7" s="1431"/>
      <c r="W7" s="1237"/>
      <c r="Y7" s="2293" t="s">
        <v>18</v>
      </c>
      <c r="AA7" s="1223"/>
      <c r="AB7" s="1239" t="s">
        <v>10</v>
      </c>
      <c r="AI7" s="1215"/>
    </row>
    <row r="8" spans="1:44">
      <c r="C8" s="1220" t="s">
        <v>19</v>
      </c>
      <c r="D8" s="1221" t="s">
        <v>4</v>
      </c>
      <c r="E8" s="1224">
        <v>2022</v>
      </c>
      <c r="F8" s="1224"/>
      <c r="G8" s="1472"/>
      <c r="H8" s="1215"/>
      <c r="I8" s="1573"/>
      <c r="J8" s="1573"/>
      <c r="K8" s="1573"/>
      <c r="L8" s="1573"/>
      <c r="M8" s="1573"/>
      <c r="N8" s="1573"/>
      <c r="O8" s="1573"/>
      <c r="P8" s="1573"/>
      <c r="Q8" s="1573"/>
      <c r="R8" s="1346"/>
      <c r="S8" s="1346"/>
      <c r="T8" s="1346"/>
      <c r="U8" s="1346"/>
      <c r="V8" s="1346"/>
      <c r="W8" s="1237"/>
      <c r="X8" s="1299"/>
      <c r="AI8" s="1215"/>
    </row>
    <row r="9" spans="1:44" ht="9" customHeight="1" thickBot="1">
      <c r="R9" s="1346"/>
      <c r="S9" s="1346"/>
      <c r="T9" s="1346"/>
      <c r="U9" s="1346"/>
      <c r="V9" s="1346"/>
    </row>
    <row r="10" spans="1:44" ht="13.35" customHeight="1" thickBot="1">
      <c r="B10" s="3038" t="s">
        <v>20</v>
      </c>
      <c r="C10" s="3038" t="s">
        <v>21</v>
      </c>
      <c r="D10" s="3038" t="s">
        <v>4309</v>
      </c>
      <c r="E10" s="3225" t="s">
        <v>23</v>
      </c>
      <c r="F10" s="3226"/>
      <c r="G10" s="3226"/>
      <c r="H10" s="3226"/>
      <c r="I10" s="3226"/>
      <c r="J10" s="3226"/>
      <c r="K10" s="3226"/>
      <c r="L10" s="3226"/>
      <c r="M10" s="3226"/>
      <c r="N10" s="3226"/>
      <c r="O10" s="3226"/>
      <c r="P10" s="3226"/>
      <c r="Q10" s="3226"/>
      <c r="R10" s="3227"/>
      <c r="S10" s="3211" t="s">
        <v>24</v>
      </c>
      <c r="T10" s="3212"/>
      <c r="U10" s="3213"/>
      <c r="V10" s="3214"/>
      <c r="W10" s="3212"/>
      <c r="X10" s="3212"/>
      <c r="Y10" s="3215"/>
      <c r="Z10" s="3170" t="s">
        <v>25</v>
      </c>
      <c r="AA10" s="3171"/>
      <c r="AB10" s="3172"/>
    </row>
    <row r="11" spans="1:44" ht="13.35" customHeight="1" thickBot="1">
      <c r="B11" s="3039"/>
      <c r="C11" s="3039"/>
      <c r="D11" s="3039"/>
      <c r="E11" s="3228"/>
      <c r="F11" s="3229"/>
      <c r="G11" s="3229"/>
      <c r="H11" s="3229"/>
      <c r="I11" s="3229"/>
      <c r="J11" s="3229"/>
      <c r="K11" s="3229"/>
      <c r="L11" s="3229"/>
      <c r="M11" s="3229"/>
      <c r="N11" s="3229"/>
      <c r="O11" s="3229"/>
      <c r="P11" s="3229"/>
      <c r="Q11" s="3229"/>
      <c r="R11" s="3230"/>
      <c r="S11" s="3210" t="s">
        <v>26</v>
      </c>
      <c r="T11" s="3210"/>
      <c r="U11" s="3210" t="s">
        <v>27</v>
      </c>
      <c r="V11" s="3210"/>
      <c r="W11" s="3210" t="s">
        <v>28</v>
      </c>
      <c r="X11" s="3210"/>
      <c r="Y11" s="3210"/>
      <c r="Z11" s="3173"/>
      <c r="AA11" s="3174"/>
      <c r="AB11" s="3175"/>
    </row>
    <row r="12" spans="1:44" ht="12" customHeight="1" thickBot="1">
      <c r="B12" s="3039"/>
      <c r="C12" s="3039"/>
      <c r="D12" s="3039"/>
      <c r="E12" s="3038" t="s">
        <v>29</v>
      </c>
      <c r="F12" s="3201" t="s">
        <v>3713</v>
      </c>
      <c r="G12" s="3201" t="s">
        <v>3696</v>
      </c>
      <c r="H12" s="3184" t="s">
        <v>3697</v>
      </c>
      <c r="I12" s="3205" t="s">
        <v>3714</v>
      </c>
      <c r="J12" s="3205" t="s">
        <v>3711</v>
      </c>
      <c r="K12" s="3203" t="s">
        <v>3718</v>
      </c>
      <c r="L12" s="3203" t="s">
        <v>3719</v>
      </c>
      <c r="M12" s="3203" t="s">
        <v>3720</v>
      </c>
      <c r="N12" s="3203" t="s">
        <v>3721</v>
      </c>
      <c r="O12" s="3205" t="s">
        <v>3715</v>
      </c>
      <c r="P12" s="3205" t="s">
        <v>3717</v>
      </c>
      <c r="Q12" s="3205" t="s">
        <v>3716</v>
      </c>
      <c r="R12" s="3184" t="s">
        <v>3712</v>
      </c>
      <c r="S12" s="3038" t="s">
        <v>3698</v>
      </c>
      <c r="T12" s="3038" t="s">
        <v>32</v>
      </c>
      <c r="U12" s="3039" t="s">
        <v>3</v>
      </c>
      <c r="V12" s="3209" t="s">
        <v>3695</v>
      </c>
      <c r="W12" s="3039" t="s">
        <v>3</v>
      </c>
      <c r="X12" s="3039" t="s">
        <v>32</v>
      </c>
      <c r="Y12" s="3039" t="s">
        <v>0</v>
      </c>
      <c r="Z12" s="3038" t="s">
        <v>3</v>
      </c>
      <c r="AA12" s="3038" t="s">
        <v>32</v>
      </c>
      <c r="AB12" s="3038" t="s">
        <v>0</v>
      </c>
      <c r="AI12" s="3188" t="s">
        <v>3613</v>
      </c>
      <c r="AJ12" s="3189"/>
      <c r="AK12" s="3190"/>
    </row>
    <row r="13" spans="1:44" ht="28.5" customHeight="1" thickBot="1">
      <c r="B13" s="3040"/>
      <c r="C13" s="3040"/>
      <c r="D13" s="3040"/>
      <c r="E13" s="3040"/>
      <c r="F13" s="3202"/>
      <c r="G13" s="3202"/>
      <c r="H13" s="3185"/>
      <c r="I13" s="3206"/>
      <c r="J13" s="3206"/>
      <c r="K13" s="3204"/>
      <c r="L13" s="3204"/>
      <c r="M13" s="3204"/>
      <c r="N13" s="3204"/>
      <c r="O13" s="3206"/>
      <c r="P13" s="3206"/>
      <c r="Q13" s="3206"/>
      <c r="R13" s="3185"/>
      <c r="S13" s="3040"/>
      <c r="T13" s="3040"/>
      <c r="U13" s="3040"/>
      <c r="V13" s="3202"/>
      <c r="W13" s="3040"/>
      <c r="X13" s="3040"/>
      <c r="Y13" s="3040"/>
      <c r="Z13" s="3040"/>
      <c r="AA13" s="3040"/>
      <c r="AB13" s="3040"/>
    </row>
    <row r="14" spans="1:44" s="2371" customFormat="1">
      <c r="A14" s="2352" t="s">
        <v>3619</v>
      </c>
      <c r="B14" s="2353" t="s">
        <v>33</v>
      </c>
      <c r="C14" s="2354" t="s">
        <v>1131</v>
      </c>
      <c r="D14" s="2355"/>
      <c r="E14" s="2356"/>
      <c r="F14" s="2357"/>
      <c r="G14" s="2357"/>
      <c r="H14" s="2358"/>
      <c r="I14" s="2359"/>
      <c r="J14" s="2359"/>
      <c r="K14" s="2359"/>
      <c r="L14" s="2359"/>
      <c r="M14" s="2359"/>
      <c r="N14" s="2359"/>
      <c r="O14" s="2359"/>
      <c r="P14" s="2359"/>
      <c r="Q14" s="2359"/>
      <c r="R14" s="2359"/>
      <c r="S14" s="2360"/>
      <c r="T14" s="2361"/>
      <c r="U14" s="2362"/>
      <c r="V14" s="2361"/>
      <c r="W14" s="2363"/>
      <c r="X14" s="2364"/>
      <c r="Y14" s="2365"/>
      <c r="Z14" s="2363"/>
      <c r="AA14" s="2366"/>
      <c r="AB14" s="2365"/>
      <c r="AC14" s="2367"/>
      <c r="AD14" s="2367"/>
      <c r="AE14" s="2367"/>
      <c r="AF14" s="2367"/>
      <c r="AG14" s="2367"/>
      <c r="AH14" s="2367"/>
      <c r="AI14" s="2368" t="s">
        <v>3614</v>
      </c>
      <c r="AJ14" s="2369"/>
      <c r="AK14" s="2370">
        <f>SUM(V16:V79)</f>
        <v>0</v>
      </c>
      <c r="AR14" s="2372"/>
    </row>
    <row r="15" spans="1:44" s="1410" customFormat="1">
      <c r="A15" s="2102"/>
      <c r="B15" s="1263" t="s">
        <v>35</v>
      </c>
      <c r="C15" s="1264" t="s">
        <v>2827</v>
      </c>
      <c r="D15" s="1274"/>
      <c r="E15" s="1411"/>
      <c r="F15" s="1479"/>
      <c r="G15" s="1479"/>
      <c r="H15" s="1412"/>
      <c r="I15" s="1575"/>
      <c r="J15" s="1575"/>
      <c r="K15" s="1575"/>
      <c r="L15" s="1575"/>
      <c r="M15" s="1575"/>
      <c r="N15" s="1575"/>
      <c r="O15" s="1575"/>
      <c r="P15" s="1575"/>
      <c r="Q15" s="1575"/>
      <c r="R15" s="1575"/>
      <c r="S15" s="2440"/>
      <c r="T15" s="2441"/>
      <c r="U15" s="2442"/>
      <c r="V15" s="2443"/>
      <c r="W15" s="1869"/>
      <c r="X15" s="2444"/>
      <c r="Y15" s="2445" t="str">
        <f>+IF(D15=0,"",X15/#REF!)</f>
        <v/>
      </c>
      <c r="Z15" s="1869"/>
      <c r="AA15" s="2444"/>
      <c r="AB15" s="2445"/>
      <c r="AC15" s="1418"/>
      <c r="AD15" s="1418"/>
      <c r="AE15" s="1418"/>
      <c r="AF15" s="1418"/>
      <c r="AG15" s="1418"/>
      <c r="AH15" s="1418"/>
      <c r="AI15" s="1500" t="s">
        <v>3615</v>
      </c>
      <c r="AK15" s="1419">
        <f>SUM(V82:V278)</f>
        <v>24768.334398400002</v>
      </c>
    </row>
    <row r="16" spans="1:44" s="1410" customFormat="1" ht="15.75">
      <c r="A16" s="2102"/>
      <c r="B16" s="1268" t="s">
        <v>536</v>
      </c>
      <c r="C16" s="1241" t="s">
        <v>2828</v>
      </c>
      <c r="D16" s="1245" t="s">
        <v>41</v>
      </c>
      <c r="E16" s="1413">
        <v>1</v>
      </c>
      <c r="F16" s="1555">
        <v>226543.31</v>
      </c>
      <c r="G16" s="1480">
        <v>226543.31</v>
      </c>
      <c r="H16" s="1414">
        <v>226543.31</v>
      </c>
      <c r="I16" s="1576">
        <f t="shared" ref="I16:I79" si="0">ROUND(E16*F16,2)</f>
        <v>226543.31</v>
      </c>
      <c r="J16" s="1576">
        <f t="shared" ref="J16:J79" si="1">ROUND(E16*G16,2)</f>
        <v>226543.31</v>
      </c>
      <c r="K16" s="1576">
        <v>0.1</v>
      </c>
      <c r="L16" s="1576">
        <f>E16-N16</f>
        <v>9.9999999999999978E-2</v>
      </c>
      <c r="M16" s="1576">
        <v>0.9</v>
      </c>
      <c r="N16" s="1576">
        <f>ROUND(M16,2)</f>
        <v>0.9</v>
      </c>
      <c r="O16" s="1576">
        <f>ROUND(L16*G16,2)</f>
        <v>22654.33</v>
      </c>
      <c r="P16" s="1576">
        <f>ROUND(N16*G16,2)</f>
        <v>203888.98</v>
      </c>
      <c r="Q16" s="1576">
        <f>ROUND(N16*H16,2)</f>
        <v>203888.98</v>
      </c>
      <c r="R16" s="1576">
        <f>O16+Q16</f>
        <v>226543.31</v>
      </c>
      <c r="S16" s="1869">
        <v>1</v>
      </c>
      <c r="T16" s="1866">
        <v>226543.30999999994</v>
      </c>
      <c r="U16" s="2439"/>
      <c r="V16" s="1866">
        <f t="shared" ref="V16:V22" si="2">+U16*H16</f>
        <v>0</v>
      </c>
      <c r="W16" s="1869">
        <f>S16+U16</f>
        <v>1</v>
      </c>
      <c r="X16" s="1870">
        <f>+V16+T16</f>
        <v>226543.30999999994</v>
      </c>
      <c r="Y16" s="1871">
        <f>+IF(D16=0,"",X16/R16)</f>
        <v>0.99999999999999978</v>
      </c>
      <c r="Z16" s="1694">
        <f>+E16-W16</f>
        <v>0</v>
      </c>
      <c r="AA16" s="1872">
        <f>+Z16*H16</f>
        <v>0</v>
      </c>
      <c r="AB16" s="1873">
        <f>+IF(R16=0,"",AA16/R16)</f>
        <v>0</v>
      </c>
      <c r="AC16" s="1418">
        <f t="shared" ref="AC16:AC79" si="3">+R16-X16-AA16</f>
        <v>5.8207660913467407E-11</v>
      </c>
      <c r="AD16" s="1418">
        <f t="shared" ref="AD16:AD79" si="4">+E16-W16-Z16</f>
        <v>0</v>
      </c>
      <c r="AE16" s="1418">
        <v>226543.31</v>
      </c>
      <c r="AF16" s="1418">
        <f t="shared" ref="AF16:AF79" si="5">+AE16-R16</f>
        <v>0</v>
      </c>
      <c r="AG16" s="1418">
        <v>226543.31</v>
      </c>
      <c r="AH16" s="1418">
        <f t="shared" ref="AH16:AH79" si="6">+AG16-H16</f>
        <v>0</v>
      </c>
      <c r="AI16" s="1500" t="s">
        <v>1233</v>
      </c>
      <c r="AK16" s="1419">
        <f>SUM(V281:V440)</f>
        <v>63652.694199999991</v>
      </c>
      <c r="AO16" s="2504">
        <v>226543.30999999994</v>
      </c>
      <c r="AP16" s="1418">
        <f>+AO16-X16</f>
        <v>0</v>
      </c>
      <c r="AQ16" s="1418">
        <f t="shared" ref="AQ16:AQ79" si="7">+T16+V16+AA16-R16</f>
        <v>0</v>
      </c>
      <c r="AR16" s="1231">
        <f>+H16*E16-R16</f>
        <v>0</v>
      </c>
    </row>
    <row r="17" spans="1:44" s="1409" customFormat="1" ht="15.75">
      <c r="A17" s="2101"/>
      <c r="B17" s="1263" t="s">
        <v>39</v>
      </c>
      <c r="C17" s="1264" t="s">
        <v>2829</v>
      </c>
      <c r="D17" s="1265"/>
      <c r="E17" s="1415"/>
      <c r="F17" s="1267"/>
      <c r="G17" s="1480"/>
      <c r="H17" s="1416"/>
      <c r="I17" s="1576">
        <f t="shared" si="0"/>
        <v>0</v>
      </c>
      <c r="J17" s="1576">
        <f t="shared" si="1"/>
        <v>0</v>
      </c>
      <c r="K17" s="1576"/>
      <c r="L17" s="1576">
        <f t="shared" ref="L17:L80" si="8">E17-N17</f>
        <v>0</v>
      </c>
      <c r="M17" s="1576"/>
      <c r="N17" s="1576">
        <f t="shared" ref="N17:N80" si="9">ROUND(M17,2)</f>
        <v>0</v>
      </c>
      <c r="O17" s="1576">
        <f t="shared" ref="O17:O80" si="10">ROUND(L17*G17,2)</f>
        <v>0</v>
      </c>
      <c r="P17" s="1576">
        <f t="shared" ref="P17:P80" si="11">ROUND(N17*G17,2)</f>
        <v>0</v>
      </c>
      <c r="Q17" s="1576">
        <f t="shared" ref="Q17:Q80" si="12">ROUND(N17*H17,2)</f>
        <v>0</v>
      </c>
      <c r="R17" s="1576">
        <f t="shared" ref="R17:R80" si="13">O17+Q17</f>
        <v>0</v>
      </c>
      <c r="S17" s="1869"/>
      <c r="T17" s="1866"/>
      <c r="U17" s="2442"/>
      <c r="V17" s="1866">
        <f t="shared" si="2"/>
        <v>0</v>
      </c>
      <c r="W17" s="1869"/>
      <c r="X17" s="1870"/>
      <c r="Y17" s="1871" t="str">
        <f>+IF(D17=0,"",X17/#REF!)</f>
        <v/>
      </c>
      <c r="Z17" s="1694"/>
      <c r="AA17" s="1872"/>
      <c r="AB17" s="1873"/>
      <c r="AC17" s="1418">
        <f t="shared" si="3"/>
        <v>0</v>
      </c>
      <c r="AD17" s="1418">
        <f t="shared" si="4"/>
        <v>0</v>
      </c>
      <c r="AE17" s="1418"/>
      <c r="AF17" s="1418">
        <f t="shared" si="5"/>
        <v>0</v>
      </c>
      <c r="AG17" s="1418"/>
      <c r="AH17" s="1418">
        <f t="shared" si="6"/>
        <v>0</v>
      </c>
      <c r="AI17" s="1500" t="s">
        <v>3616</v>
      </c>
      <c r="AJ17" s="1410"/>
      <c r="AK17" s="1419">
        <f>SUM(V444:V603)</f>
        <v>92659.544000000024</v>
      </c>
      <c r="AO17" s="2505"/>
      <c r="AP17" s="1418">
        <f t="shared" ref="AP17:AP80" si="14">+AO17-X17</f>
        <v>0</v>
      </c>
      <c r="AQ17" s="1418">
        <f t="shared" si="7"/>
        <v>0</v>
      </c>
      <c r="AR17" s="1231">
        <f>+H17*E17-R17</f>
        <v>0</v>
      </c>
    </row>
    <row r="18" spans="1:44" s="1409" customFormat="1" ht="15.75">
      <c r="A18" s="2101"/>
      <c r="B18" s="1268" t="s">
        <v>541</v>
      </c>
      <c r="C18" s="1241" t="s">
        <v>2830</v>
      </c>
      <c r="D18" s="1245" t="s">
        <v>37</v>
      </c>
      <c r="E18" s="1413">
        <v>234</v>
      </c>
      <c r="F18" s="1555">
        <v>168.5</v>
      </c>
      <c r="G18" s="1480">
        <v>175.33</v>
      </c>
      <c r="H18" s="1414">
        <v>178.84</v>
      </c>
      <c r="I18" s="1576">
        <f t="shared" si="0"/>
        <v>39429</v>
      </c>
      <c r="J18" s="1576">
        <f t="shared" si="1"/>
        <v>41027.22</v>
      </c>
      <c r="K18" s="1576">
        <v>175.32</v>
      </c>
      <c r="L18" s="1576">
        <f t="shared" si="8"/>
        <v>175.32</v>
      </c>
      <c r="M18" s="1576">
        <v>58.680000000000007</v>
      </c>
      <c r="N18" s="1576">
        <f t="shared" si="9"/>
        <v>58.68</v>
      </c>
      <c r="O18" s="1576">
        <f t="shared" si="10"/>
        <v>30738.86</v>
      </c>
      <c r="P18" s="1576">
        <f t="shared" si="11"/>
        <v>10288.36</v>
      </c>
      <c r="Q18" s="1576">
        <f t="shared" si="12"/>
        <v>10494.33</v>
      </c>
      <c r="R18" s="1576">
        <f t="shared" si="13"/>
        <v>41233.19</v>
      </c>
      <c r="S18" s="1869">
        <v>234</v>
      </c>
      <c r="T18" s="1866">
        <v>41233.186800000003</v>
      </c>
      <c r="U18" s="2439"/>
      <c r="V18" s="1866">
        <f t="shared" si="2"/>
        <v>0</v>
      </c>
      <c r="W18" s="1869">
        <f>S18+U18</f>
        <v>234</v>
      </c>
      <c r="X18" s="1870">
        <f t="shared" ref="X18:X79" si="15">+V18+T18</f>
        <v>41233.186800000003</v>
      </c>
      <c r="Y18" s="1871">
        <f t="shared" ref="Y18:Y81" si="16">+IF(D18=0,"",X18/R18)</f>
        <v>0.99999992239261626</v>
      </c>
      <c r="Z18" s="1694">
        <f>+E18-W18</f>
        <v>0</v>
      </c>
      <c r="AA18" s="1872">
        <f t="shared" ref="AA18:AA81" si="17">+Z18*H18</f>
        <v>0</v>
      </c>
      <c r="AB18" s="1873">
        <f t="shared" ref="AB18:AB81" si="18">+IF(R18=0,"",AA18/R18)</f>
        <v>0</v>
      </c>
      <c r="AC18" s="1418">
        <f t="shared" si="3"/>
        <v>3.1999999991967343E-3</v>
      </c>
      <c r="AD18" s="1418">
        <f t="shared" si="4"/>
        <v>0</v>
      </c>
      <c r="AE18" s="1418">
        <v>41233.186800000003</v>
      </c>
      <c r="AF18" s="1418">
        <f t="shared" si="5"/>
        <v>-3.1999999991967343E-3</v>
      </c>
      <c r="AG18" s="1418">
        <v>178.84</v>
      </c>
      <c r="AH18" s="1418">
        <f t="shared" si="6"/>
        <v>0</v>
      </c>
      <c r="AI18" s="1500" t="s">
        <v>3617</v>
      </c>
      <c r="AJ18" s="1410"/>
      <c r="AK18" s="1419">
        <f>SUM(V606:V730)</f>
        <v>14541.5</v>
      </c>
      <c r="AO18" s="2505">
        <v>41233.186800000003</v>
      </c>
      <c r="AP18" s="1418">
        <f t="shared" si="14"/>
        <v>0</v>
      </c>
      <c r="AQ18" s="1418">
        <f t="shared" si="7"/>
        <v>-3.1999999991967343E-3</v>
      </c>
      <c r="AR18" s="1231">
        <f>+H18*E18-R18</f>
        <v>615.36999999999534</v>
      </c>
    </row>
    <row r="19" spans="1:44" s="1410" customFormat="1" ht="15.75">
      <c r="A19" s="2102"/>
      <c r="B19" s="1268" t="s">
        <v>542</v>
      </c>
      <c r="C19" s="1241" t="s">
        <v>2831</v>
      </c>
      <c r="D19" s="1245" t="s">
        <v>37</v>
      </c>
      <c r="E19" s="1413">
        <v>49</v>
      </c>
      <c r="F19" s="1555">
        <v>168.5</v>
      </c>
      <c r="G19" s="1480">
        <v>175.33</v>
      </c>
      <c r="H19" s="1414">
        <v>178.84</v>
      </c>
      <c r="I19" s="1576">
        <f t="shared" si="0"/>
        <v>8256.5</v>
      </c>
      <c r="J19" s="1576">
        <f t="shared" si="1"/>
        <v>8591.17</v>
      </c>
      <c r="K19" s="1576">
        <v>49</v>
      </c>
      <c r="L19" s="1576">
        <f t="shared" si="8"/>
        <v>49</v>
      </c>
      <c r="M19" s="1576">
        <v>0</v>
      </c>
      <c r="N19" s="1576">
        <f t="shared" si="9"/>
        <v>0</v>
      </c>
      <c r="O19" s="1576">
        <f t="shared" si="10"/>
        <v>8591.17</v>
      </c>
      <c r="P19" s="1576">
        <f t="shared" si="11"/>
        <v>0</v>
      </c>
      <c r="Q19" s="1576">
        <f t="shared" si="12"/>
        <v>0</v>
      </c>
      <c r="R19" s="1576">
        <f>O19+Q19</f>
        <v>8591.17</v>
      </c>
      <c r="S19" s="1869">
        <v>49</v>
      </c>
      <c r="T19" s="1866">
        <v>8591.17</v>
      </c>
      <c r="U19" s="2439"/>
      <c r="V19" s="1866">
        <f t="shared" si="2"/>
        <v>0</v>
      </c>
      <c r="W19" s="1869">
        <f>S19+U19</f>
        <v>49</v>
      </c>
      <c r="X19" s="1870">
        <f t="shared" si="15"/>
        <v>8591.17</v>
      </c>
      <c r="Y19" s="1871">
        <f t="shared" si="16"/>
        <v>1</v>
      </c>
      <c r="Z19" s="1694">
        <f>+E19-W19</f>
        <v>0</v>
      </c>
      <c r="AA19" s="1872">
        <f t="shared" si="17"/>
        <v>0</v>
      </c>
      <c r="AB19" s="1873">
        <f t="shared" si="18"/>
        <v>0</v>
      </c>
      <c r="AC19" s="1418">
        <f t="shared" si="3"/>
        <v>0</v>
      </c>
      <c r="AD19" s="1418">
        <f t="shared" si="4"/>
        <v>0</v>
      </c>
      <c r="AE19" s="1418">
        <v>8591.17</v>
      </c>
      <c r="AF19" s="1418">
        <f t="shared" si="5"/>
        <v>0</v>
      </c>
      <c r="AG19" s="1418">
        <v>175.33</v>
      </c>
      <c r="AH19" s="1418">
        <f t="shared" si="6"/>
        <v>-3.5099999999999909</v>
      </c>
      <c r="AI19" s="1500" t="s">
        <v>3618</v>
      </c>
      <c r="AK19" s="1419">
        <f>SUM(V736:V834)</f>
        <v>0</v>
      </c>
      <c r="AO19" s="2504">
        <v>8591.17</v>
      </c>
      <c r="AP19" s="1418">
        <f t="shared" si="14"/>
        <v>0</v>
      </c>
      <c r="AQ19" s="1418">
        <f t="shared" si="7"/>
        <v>0</v>
      </c>
    </row>
    <row r="20" spans="1:44" s="1409" customFormat="1" ht="15.75">
      <c r="A20" s="2101"/>
      <c r="B20" s="1268" t="s">
        <v>543</v>
      </c>
      <c r="C20" s="1241" t="s">
        <v>2832</v>
      </c>
      <c r="D20" s="1245" t="s">
        <v>37</v>
      </c>
      <c r="E20" s="1413">
        <v>300</v>
      </c>
      <c r="F20" s="1555">
        <v>168.5</v>
      </c>
      <c r="G20" s="1480">
        <v>175.33</v>
      </c>
      <c r="H20" s="1414">
        <v>178.84</v>
      </c>
      <c r="I20" s="1576">
        <f t="shared" si="0"/>
        <v>50550</v>
      </c>
      <c r="J20" s="1576">
        <f t="shared" si="1"/>
        <v>52599</v>
      </c>
      <c r="K20" s="1576">
        <v>206.7</v>
      </c>
      <c r="L20" s="1576">
        <f t="shared" si="8"/>
        <v>206.7</v>
      </c>
      <c r="M20" s="1576">
        <v>93.300000000000011</v>
      </c>
      <c r="N20" s="1576">
        <f t="shared" si="9"/>
        <v>93.3</v>
      </c>
      <c r="O20" s="1576">
        <f t="shared" si="10"/>
        <v>36240.71</v>
      </c>
      <c r="P20" s="1576">
        <f t="shared" si="11"/>
        <v>16358.29</v>
      </c>
      <c r="Q20" s="1576">
        <f t="shared" si="12"/>
        <v>16685.77</v>
      </c>
      <c r="R20" s="1576">
        <f t="shared" si="13"/>
        <v>52926.479999999996</v>
      </c>
      <c r="S20" s="1869">
        <v>300</v>
      </c>
      <c r="T20" s="1866">
        <v>52926.483000000007</v>
      </c>
      <c r="U20" s="2439"/>
      <c r="V20" s="1866">
        <f t="shared" si="2"/>
        <v>0</v>
      </c>
      <c r="W20" s="1869">
        <f>S20+U20</f>
        <v>300</v>
      </c>
      <c r="X20" s="1870">
        <f t="shared" si="15"/>
        <v>52926.483000000007</v>
      </c>
      <c r="Y20" s="1871">
        <f t="shared" si="16"/>
        <v>1.0000000566824019</v>
      </c>
      <c r="Z20" s="1694">
        <f>+E20-W20</f>
        <v>0</v>
      </c>
      <c r="AA20" s="1872">
        <f t="shared" si="17"/>
        <v>0</v>
      </c>
      <c r="AB20" s="1873">
        <f t="shared" si="18"/>
        <v>0</v>
      </c>
      <c r="AC20" s="1418">
        <f t="shared" si="3"/>
        <v>-3.0000000115251169E-3</v>
      </c>
      <c r="AD20" s="1418">
        <f t="shared" si="4"/>
        <v>0</v>
      </c>
      <c r="AE20" s="1418">
        <v>52926.483000000007</v>
      </c>
      <c r="AF20" s="1418">
        <f t="shared" si="5"/>
        <v>3.0000000115251169E-3</v>
      </c>
      <c r="AG20" s="1418">
        <v>178.84</v>
      </c>
      <c r="AH20" s="1418">
        <f t="shared" si="6"/>
        <v>0</v>
      </c>
      <c r="AI20" s="1429"/>
      <c r="AO20" s="2505">
        <v>52926.483000000007</v>
      </c>
      <c r="AP20" s="1418">
        <f t="shared" si="14"/>
        <v>0</v>
      </c>
      <c r="AQ20" s="1418">
        <f t="shared" si="7"/>
        <v>3.0000000115251169E-3</v>
      </c>
    </row>
    <row r="21" spans="1:44" s="1410" customFormat="1" ht="15.75">
      <c r="A21" s="2102"/>
      <c r="B21" s="1268" t="s">
        <v>2241</v>
      </c>
      <c r="C21" s="1241" t="s">
        <v>2833</v>
      </c>
      <c r="D21" s="1245" t="s">
        <v>38</v>
      </c>
      <c r="E21" s="1413">
        <v>343</v>
      </c>
      <c r="F21" s="1555">
        <v>67.66</v>
      </c>
      <c r="G21" s="1480">
        <v>68.040000000000006</v>
      </c>
      <c r="H21" s="1414">
        <v>68.23</v>
      </c>
      <c r="I21" s="1576">
        <f t="shared" si="0"/>
        <v>23207.38</v>
      </c>
      <c r="J21" s="1576">
        <f t="shared" si="1"/>
        <v>23337.72</v>
      </c>
      <c r="K21" s="1576">
        <v>179.33333333333331</v>
      </c>
      <c r="L21" s="1576">
        <f t="shared" si="8"/>
        <v>179.33</v>
      </c>
      <c r="M21" s="1576">
        <v>163.66666666666669</v>
      </c>
      <c r="N21" s="1576">
        <f t="shared" si="9"/>
        <v>163.66999999999999</v>
      </c>
      <c r="O21" s="1576">
        <f t="shared" si="10"/>
        <v>12201.61</v>
      </c>
      <c r="P21" s="1576">
        <f t="shared" si="11"/>
        <v>11136.11</v>
      </c>
      <c r="Q21" s="1576">
        <f t="shared" si="12"/>
        <v>11167.2</v>
      </c>
      <c r="R21" s="1576">
        <f t="shared" si="13"/>
        <v>23368.81</v>
      </c>
      <c r="S21" s="1869">
        <v>343</v>
      </c>
      <c r="T21" s="1866">
        <v>23368.816666666673</v>
      </c>
      <c r="U21" s="2439"/>
      <c r="V21" s="1866">
        <f t="shared" si="2"/>
        <v>0</v>
      </c>
      <c r="W21" s="1869">
        <f>S21+U21</f>
        <v>343</v>
      </c>
      <c r="X21" s="1870">
        <f t="shared" si="15"/>
        <v>23368.816666666673</v>
      </c>
      <c r="Y21" s="1871">
        <f t="shared" si="16"/>
        <v>1.0000002852805372</v>
      </c>
      <c r="Z21" s="1694">
        <f>+E21-W21</f>
        <v>0</v>
      </c>
      <c r="AA21" s="1872">
        <f t="shared" si="17"/>
        <v>0</v>
      </c>
      <c r="AB21" s="1873">
        <f t="shared" si="18"/>
        <v>0</v>
      </c>
      <c r="AC21" s="1418">
        <f t="shared" si="3"/>
        <v>-6.6666666716628242E-3</v>
      </c>
      <c r="AD21" s="1418">
        <f t="shared" si="4"/>
        <v>0</v>
      </c>
      <c r="AE21" s="1418">
        <v>23368.816666666669</v>
      </c>
      <c r="AF21" s="1418">
        <f t="shared" si="5"/>
        <v>6.6666666680248454E-3</v>
      </c>
      <c r="AG21" s="1418">
        <v>68.23</v>
      </c>
      <c r="AH21" s="1418">
        <f t="shared" si="6"/>
        <v>0</v>
      </c>
      <c r="AI21" s="1428"/>
      <c r="AJ21" s="1409" t="s">
        <v>2</v>
      </c>
      <c r="AK21" s="1417">
        <f>SUM(AK14:AK20)</f>
        <v>195622.0725984</v>
      </c>
      <c r="AL21" s="1418">
        <f>+V839</f>
        <v>195622.07259839994</v>
      </c>
      <c r="AM21" s="1418">
        <f>+AK21-AL21</f>
        <v>0</v>
      </c>
      <c r="AO21" s="2504">
        <v>23368.816666666673</v>
      </c>
      <c r="AP21" s="1418">
        <f t="shared" si="14"/>
        <v>0</v>
      </c>
      <c r="AQ21" s="1418">
        <f t="shared" si="7"/>
        <v>6.6666666716628242E-3</v>
      </c>
    </row>
    <row r="22" spans="1:44" s="1410" customFormat="1" ht="15.75">
      <c r="A22" s="2102"/>
      <c r="B22" s="1268" t="s">
        <v>2242</v>
      </c>
      <c r="C22" s="1241" t="s">
        <v>2834</v>
      </c>
      <c r="D22" s="1245" t="s">
        <v>1450</v>
      </c>
      <c r="E22" s="1413">
        <v>1</v>
      </c>
      <c r="F22" s="1555">
        <v>1943.97</v>
      </c>
      <c r="G22" s="1480">
        <v>1996.77</v>
      </c>
      <c r="H22" s="1414">
        <v>2024.4</v>
      </c>
      <c r="I22" s="1576">
        <f t="shared" si="0"/>
        <v>1943.97</v>
      </c>
      <c r="J22" s="1576">
        <f t="shared" si="1"/>
        <v>1996.77</v>
      </c>
      <c r="K22" s="1576">
        <v>1</v>
      </c>
      <c r="L22" s="1576">
        <f t="shared" si="8"/>
        <v>1</v>
      </c>
      <c r="M22" s="1576">
        <v>0</v>
      </c>
      <c r="N22" s="1576">
        <f t="shared" si="9"/>
        <v>0</v>
      </c>
      <c r="O22" s="1576">
        <f t="shared" si="10"/>
        <v>1996.77</v>
      </c>
      <c r="P22" s="1576">
        <f t="shared" si="11"/>
        <v>0</v>
      </c>
      <c r="Q22" s="1576">
        <f t="shared" si="12"/>
        <v>0</v>
      </c>
      <c r="R22" s="1576">
        <f t="shared" si="13"/>
        <v>1996.77</v>
      </c>
      <c r="S22" s="1869">
        <v>1</v>
      </c>
      <c r="T22" s="1866">
        <v>1996.77</v>
      </c>
      <c r="U22" s="2439"/>
      <c r="V22" s="1866">
        <f t="shared" si="2"/>
        <v>0</v>
      </c>
      <c r="W22" s="1869">
        <f>S22+U22</f>
        <v>1</v>
      </c>
      <c r="X22" s="1870">
        <f t="shared" si="15"/>
        <v>1996.77</v>
      </c>
      <c r="Y22" s="1871">
        <f t="shared" si="16"/>
        <v>1</v>
      </c>
      <c r="Z22" s="1694">
        <f>+E22-W22</f>
        <v>0</v>
      </c>
      <c r="AA22" s="1872">
        <f t="shared" si="17"/>
        <v>0</v>
      </c>
      <c r="AB22" s="1873">
        <f t="shared" si="18"/>
        <v>0</v>
      </c>
      <c r="AC22" s="1418">
        <f t="shared" si="3"/>
        <v>0</v>
      </c>
      <c r="AD22" s="1418">
        <f t="shared" si="4"/>
        <v>0</v>
      </c>
      <c r="AE22" s="1418">
        <v>1996.77</v>
      </c>
      <c r="AF22" s="1418">
        <f t="shared" si="5"/>
        <v>0</v>
      </c>
      <c r="AG22" s="1418">
        <v>1996.77</v>
      </c>
      <c r="AH22" s="1418">
        <f t="shared" si="6"/>
        <v>-27.630000000000109</v>
      </c>
      <c r="AI22" s="1428"/>
      <c r="AO22" s="2504">
        <v>1996.77</v>
      </c>
      <c r="AP22" s="1418">
        <f t="shared" si="14"/>
        <v>0</v>
      </c>
      <c r="AQ22" s="1418">
        <f t="shared" si="7"/>
        <v>0</v>
      </c>
    </row>
    <row r="23" spans="1:44" s="1410" customFormat="1" ht="15.75">
      <c r="A23" s="2102" t="s">
        <v>3619</v>
      </c>
      <c r="B23" s="1263" t="s">
        <v>544</v>
      </c>
      <c r="C23" s="1264" t="s">
        <v>2835</v>
      </c>
      <c r="D23" s="1265"/>
      <c r="E23" s="1415"/>
      <c r="F23" s="1267"/>
      <c r="G23" s="1481"/>
      <c r="H23" s="1416"/>
      <c r="I23" s="1576">
        <f t="shared" si="0"/>
        <v>0</v>
      </c>
      <c r="J23" s="1576">
        <f t="shared" si="1"/>
        <v>0</v>
      </c>
      <c r="K23" s="1576"/>
      <c r="L23" s="1576">
        <f t="shared" si="8"/>
        <v>0</v>
      </c>
      <c r="M23" s="1576"/>
      <c r="N23" s="1576">
        <f t="shared" si="9"/>
        <v>0</v>
      </c>
      <c r="O23" s="1576">
        <f t="shared" si="10"/>
        <v>0</v>
      </c>
      <c r="P23" s="1576">
        <f t="shared" si="11"/>
        <v>0</v>
      </c>
      <c r="Q23" s="1576">
        <f t="shared" si="12"/>
        <v>0</v>
      </c>
      <c r="R23" s="1576">
        <f t="shared" si="13"/>
        <v>0</v>
      </c>
      <c r="S23" s="1869"/>
      <c r="T23" s="1866"/>
      <c r="U23" s="2442"/>
      <c r="V23" s="1866"/>
      <c r="W23" s="1869"/>
      <c r="X23" s="1870"/>
      <c r="Y23" s="1871" t="str">
        <f t="shared" si="16"/>
        <v/>
      </c>
      <c r="Z23" s="1694"/>
      <c r="AA23" s="1872">
        <f t="shared" si="17"/>
        <v>0</v>
      </c>
      <c r="AB23" s="1873" t="str">
        <f t="shared" si="18"/>
        <v/>
      </c>
      <c r="AC23" s="1418">
        <f t="shared" si="3"/>
        <v>0</v>
      </c>
      <c r="AD23" s="1418">
        <f t="shared" si="4"/>
        <v>0</v>
      </c>
      <c r="AE23" s="1418"/>
      <c r="AF23" s="1418">
        <f t="shared" si="5"/>
        <v>0</v>
      </c>
      <c r="AG23" s="1418"/>
      <c r="AH23" s="1418">
        <f t="shared" si="6"/>
        <v>0</v>
      </c>
      <c r="AI23" s="1428"/>
      <c r="AO23" s="2504"/>
      <c r="AP23" s="1418">
        <f t="shared" si="14"/>
        <v>0</v>
      </c>
      <c r="AQ23" s="1418">
        <f t="shared" si="7"/>
        <v>0</v>
      </c>
    </row>
    <row r="24" spans="1:44" s="1410" customFormat="1" ht="16.5" thickBot="1">
      <c r="A24" s="2102" t="s">
        <v>3619</v>
      </c>
      <c r="B24" s="1268" t="s">
        <v>545</v>
      </c>
      <c r="C24" s="1241" t="s">
        <v>2836</v>
      </c>
      <c r="D24" s="1245" t="s">
        <v>41</v>
      </c>
      <c r="E24" s="1413">
        <v>1</v>
      </c>
      <c r="F24" s="1555">
        <v>3146.47</v>
      </c>
      <c r="G24" s="1480">
        <v>3146.47</v>
      </c>
      <c r="H24" s="1414">
        <v>3146.47</v>
      </c>
      <c r="I24" s="1576">
        <f t="shared" si="0"/>
        <v>3146.47</v>
      </c>
      <c r="J24" s="1576">
        <f t="shared" si="1"/>
        <v>3146.47</v>
      </c>
      <c r="K24" s="1576">
        <v>0.5</v>
      </c>
      <c r="L24" s="1576">
        <f t="shared" si="8"/>
        <v>0.5</v>
      </c>
      <c r="M24" s="1576">
        <v>0.5</v>
      </c>
      <c r="N24" s="1576">
        <f t="shared" si="9"/>
        <v>0.5</v>
      </c>
      <c r="O24" s="1576">
        <f t="shared" si="10"/>
        <v>1573.24</v>
      </c>
      <c r="P24" s="1576">
        <f t="shared" si="11"/>
        <v>1573.24</v>
      </c>
      <c r="Q24" s="1576">
        <f t="shared" si="12"/>
        <v>1573.24</v>
      </c>
      <c r="R24" s="1576">
        <f t="shared" si="13"/>
        <v>3146.48</v>
      </c>
      <c r="S24" s="1869">
        <v>1</v>
      </c>
      <c r="T24" s="1866">
        <v>3146.47</v>
      </c>
      <c r="U24" s="2439"/>
      <c r="V24" s="1866">
        <f>+U24*H24</f>
        <v>0</v>
      </c>
      <c r="W24" s="1869">
        <f>S24+U24</f>
        <v>1</v>
      </c>
      <c r="X24" s="1870">
        <f t="shared" si="15"/>
        <v>3146.47</v>
      </c>
      <c r="Y24" s="1871">
        <f t="shared" si="16"/>
        <v>0.99999682184536365</v>
      </c>
      <c r="Z24" s="1694">
        <f>+E24-W24</f>
        <v>0</v>
      </c>
      <c r="AA24" s="1872">
        <f t="shared" si="17"/>
        <v>0</v>
      </c>
      <c r="AB24" s="1873">
        <f t="shared" si="18"/>
        <v>0</v>
      </c>
      <c r="AC24" s="1418">
        <f t="shared" si="3"/>
        <v>1.0000000000218279E-2</v>
      </c>
      <c r="AD24" s="1418">
        <f t="shared" si="4"/>
        <v>0</v>
      </c>
      <c r="AE24" s="1418">
        <v>3146.47</v>
      </c>
      <c r="AF24" s="1418">
        <f t="shared" si="5"/>
        <v>-1.0000000000218279E-2</v>
      </c>
      <c r="AG24" s="1418">
        <v>3146.47</v>
      </c>
      <c r="AH24" s="1418">
        <f t="shared" si="6"/>
        <v>0</v>
      </c>
      <c r="AI24" s="1428"/>
      <c r="AO24" s="2504">
        <v>3146.47</v>
      </c>
      <c r="AP24" s="1418">
        <f t="shared" si="14"/>
        <v>0</v>
      </c>
      <c r="AQ24" s="1418">
        <f t="shared" si="7"/>
        <v>-1.0000000000218279E-2</v>
      </c>
    </row>
    <row r="25" spans="1:44" s="1410" customFormat="1" ht="16.5" thickBot="1">
      <c r="A25" s="2102"/>
      <c r="B25" s="1268" t="s">
        <v>546</v>
      </c>
      <c r="C25" s="1241" t="s">
        <v>2837</v>
      </c>
      <c r="D25" s="1245" t="s">
        <v>41</v>
      </c>
      <c r="E25" s="1413">
        <v>1</v>
      </c>
      <c r="F25" s="1555">
        <v>1003</v>
      </c>
      <c r="G25" s="1480">
        <v>1003</v>
      </c>
      <c r="H25" s="1414">
        <v>1003</v>
      </c>
      <c r="I25" s="1576">
        <f t="shared" si="0"/>
        <v>1003</v>
      </c>
      <c r="J25" s="1576">
        <f t="shared" si="1"/>
        <v>1003</v>
      </c>
      <c r="K25" s="1576">
        <v>0.6</v>
      </c>
      <c r="L25" s="1576">
        <f t="shared" si="8"/>
        <v>0.6</v>
      </c>
      <c r="M25" s="1576">
        <v>0.4</v>
      </c>
      <c r="N25" s="1576">
        <f t="shared" si="9"/>
        <v>0.4</v>
      </c>
      <c r="O25" s="1576">
        <f t="shared" si="10"/>
        <v>601.79999999999995</v>
      </c>
      <c r="P25" s="1576">
        <f t="shared" si="11"/>
        <v>401.2</v>
      </c>
      <c r="Q25" s="1576">
        <f t="shared" si="12"/>
        <v>401.2</v>
      </c>
      <c r="R25" s="1576">
        <f t="shared" si="13"/>
        <v>1003</v>
      </c>
      <c r="S25" s="1869">
        <v>1</v>
      </c>
      <c r="T25" s="1866">
        <v>1003</v>
      </c>
      <c r="U25" s="2439"/>
      <c r="V25" s="1866">
        <f>+U25*H25</f>
        <v>0</v>
      </c>
      <c r="W25" s="1869">
        <f>S25+U25</f>
        <v>1</v>
      </c>
      <c r="X25" s="1870">
        <f t="shared" si="15"/>
        <v>1003</v>
      </c>
      <c r="Y25" s="1871">
        <f t="shared" si="16"/>
        <v>1</v>
      </c>
      <c r="Z25" s="1694">
        <f>+E25-W25</f>
        <v>0</v>
      </c>
      <c r="AA25" s="1872">
        <f t="shared" si="17"/>
        <v>0</v>
      </c>
      <c r="AB25" s="1873">
        <f t="shared" si="18"/>
        <v>0</v>
      </c>
      <c r="AC25" s="1418">
        <f t="shared" si="3"/>
        <v>0</v>
      </c>
      <c r="AD25" s="1418">
        <f t="shared" si="4"/>
        <v>0</v>
      </c>
      <c r="AE25" s="1418">
        <v>1003</v>
      </c>
      <c r="AF25" s="1418">
        <f t="shared" si="5"/>
        <v>0</v>
      </c>
      <c r="AG25" s="1418">
        <v>1003</v>
      </c>
      <c r="AH25" s="1418">
        <f t="shared" si="6"/>
        <v>0</v>
      </c>
      <c r="AI25" s="3216" t="s">
        <v>3699</v>
      </c>
      <c r="AJ25" s="3217"/>
      <c r="AK25" s="3218"/>
      <c r="AO25" s="2504">
        <v>1003</v>
      </c>
      <c r="AP25" s="1418">
        <f t="shared" si="14"/>
        <v>0</v>
      </c>
      <c r="AQ25" s="1418">
        <f t="shared" si="7"/>
        <v>0</v>
      </c>
    </row>
    <row r="26" spans="1:44" s="1409" customFormat="1" ht="15.75">
      <c r="A26" s="2101" t="s">
        <v>3619</v>
      </c>
      <c r="B26" s="1268" t="s">
        <v>2243</v>
      </c>
      <c r="C26" s="1241" t="s">
        <v>2838</v>
      </c>
      <c r="D26" s="1245" t="s">
        <v>41</v>
      </c>
      <c r="E26" s="1413">
        <v>1</v>
      </c>
      <c r="F26" s="1555">
        <v>2360</v>
      </c>
      <c r="G26" s="1480">
        <v>2360</v>
      </c>
      <c r="H26" s="1414">
        <v>2360</v>
      </c>
      <c r="I26" s="1576">
        <f t="shared" si="0"/>
        <v>2360</v>
      </c>
      <c r="J26" s="1576">
        <f t="shared" si="1"/>
        <v>2360</v>
      </c>
      <c r="K26" s="1576">
        <v>0.5</v>
      </c>
      <c r="L26" s="1576">
        <f t="shared" si="8"/>
        <v>0.5</v>
      </c>
      <c r="M26" s="1576">
        <v>0.5</v>
      </c>
      <c r="N26" s="1576">
        <f t="shared" si="9"/>
        <v>0.5</v>
      </c>
      <c r="O26" s="1576">
        <f t="shared" si="10"/>
        <v>1180</v>
      </c>
      <c r="P26" s="1576">
        <f t="shared" si="11"/>
        <v>1180</v>
      </c>
      <c r="Q26" s="1576">
        <f t="shared" si="12"/>
        <v>1180</v>
      </c>
      <c r="R26" s="1576">
        <f t="shared" si="13"/>
        <v>2360</v>
      </c>
      <c r="S26" s="1869">
        <v>1</v>
      </c>
      <c r="T26" s="1866">
        <v>2360</v>
      </c>
      <c r="U26" s="2439"/>
      <c r="V26" s="1866">
        <f>+U26*H26</f>
        <v>0</v>
      </c>
      <c r="W26" s="1869">
        <f>S26+U26</f>
        <v>1</v>
      </c>
      <c r="X26" s="1870">
        <f t="shared" si="15"/>
        <v>2360</v>
      </c>
      <c r="Y26" s="1871">
        <f t="shared" si="16"/>
        <v>1</v>
      </c>
      <c r="Z26" s="1694">
        <f>+E26-W26</f>
        <v>0</v>
      </c>
      <c r="AA26" s="1872">
        <f t="shared" si="17"/>
        <v>0</v>
      </c>
      <c r="AB26" s="1873">
        <f t="shared" si="18"/>
        <v>0</v>
      </c>
      <c r="AC26" s="1418">
        <f t="shared" si="3"/>
        <v>0</v>
      </c>
      <c r="AD26" s="1418">
        <f t="shared" si="4"/>
        <v>0</v>
      </c>
      <c r="AE26" s="1418">
        <v>2360</v>
      </c>
      <c r="AF26" s="1418">
        <f t="shared" si="5"/>
        <v>0</v>
      </c>
      <c r="AG26" s="1418">
        <v>2360</v>
      </c>
      <c r="AH26" s="1418">
        <f t="shared" si="6"/>
        <v>0</v>
      </c>
      <c r="AI26" s="1346"/>
      <c r="AJ26" s="1231"/>
      <c r="AK26" s="1231"/>
      <c r="AO26" s="2505">
        <v>2360</v>
      </c>
      <c r="AP26" s="1418">
        <f t="shared" si="14"/>
        <v>0</v>
      </c>
      <c r="AQ26" s="1418">
        <f t="shared" si="7"/>
        <v>0</v>
      </c>
    </row>
    <row r="27" spans="1:44" s="1410" customFormat="1" ht="15.75">
      <c r="A27" s="2102" t="s">
        <v>3619</v>
      </c>
      <c r="B27" s="1268" t="s">
        <v>2244</v>
      </c>
      <c r="C27" s="1241" t="s">
        <v>2839</v>
      </c>
      <c r="D27" s="1245" t="s">
        <v>41</v>
      </c>
      <c r="E27" s="1413">
        <v>1</v>
      </c>
      <c r="F27" s="1555">
        <v>1770</v>
      </c>
      <c r="G27" s="1480">
        <v>1770</v>
      </c>
      <c r="H27" s="1414">
        <v>1770</v>
      </c>
      <c r="I27" s="1576">
        <f t="shared" si="0"/>
        <v>1770</v>
      </c>
      <c r="J27" s="1576">
        <f t="shared" si="1"/>
        <v>1770</v>
      </c>
      <c r="K27" s="1576">
        <v>0.6</v>
      </c>
      <c r="L27" s="1576">
        <f t="shared" si="8"/>
        <v>0.6</v>
      </c>
      <c r="M27" s="1576">
        <v>0.4</v>
      </c>
      <c r="N27" s="1576">
        <f t="shared" si="9"/>
        <v>0.4</v>
      </c>
      <c r="O27" s="1576">
        <f t="shared" si="10"/>
        <v>1062</v>
      </c>
      <c r="P27" s="1576">
        <f t="shared" si="11"/>
        <v>708</v>
      </c>
      <c r="Q27" s="1576">
        <f t="shared" si="12"/>
        <v>708</v>
      </c>
      <c r="R27" s="1576">
        <f t="shared" si="13"/>
        <v>1770</v>
      </c>
      <c r="S27" s="1869">
        <v>1</v>
      </c>
      <c r="T27" s="1866">
        <v>1770</v>
      </c>
      <c r="U27" s="2439"/>
      <c r="V27" s="1866">
        <f>+U27*H27</f>
        <v>0</v>
      </c>
      <c r="W27" s="1869">
        <f>S27+U27</f>
        <v>1</v>
      </c>
      <c r="X27" s="1870">
        <f t="shared" si="15"/>
        <v>1770</v>
      </c>
      <c r="Y27" s="1871">
        <f t="shared" si="16"/>
        <v>1</v>
      </c>
      <c r="Z27" s="1694">
        <f>+E27-W27</f>
        <v>0</v>
      </c>
      <c r="AA27" s="1872">
        <f t="shared" si="17"/>
        <v>0</v>
      </c>
      <c r="AB27" s="1873">
        <f t="shared" si="18"/>
        <v>0</v>
      </c>
      <c r="AC27" s="1418">
        <f t="shared" si="3"/>
        <v>0</v>
      </c>
      <c r="AD27" s="1418">
        <f t="shared" si="4"/>
        <v>0</v>
      </c>
      <c r="AE27" s="1418">
        <v>1770</v>
      </c>
      <c r="AF27" s="1418">
        <f t="shared" si="5"/>
        <v>0</v>
      </c>
      <c r="AG27" s="1418">
        <v>1770</v>
      </c>
      <c r="AH27" s="1418">
        <f t="shared" si="6"/>
        <v>0</v>
      </c>
      <c r="AI27" s="1500" t="s">
        <v>3614</v>
      </c>
      <c r="AK27" s="1418">
        <f>SUM(R16:R79)</f>
        <v>665449.8899999999</v>
      </c>
      <c r="AO27" s="2504">
        <v>1770</v>
      </c>
      <c r="AP27" s="1418">
        <f t="shared" si="14"/>
        <v>0</v>
      </c>
      <c r="AQ27" s="1418">
        <f t="shared" si="7"/>
        <v>0</v>
      </c>
    </row>
    <row r="28" spans="1:44" s="1410" customFormat="1" ht="15.75">
      <c r="A28" s="2102" t="s">
        <v>3619</v>
      </c>
      <c r="B28" s="1263" t="s">
        <v>547</v>
      </c>
      <c r="C28" s="1264" t="s">
        <v>2840</v>
      </c>
      <c r="D28" s="1265"/>
      <c r="E28" s="1415"/>
      <c r="F28" s="1267"/>
      <c r="G28" s="1480"/>
      <c r="H28" s="1416"/>
      <c r="I28" s="1576">
        <f t="shared" si="0"/>
        <v>0</v>
      </c>
      <c r="J28" s="1576">
        <f t="shared" si="1"/>
        <v>0</v>
      </c>
      <c r="K28" s="1576"/>
      <c r="L28" s="1576">
        <f t="shared" si="8"/>
        <v>0</v>
      </c>
      <c r="M28" s="1576"/>
      <c r="N28" s="1576">
        <f t="shared" si="9"/>
        <v>0</v>
      </c>
      <c r="O28" s="1576">
        <f t="shared" si="10"/>
        <v>0</v>
      </c>
      <c r="P28" s="1576">
        <f t="shared" si="11"/>
        <v>0</v>
      </c>
      <c r="Q28" s="1576">
        <f t="shared" si="12"/>
        <v>0</v>
      </c>
      <c r="R28" s="1576"/>
      <c r="S28" s="1869"/>
      <c r="T28" s="1866"/>
      <c r="U28" s="2442"/>
      <c r="V28" s="1866"/>
      <c r="W28" s="1869"/>
      <c r="X28" s="1870"/>
      <c r="Y28" s="1871"/>
      <c r="Z28" s="1694"/>
      <c r="AA28" s="1872"/>
      <c r="AB28" s="1873"/>
      <c r="AC28" s="1418">
        <f t="shared" si="3"/>
        <v>0</v>
      </c>
      <c r="AD28" s="1418">
        <f t="shared" si="4"/>
        <v>0</v>
      </c>
      <c r="AE28" s="1418"/>
      <c r="AF28" s="1418">
        <f t="shared" si="5"/>
        <v>0</v>
      </c>
      <c r="AG28" s="1418"/>
      <c r="AH28" s="1418">
        <f t="shared" si="6"/>
        <v>0</v>
      </c>
      <c r="AI28" s="1500" t="s">
        <v>3615</v>
      </c>
      <c r="AK28" s="1419">
        <f>SUM(R82:R278)</f>
        <v>9177175.9799999986</v>
      </c>
      <c r="AO28" s="2504"/>
      <c r="AP28" s="1418">
        <f t="shared" si="14"/>
        <v>0</v>
      </c>
      <c r="AQ28" s="1418">
        <f t="shared" si="7"/>
        <v>0</v>
      </c>
    </row>
    <row r="29" spans="1:44" s="1409" customFormat="1" ht="15.75">
      <c r="A29" s="2101" t="s">
        <v>3619</v>
      </c>
      <c r="B29" s="1268" t="s">
        <v>548</v>
      </c>
      <c r="C29" s="1241" t="s">
        <v>2841</v>
      </c>
      <c r="D29" s="1245" t="s">
        <v>37</v>
      </c>
      <c r="E29" s="1413">
        <v>9545.07</v>
      </c>
      <c r="F29" s="1555">
        <v>1.61</v>
      </c>
      <c r="G29" s="1480">
        <v>1.75</v>
      </c>
      <c r="H29" s="1414">
        <v>1.82</v>
      </c>
      <c r="I29" s="1576">
        <f t="shared" si="0"/>
        <v>15367.56</v>
      </c>
      <c r="J29" s="1576">
        <f t="shared" si="1"/>
        <v>16703.87</v>
      </c>
      <c r="K29" s="1576">
        <v>5555.9850000000006</v>
      </c>
      <c r="L29" s="1576">
        <f t="shared" si="8"/>
        <v>5555.98</v>
      </c>
      <c r="M29" s="1576">
        <v>3989.0849999999991</v>
      </c>
      <c r="N29" s="1576">
        <f t="shared" si="9"/>
        <v>3989.09</v>
      </c>
      <c r="O29" s="1576">
        <f t="shared" si="10"/>
        <v>9722.9699999999993</v>
      </c>
      <c r="P29" s="1576">
        <f t="shared" si="11"/>
        <v>6980.91</v>
      </c>
      <c r="Q29" s="1576">
        <f t="shared" si="12"/>
        <v>7260.14</v>
      </c>
      <c r="R29" s="1576">
        <f t="shared" si="13"/>
        <v>16983.11</v>
      </c>
      <c r="S29" s="1869">
        <v>9545.07</v>
      </c>
      <c r="T29" s="1866">
        <v>16983.10845</v>
      </c>
      <c r="U29" s="2439"/>
      <c r="V29" s="1866">
        <f>+U29*H29</f>
        <v>0</v>
      </c>
      <c r="W29" s="1869">
        <f>S29+U29</f>
        <v>9545.07</v>
      </c>
      <c r="X29" s="1870">
        <f t="shared" si="15"/>
        <v>16983.10845</v>
      </c>
      <c r="Y29" s="1871">
        <f t="shared" si="16"/>
        <v>0.99999990873285272</v>
      </c>
      <c r="Z29" s="1694">
        <f>+E29-W29</f>
        <v>0</v>
      </c>
      <c r="AA29" s="1872">
        <f t="shared" si="17"/>
        <v>0</v>
      </c>
      <c r="AB29" s="1873">
        <f t="shared" si="18"/>
        <v>0</v>
      </c>
      <c r="AC29" s="1418">
        <f t="shared" si="3"/>
        <v>1.5500000008614734E-3</v>
      </c>
      <c r="AD29" s="1418">
        <f t="shared" si="4"/>
        <v>0</v>
      </c>
      <c r="AE29" s="1418">
        <v>16983.10845</v>
      </c>
      <c r="AF29" s="1418">
        <f t="shared" si="5"/>
        <v>-1.5500000008614734E-3</v>
      </c>
      <c r="AG29" s="1418">
        <v>1.82</v>
      </c>
      <c r="AH29" s="1418">
        <f t="shared" si="6"/>
        <v>0</v>
      </c>
      <c r="AI29" s="1500" t="s">
        <v>1233</v>
      </c>
      <c r="AJ29" s="1410"/>
      <c r="AK29" s="1419">
        <f>SUM(R281:R440)</f>
        <v>3540445.1499999985</v>
      </c>
      <c r="AO29" s="2505">
        <v>16983.10845</v>
      </c>
      <c r="AP29" s="1418">
        <f t="shared" si="14"/>
        <v>0</v>
      </c>
      <c r="AQ29" s="1418">
        <f t="shared" si="7"/>
        <v>-1.5500000008614734E-3</v>
      </c>
    </row>
    <row r="30" spans="1:44" s="1409" customFormat="1" ht="15.75">
      <c r="A30" s="2101"/>
      <c r="B30" s="1268" t="s">
        <v>549</v>
      </c>
      <c r="C30" s="1241" t="s">
        <v>2842</v>
      </c>
      <c r="D30" s="1245" t="s">
        <v>37</v>
      </c>
      <c r="E30" s="1413">
        <v>6512.32</v>
      </c>
      <c r="F30" s="1555">
        <v>2.23</v>
      </c>
      <c r="G30" s="1480">
        <v>2.3199999999999998</v>
      </c>
      <c r="H30" s="1414">
        <v>2.36</v>
      </c>
      <c r="I30" s="1576">
        <f t="shared" si="0"/>
        <v>14522.47</v>
      </c>
      <c r="J30" s="1576">
        <f t="shared" si="1"/>
        <v>15108.58</v>
      </c>
      <c r="K30" s="1576">
        <v>3256.16</v>
      </c>
      <c r="L30" s="1576">
        <f t="shared" si="8"/>
        <v>3256.16</v>
      </c>
      <c r="M30" s="1576">
        <v>3256.16</v>
      </c>
      <c r="N30" s="1576">
        <f t="shared" si="9"/>
        <v>3256.16</v>
      </c>
      <c r="O30" s="1576">
        <f t="shared" si="10"/>
        <v>7554.29</v>
      </c>
      <c r="P30" s="1576">
        <f t="shared" si="11"/>
        <v>7554.29</v>
      </c>
      <c r="Q30" s="1576">
        <f t="shared" si="12"/>
        <v>7684.54</v>
      </c>
      <c r="R30" s="1576">
        <f t="shared" si="13"/>
        <v>15238.83</v>
      </c>
      <c r="S30" s="1869">
        <v>6512.32</v>
      </c>
      <c r="T30" s="1866">
        <v>15238.828799999999</v>
      </c>
      <c r="U30" s="2439"/>
      <c r="V30" s="1866">
        <f>+U30*H30</f>
        <v>0</v>
      </c>
      <c r="W30" s="1869">
        <f>S30+U30</f>
        <v>6512.32</v>
      </c>
      <c r="X30" s="1870">
        <f t="shared" si="15"/>
        <v>15238.828799999999</v>
      </c>
      <c r="Y30" s="1871">
        <f t="shared" si="16"/>
        <v>0.999999921253797</v>
      </c>
      <c r="Z30" s="1694">
        <f>+E30-W30</f>
        <v>0</v>
      </c>
      <c r="AA30" s="1872">
        <f t="shared" si="17"/>
        <v>0</v>
      </c>
      <c r="AB30" s="1873">
        <f t="shared" si="18"/>
        <v>0</v>
      </c>
      <c r="AC30" s="1418">
        <f t="shared" si="3"/>
        <v>1.2000000006082701E-3</v>
      </c>
      <c r="AD30" s="1418">
        <f t="shared" si="4"/>
        <v>0</v>
      </c>
      <c r="AE30" s="1418">
        <v>15238.828799999999</v>
      </c>
      <c r="AF30" s="1418">
        <f t="shared" si="5"/>
        <v>-1.2000000006082701E-3</v>
      </c>
      <c r="AG30" s="1418">
        <v>2.36</v>
      </c>
      <c r="AH30" s="1418">
        <f t="shared" si="6"/>
        <v>0</v>
      </c>
      <c r="AI30" s="1500" t="s">
        <v>3616</v>
      </c>
      <c r="AJ30" s="1410"/>
      <c r="AK30" s="1419">
        <f>SUM(R443:R604)</f>
        <v>702568.79999999981</v>
      </c>
      <c r="AO30" s="2505">
        <v>15238.828799999999</v>
      </c>
      <c r="AP30" s="1418">
        <f t="shared" si="14"/>
        <v>0</v>
      </c>
      <c r="AQ30" s="1418">
        <f t="shared" si="7"/>
        <v>-1.2000000006082701E-3</v>
      </c>
      <c r="AR30" s="1410">
        <f>600/F30</f>
        <v>269.05829596412553</v>
      </c>
    </row>
    <row r="31" spans="1:44" s="1410" customFormat="1" ht="15.75">
      <c r="A31" s="2102" t="s">
        <v>3619</v>
      </c>
      <c r="B31" s="1268" t="s">
        <v>2245</v>
      </c>
      <c r="C31" s="1241" t="s">
        <v>2843</v>
      </c>
      <c r="D31" s="1245" t="s">
        <v>37</v>
      </c>
      <c r="E31" s="1413">
        <v>9545.07</v>
      </c>
      <c r="F31" s="1555">
        <v>2.23</v>
      </c>
      <c r="G31" s="1480">
        <v>2.3199999999999998</v>
      </c>
      <c r="H31" s="1414">
        <v>2.36</v>
      </c>
      <c r="I31" s="1576">
        <f t="shared" si="0"/>
        <v>21285.51</v>
      </c>
      <c r="J31" s="1576">
        <f t="shared" si="1"/>
        <v>22144.560000000001</v>
      </c>
      <c r="K31" s="1576">
        <v>6632.3935000000001</v>
      </c>
      <c r="L31" s="1576">
        <f t="shared" si="8"/>
        <v>6632.3899999999994</v>
      </c>
      <c r="M31" s="1576">
        <v>2912.6764999999996</v>
      </c>
      <c r="N31" s="1576">
        <f t="shared" si="9"/>
        <v>2912.68</v>
      </c>
      <c r="O31" s="1576">
        <f t="shared" si="10"/>
        <v>15387.14</v>
      </c>
      <c r="P31" s="1576">
        <f t="shared" si="11"/>
        <v>6757.42</v>
      </c>
      <c r="Q31" s="1576">
        <f t="shared" si="12"/>
        <v>6873.92</v>
      </c>
      <c r="R31" s="1576">
        <f t="shared" si="13"/>
        <v>22261.059999999998</v>
      </c>
      <c r="S31" s="1869">
        <v>9545.07</v>
      </c>
      <c r="T31" s="1866">
        <v>22261.069460000002</v>
      </c>
      <c r="U31" s="2439"/>
      <c r="V31" s="1866">
        <f>+U31*H31</f>
        <v>0</v>
      </c>
      <c r="W31" s="1869">
        <f>S31+U31</f>
        <v>9545.07</v>
      </c>
      <c r="X31" s="1870">
        <f t="shared" si="15"/>
        <v>22261.069460000002</v>
      </c>
      <c r="Y31" s="1871">
        <f t="shared" si="16"/>
        <v>1.0000004249573022</v>
      </c>
      <c r="Z31" s="1694">
        <f>+E31-W31</f>
        <v>0</v>
      </c>
      <c r="AA31" s="1872">
        <f t="shared" si="17"/>
        <v>0</v>
      </c>
      <c r="AB31" s="1873">
        <f t="shared" si="18"/>
        <v>0</v>
      </c>
      <c r="AC31" s="1418">
        <f t="shared" si="3"/>
        <v>-9.4600000047648791E-3</v>
      </c>
      <c r="AD31" s="1418">
        <f t="shared" si="4"/>
        <v>0</v>
      </c>
      <c r="AE31" s="1418">
        <v>22261.069459999999</v>
      </c>
      <c r="AF31" s="1418">
        <f t="shared" si="5"/>
        <v>9.4600000011269003E-3</v>
      </c>
      <c r="AG31" s="1418">
        <v>2.36</v>
      </c>
      <c r="AH31" s="1418">
        <f t="shared" si="6"/>
        <v>0</v>
      </c>
      <c r="AI31" s="1500" t="s">
        <v>3617</v>
      </c>
      <c r="AK31" s="1419">
        <f>SUM(R606:R731)</f>
        <v>1004889.1499999998</v>
      </c>
      <c r="AO31" s="2504">
        <v>22261.069460000002</v>
      </c>
      <c r="AP31" s="1418">
        <f t="shared" si="14"/>
        <v>0</v>
      </c>
      <c r="AQ31" s="1418">
        <f t="shared" si="7"/>
        <v>9.4600000047648791E-3</v>
      </c>
      <c r="AR31" s="1410">
        <f>600/F31</f>
        <v>269.05829596412553</v>
      </c>
    </row>
    <row r="32" spans="1:44" s="1410" customFormat="1" ht="15.75">
      <c r="A32" s="2102" t="s">
        <v>3619</v>
      </c>
      <c r="B32" s="1263" t="s">
        <v>550</v>
      </c>
      <c r="C32" s="1264" t="s">
        <v>2844</v>
      </c>
      <c r="D32" s="1265"/>
      <c r="E32" s="1415"/>
      <c r="F32" s="1242"/>
      <c r="G32" s="1480"/>
      <c r="H32" s="1416"/>
      <c r="I32" s="1576">
        <f t="shared" si="0"/>
        <v>0</v>
      </c>
      <c r="J32" s="1576">
        <f t="shared" si="1"/>
        <v>0</v>
      </c>
      <c r="K32" s="1576"/>
      <c r="L32" s="1576">
        <f t="shared" si="8"/>
        <v>0</v>
      </c>
      <c r="M32" s="1576"/>
      <c r="N32" s="1576">
        <f t="shared" si="9"/>
        <v>0</v>
      </c>
      <c r="O32" s="1576">
        <f t="shared" si="10"/>
        <v>0</v>
      </c>
      <c r="P32" s="1576">
        <f t="shared" si="11"/>
        <v>0</v>
      </c>
      <c r="Q32" s="1576">
        <f t="shared" si="12"/>
        <v>0</v>
      </c>
      <c r="R32" s="1576">
        <f t="shared" si="13"/>
        <v>0</v>
      </c>
      <c r="S32" s="1869"/>
      <c r="T32" s="1866"/>
      <c r="U32" s="2442"/>
      <c r="V32" s="1866"/>
      <c r="W32" s="1869"/>
      <c r="X32" s="1870"/>
      <c r="Y32" s="1871" t="str">
        <f t="shared" si="16"/>
        <v/>
      </c>
      <c r="Z32" s="1694"/>
      <c r="AA32" s="1872">
        <f t="shared" si="17"/>
        <v>0</v>
      </c>
      <c r="AB32" s="1873" t="str">
        <f t="shared" si="18"/>
        <v/>
      </c>
      <c r="AC32" s="1418">
        <f t="shared" si="3"/>
        <v>0</v>
      </c>
      <c r="AD32" s="1418">
        <f t="shared" si="4"/>
        <v>0</v>
      </c>
      <c r="AE32" s="1418"/>
      <c r="AF32" s="1418">
        <f t="shared" si="5"/>
        <v>0</v>
      </c>
      <c r="AG32" s="1418"/>
      <c r="AH32" s="1418">
        <f t="shared" si="6"/>
        <v>0</v>
      </c>
      <c r="AI32" s="1500" t="s">
        <v>3618</v>
      </c>
      <c r="AK32" s="1419">
        <f>SUM(R736:R834)</f>
        <v>382815.81000000006</v>
      </c>
      <c r="AO32" s="2504"/>
      <c r="AP32" s="1418">
        <f t="shared" si="14"/>
        <v>0</v>
      </c>
      <c r="AQ32" s="1418">
        <f t="shared" si="7"/>
        <v>0</v>
      </c>
    </row>
    <row r="33" spans="1:43" s="1410" customFormat="1" ht="15.75">
      <c r="A33" s="2102"/>
      <c r="B33" s="1268" t="s">
        <v>551</v>
      </c>
      <c r="C33" s="1241" t="s">
        <v>2845</v>
      </c>
      <c r="D33" s="1245" t="s">
        <v>36</v>
      </c>
      <c r="E33" s="1413">
        <v>34</v>
      </c>
      <c r="F33" s="1570">
        <v>12.36</v>
      </c>
      <c r="G33" s="1480">
        <v>13.45</v>
      </c>
      <c r="H33" s="1414">
        <v>14.01</v>
      </c>
      <c r="I33" s="1576">
        <f t="shared" si="0"/>
        <v>420.24</v>
      </c>
      <c r="J33" s="1576">
        <f t="shared" si="1"/>
        <v>457.3</v>
      </c>
      <c r="K33" s="1576">
        <v>34</v>
      </c>
      <c r="L33" s="1576">
        <f t="shared" si="8"/>
        <v>34</v>
      </c>
      <c r="M33" s="1576">
        <v>0</v>
      </c>
      <c r="N33" s="1576">
        <f t="shared" si="9"/>
        <v>0</v>
      </c>
      <c r="O33" s="1576">
        <f t="shared" si="10"/>
        <v>457.3</v>
      </c>
      <c r="P33" s="1576">
        <f t="shared" si="11"/>
        <v>0</v>
      </c>
      <c r="Q33" s="1576">
        <f t="shared" si="12"/>
        <v>0</v>
      </c>
      <c r="R33" s="1576">
        <f t="shared" si="13"/>
        <v>457.3</v>
      </c>
      <c r="S33" s="1869">
        <v>34</v>
      </c>
      <c r="T33" s="1866">
        <v>457.29999999999995</v>
      </c>
      <c r="U33" s="2439"/>
      <c r="V33" s="1866">
        <f t="shared" ref="V33:V70" si="19">+U33*H33</f>
        <v>0</v>
      </c>
      <c r="W33" s="1869">
        <f t="shared" ref="W33:W70" si="20">S33+U33</f>
        <v>34</v>
      </c>
      <c r="X33" s="1870">
        <f t="shared" si="15"/>
        <v>457.29999999999995</v>
      </c>
      <c r="Y33" s="1871">
        <f t="shared" si="16"/>
        <v>0.99999999999999989</v>
      </c>
      <c r="Z33" s="1694">
        <f t="shared" ref="Z33:Z70" si="21">+E33-W33</f>
        <v>0</v>
      </c>
      <c r="AA33" s="1872">
        <f t="shared" si="17"/>
        <v>0</v>
      </c>
      <c r="AB33" s="1873">
        <f t="shared" si="18"/>
        <v>0</v>
      </c>
      <c r="AC33" s="1418">
        <f t="shared" si="3"/>
        <v>5.6843418860808015E-14</v>
      </c>
      <c r="AD33" s="1418">
        <f t="shared" si="4"/>
        <v>0</v>
      </c>
      <c r="AE33" s="1418">
        <v>457.29999999999995</v>
      </c>
      <c r="AF33" s="1418">
        <f t="shared" si="5"/>
        <v>0</v>
      </c>
      <c r="AG33" s="1418">
        <v>13.45</v>
      </c>
      <c r="AH33" s="1418">
        <f t="shared" si="6"/>
        <v>-0.5600000000000005</v>
      </c>
      <c r="AI33" s="1500" t="str">
        <f>+C836</f>
        <v xml:space="preserve">      SEGURO COMPLEMENTARIO DE TRABAJO DE RIESGO SCTR - PENSIÓN</v>
      </c>
      <c r="AJ33" s="1409"/>
      <c r="AK33" s="1418">
        <f>+R836</f>
        <v>50845.440000000002</v>
      </c>
      <c r="AO33" s="2504">
        <v>457.29999999999995</v>
      </c>
      <c r="AP33" s="1418">
        <f t="shared" si="14"/>
        <v>0</v>
      </c>
      <c r="AQ33" s="1418">
        <f t="shared" si="7"/>
        <v>0</v>
      </c>
    </row>
    <row r="34" spans="1:43" s="1410" customFormat="1" ht="15.75">
      <c r="A34" s="2102"/>
      <c r="B34" s="1268" t="s">
        <v>552</v>
      </c>
      <c r="C34" s="1241" t="s">
        <v>2846</v>
      </c>
      <c r="D34" s="1245" t="s">
        <v>36</v>
      </c>
      <c r="E34" s="1413">
        <v>42</v>
      </c>
      <c r="F34" s="1570">
        <v>109.82</v>
      </c>
      <c r="G34" s="1480">
        <v>115.26</v>
      </c>
      <c r="H34" s="1414">
        <v>118.04</v>
      </c>
      <c r="I34" s="1576">
        <f t="shared" si="0"/>
        <v>4612.4399999999996</v>
      </c>
      <c r="J34" s="1576">
        <f t="shared" si="1"/>
        <v>4840.92</v>
      </c>
      <c r="K34" s="1576">
        <v>5</v>
      </c>
      <c r="L34" s="1576">
        <f t="shared" si="8"/>
        <v>5</v>
      </c>
      <c r="M34" s="1576">
        <v>37</v>
      </c>
      <c r="N34" s="1576">
        <f t="shared" si="9"/>
        <v>37</v>
      </c>
      <c r="O34" s="1576">
        <f t="shared" si="10"/>
        <v>576.29999999999995</v>
      </c>
      <c r="P34" s="1576">
        <f t="shared" si="11"/>
        <v>4264.62</v>
      </c>
      <c r="Q34" s="1576">
        <f t="shared" si="12"/>
        <v>4367.4799999999996</v>
      </c>
      <c r="R34" s="1576">
        <f t="shared" si="13"/>
        <v>4943.78</v>
      </c>
      <c r="S34" s="1869">
        <v>42</v>
      </c>
      <c r="T34" s="1866">
        <v>4943.7800000000007</v>
      </c>
      <c r="U34" s="2439"/>
      <c r="V34" s="1866">
        <f t="shared" si="19"/>
        <v>0</v>
      </c>
      <c r="W34" s="1869">
        <f t="shared" si="20"/>
        <v>42</v>
      </c>
      <c r="X34" s="1870">
        <f t="shared" si="15"/>
        <v>4943.7800000000007</v>
      </c>
      <c r="Y34" s="1871">
        <f t="shared" si="16"/>
        <v>1.0000000000000002</v>
      </c>
      <c r="Z34" s="1694">
        <f t="shared" si="21"/>
        <v>0</v>
      </c>
      <c r="AA34" s="1872">
        <f t="shared" si="17"/>
        <v>0</v>
      </c>
      <c r="AB34" s="1873">
        <f t="shared" si="18"/>
        <v>0</v>
      </c>
      <c r="AC34" s="1418">
        <f t="shared" si="3"/>
        <v>-9.0949470177292824E-13</v>
      </c>
      <c r="AD34" s="1418">
        <f t="shared" si="4"/>
        <v>0</v>
      </c>
      <c r="AE34" s="1418">
        <v>4943.7800000000007</v>
      </c>
      <c r="AF34" s="1418">
        <f t="shared" si="5"/>
        <v>0</v>
      </c>
      <c r="AG34" s="1418">
        <v>118.04</v>
      </c>
      <c r="AH34" s="1418">
        <f t="shared" si="6"/>
        <v>0</v>
      </c>
      <c r="AI34" s="1500" t="str">
        <f>+C838</f>
        <v xml:space="preserve">      EXAMENES MEDICOS PRE OCUPACIONALES</v>
      </c>
      <c r="AK34" s="1418">
        <f>+R838</f>
        <v>62460</v>
      </c>
      <c r="AO34" s="2504">
        <v>4943.7800000000007</v>
      </c>
      <c r="AP34" s="1418">
        <f t="shared" si="14"/>
        <v>0</v>
      </c>
      <c r="AQ34" s="1418">
        <f t="shared" si="7"/>
        <v>0</v>
      </c>
    </row>
    <row r="35" spans="1:43" s="1410" customFormat="1" ht="15.75">
      <c r="A35" s="2102"/>
      <c r="B35" s="1268" t="s">
        <v>553</v>
      </c>
      <c r="C35" s="1241" t="s">
        <v>2847</v>
      </c>
      <c r="D35" s="1245" t="s">
        <v>36</v>
      </c>
      <c r="E35" s="1413">
        <v>34</v>
      </c>
      <c r="F35" s="1570">
        <v>54.91</v>
      </c>
      <c r="G35" s="1480">
        <v>57.63</v>
      </c>
      <c r="H35" s="1414">
        <v>59.02</v>
      </c>
      <c r="I35" s="1576">
        <f t="shared" si="0"/>
        <v>1866.94</v>
      </c>
      <c r="J35" s="1576">
        <f t="shared" si="1"/>
        <v>1959.42</v>
      </c>
      <c r="K35" s="1576">
        <v>21</v>
      </c>
      <c r="L35" s="1576">
        <f t="shared" si="8"/>
        <v>21</v>
      </c>
      <c r="M35" s="1576">
        <v>13</v>
      </c>
      <c r="N35" s="1576">
        <f t="shared" si="9"/>
        <v>13</v>
      </c>
      <c r="O35" s="1576">
        <f t="shared" si="10"/>
        <v>1210.23</v>
      </c>
      <c r="P35" s="1576">
        <f t="shared" si="11"/>
        <v>749.19</v>
      </c>
      <c r="Q35" s="1576">
        <f t="shared" si="12"/>
        <v>767.26</v>
      </c>
      <c r="R35" s="1576">
        <f t="shared" si="13"/>
        <v>1977.49</v>
      </c>
      <c r="S35" s="1869">
        <v>34</v>
      </c>
      <c r="T35" s="1866">
        <v>1977.49</v>
      </c>
      <c r="U35" s="2439"/>
      <c r="V35" s="1866">
        <f t="shared" si="19"/>
        <v>0</v>
      </c>
      <c r="W35" s="1869">
        <f t="shared" si="20"/>
        <v>34</v>
      </c>
      <c r="X35" s="1870">
        <f t="shared" si="15"/>
        <v>1977.49</v>
      </c>
      <c r="Y35" s="1871">
        <f t="shared" si="16"/>
        <v>1</v>
      </c>
      <c r="Z35" s="1694">
        <f t="shared" si="21"/>
        <v>0</v>
      </c>
      <c r="AA35" s="1872">
        <f t="shared" si="17"/>
        <v>0</v>
      </c>
      <c r="AB35" s="1873">
        <f t="shared" si="18"/>
        <v>0</v>
      </c>
      <c r="AC35" s="1418">
        <f t="shared" si="3"/>
        <v>0</v>
      </c>
      <c r="AD35" s="1418">
        <f t="shared" si="4"/>
        <v>0</v>
      </c>
      <c r="AE35" s="1418">
        <v>1977.49</v>
      </c>
      <c r="AF35" s="1418">
        <f t="shared" si="5"/>
        <v>0</v>
      </c>
      <c r="AG35" s="1418">
        <v>59.02</v>
      </c>
      <c r="AH35" s="1418">
        <f t="shared" si="6"/>
        <v>0</v>
      </c>
      <c r="AI35" s="1430"/>
      <c r="AO35" s="2504">
        <v>1977.49</v>
      </c>
      <c r="AP35" s="1418">
        <f t="shared" si="14"/>
        <v>0</v>
      </c>
      <c r="AQ35" s="1418">
        <f t="shared" si="7"/>
        <v>0</v>
      </c>
    </row>
    <row r="36" spans="1:43" s="1410" customFormat="1" ht="15.75">
      <c r="A36" s="2102" t="s">
        <v>3619</v>
      </c>
      <c r="B36" s="1268" t="s">
        <v>554</v>
      </c>
      <c r="C36" s="1241" t="s">
        <v>2848</v>
      </c>
      <c r="D36" s="1245" t="s">
        <v>36</v>
      </c>
      <c r="E36" s="1413">
        <v>19</v>
      </c>
      <c r="F36" s="1570">
        <v>30.91</v>
      </c>
      <c r="G36" s="1480">
        <v>33.630000000000003</v>
      </c>
      <c r="H36" s="1414">
        <v>35.020000000000003</v>
      </c>
      <c r="I36" s="1576">
        <f t="shared" si="0"/>
        <v>587.29</v>
      </c>
      <c r="J36" s="1576">
        <f t="shared" si="1"/>
        <v>638.97</v>
      </c>
      <c r="K36" s="1576">
        <v>19</v>
      </c>
      <c r="L36" s="1576">
        <f t="shared" si="8"/>
        <v>19</v>
      </c>
      <c r="M36" s="1576">
        <v>0</v>
      </c>
      <c r="N36" s="1576">
        <f t="shared" si="9"/>
        <v>0</v>
      </c>
      <c r="O36" s="1576">
        <f t="shared" si="10"/>
        <v>638.97</v>
      </c>
      <c r="P36" s="1576">
        <f t="shared" si="11"/>
        <v>0</v>
      </c>
      <c r="Q36" s="1576">
        <f t="shared" si="12"/>
        <v>0</v>
      </c>
      <c r="R36" s="1576">
        <f t="shared" si="13"/>
        <v>638.97</v>
      </c>
      <c r="S36" s="1869">
        <v>19</v>
      </c>
      <c r="T36" s="1866">
        <v>638.97</v>
      </c>
      <c r="U36" s="2439"/>
      <c r="V36" s="1866">
        <f t="shared" si="19"/>
        <v>0</v>
      </c>
      <c r="W36" s="1869">
        <f t="shared" si="20"/>
        <v>19</v>
      </c>
      <c r="X36" s="1870">
        <f t="shared" si="15"/>
        <v>638.97</v>
      </c>
      <c r="Y36" s="1871">
        <f t="shared" si="16"/>
        <v>1</v>
      </c>
      <c r="Z36" s="1694">
        <f t="shared" si="21"/>
        <v>0</v>
      </c>
      <c r="AA36" s="1872">
        <f t="shared" si="17"/>
        <v>0</v>
      </c>
      <c r="AB36" s="1873">
        <f t="shared" si="18"/>
        <v>0</v>
      </c>
      <c r="AC36" s="1418">
        <f t="shared" si="3"/>
        <v>0</v>
      </c>
      <c r="AD36" s="1418">
        <f t="shared" si="4"/>
        <v>0</v>
      </c>
      <c r="AE36" s="1418">
        <v>638.97</v>
      </c>
      <c r="AF36" s="1418">
        <f t="shared" si="5"/>
        <v>0</v>
      </c>
      <c r="AG36" s="1418">
        <v>33.630000000000003</v>
      </c>
      <c r="AH36" s="1418">
        <f t="shared" si="6"/>
        <v>-1.3900000000000006</v>
      </c>
      <c r="AI36" s="1428"/>
      <c r="AJ36" s="1409" t="s">
        <v>2</v>
      </c>
      <c r="AK36" s="1417">
        <f>SUM(AK27:AK34)</f>
        <v>15586650.219999997</v>
      </c>
      <c r="AO36" s="2504">
        <v>638.97</v>
      </c>
      <c r="AP36" s="1418">
        <f t="shared" si="14"/>
        <v>0</v>
      </c>
      <c r="AQ36" s="1418">
        <f t="shared" si="7"/>
        <v>0</v>
      </c>
    </row>
    <row r="37" spans="1:43" s="1410" customFormat="1" ht="15.75">
      <c r="A37" s="2102" t="s">
        <v>3619</v>
      </c>
      <c r="B37" s="1268" t="s">
        <v>555</v>
      </c>
      <c r="C37" s="1241" t="s">
        <v>2849</v>
      </c>
      <c r="D37" s="1245" t="s">
        <v>36</v>
      </c>
      <c r="E37" s="1413">
        <v>2</v>
      </c>
      <c r="F37" s="1570">
        <v>30.91</v>
      </c>
      <c r="G37" s="1480">
        <v>33.630000000000003</v>
      </c>
      <c r="H37" s="1414">
        <v>35.020000000000003</v>
      </c>
      <c r="I37" s="1576">
        <f t="shared" si="0"/>
        <v>61.82</v>
      </c>
      <c r="J37" s="1576">
        <f t="shared" si="1"/>
        <v>67.260000000000005</v>
      </c>
      <c r="K37" s="1576">
        <v>2</v>
      </c>
      <c r="L37" s="1576">
        <f t="shared" si="8"/>
        <v>2</v>
      </c>
      <c r="M37" s="1576">
        <v>0</v>
      </c>
      <c r="N37" s="1576">
        <f t="shared" si="9"/>
        <v>0</v>
      </c>
      <c r="O37" s="1576">
        <f t="shared" si="10"/>
        <v>67.260000000000005</v>
      </c>
      <c r="P37" s="1576">
        <f t="shared" si="11"/>
        <v>0</v>
      </c>
      <c r="Q37" s="1576">
        <f t="shared" si="12"/>
        <v>0</v>
      </c>
      <c r="R37" s="1576">
        <f t="shared" si="13"/>
        <v>67.260000000000005</v>
      </c>
      <c r="S37" s="1869">
        <v>2</v>
      </c>
      <c r="T37" s="1866">
        <v>67.260000000000005</v>
      </c>
      <c r="U37" s="2439"/>
      <c r="V37" s="1866">
        <f t="shared" si="19"/>
        <v>0</v>
      </c>
      <c r="W37" s="1869">
        <f t="shared" si="20"/>
        <v>2</v>
      </c>
      <c r="X37" s="1870">
        <f t="shared" si="15"/>
        <v>67.260000000000005</v>
      </c>
      <c r="Y37" s="1871">
        <f t="shared" si="16"/>
        <v>1</v>
      </c>
      <c r="Z37" s="1694">
        <f t="shared" si="21"/>
        <v>0</v>
      </c>
      <c r="AA37" s="1872">
        <f t="shared" si="17"/>
        <v>0</v>
      </c>
      <c r="AB37" s="1873">
        <f t="shared" si="18"/>
        <v>0</v>
      </c>
      <c r="AC37" s="1418">
        <f t="shared" si="3"/>
        <v>0</v>
      </c>
      <c r="AD37" s="1418">
        <f t="shared" si="4"/>
        <v>0</v>
      </c>
      <c r="AE37" s="1418">
        <v>67.260000000000005</v>
      </c>
      <c r="AF37" s="1418">
        <f t="shared" si="5"/>
        <v>0</v>
      </c>
      <c r="AG37" s="1418">
        <v>33.630000000000003</v>
      </c>
      <c r="AH37" s="1418">
        <f t="shared" si="6"/>
        <v>-1.3900000000000006</v>
      </c>
      <c r="AI37" s="1428"/>
      <c r="AK37" s="1418">
        <f>+AK36-R839</f>
        <v>0</v>
      </c>
      <c r="AO37" s="2504">
        <v>67.260000000000005</v>
      </c>
      <c r="AP37" s="1418">
        <f t="shared" si="14"/>
        <v>0</v>
      </c>
      <c r="AQ37" s="1418">
        <f t="shared" si="7"/>
        <v>0</v>
      </c>
    </row>
    <row r="38" spans="1:43" s="1410" customFormat="1" ht="15.75">
      <c r="A38" s="2102" t="s">
        <v>3619</v>
      </c>
      <c r="B38" s="1268" t="s">
        <v>556</v>
      </c>
      <c r="C38" s="1241" t="s">
        <v>2850</v>
      </c>
      <c r="D38" s="1245" t="s">
        <v>36</v>
      </c>
      <c r="E38" s="1413">
        <v>49</v>
      </c>
      <c r="F38" s="1570">
        <v>12.36</v>
      </c>
      <c r="G38" s="1480">
        <v>13.45</v>
      </c>
      <c r="H38" s="1414">
        <v>14.01</v>
      </c>
      <c r="I38" s="1576">
        <f t="shared" si="0"/>
        <v>605.64</v>
      </c>
      <c r="J38" s="1576">
        <f t="shared" si="1"/>
        <v>659.05</v>
      </c>
      <c r="K38" s="1576">
        <v>49</v>
      </c>
      <c r="L38" s="1576">
        <f t="shared" si="8"/>
        <v>49</v>
      </c>
      <c r="M38" s="1576">
        <v>0</v>
      </c>
      <c r="N38" s="1576">
        <f t="shared" si="9"/>
        <v>0</v>
      </c>
      <c r="O38" s="1576">
        <f t="shared" si="10"/>
        <v>659.05</v>
      </c>
      <c r="P38" s="1576">
        <f t="shared" si="11"/>
        <v>0</v>
      </c>
      <c r="Q38" s="1576">
        <f t="shared" si="12"/>
        <v>0</v>
      </c>
      <c r="R38" s="1576">
        <f t="shared" si="13"/>
        <v>659.05</v>
      </c>
      <c r="S38" s="1869">
        <v>49</v>
      </c>
      <c r="T38" s="1866">
        <v>659.05</v>
      </c>
      <c r="U38" s="2439"/>
      <c r="V38" s="1866">
        <f t="shared" si="19"/>
        <v>0</v>
      </c>
      <c r="W38" s="1869">
        <f t="shared" si="20"/>
        <v>49</v>
      </c>
      <c r="X38" s="1870">
        <f t="shared" si="15"/>
        <v>659.05</v>
      </c>
      <c r="Y38" s="1871">
        <f t="shared" si="16"/>
        <v>1</v>
      </c>
      <c r="Z38" s="1694">
        <f t="shared" si="21"/>
        <v>0</v>
      </c>
      <c r="AA38" s="1872">
        <f t="shared" si="17"/>
        <v>0</v>
      </c>
      <c r="AB38" s="1873">
        <f t="shared" si="18"/>
        <v>0</v>
      </c>
      <c r="AC38" s="1418">
        <f t="shared" si="3"/>
        <v>0</v>
      </c>
      <c r="AD38" s="1418">
        <f t="shared" si="4"/>
        <v>0</v>
      </c>
      <c r="AE38" s="1418">
        <v>659.05</v>
      </c>
      <c r="AF38" s="1418">
        <f t="shared" si="5"/>
        <v>0</v>
      </c>
      <c r="AG38" s="1418">
        <v>13.45</v>
      </c>
      <c r="AH38" s="1418">
        <f t="shared" si="6"/>
        <v>-0.5600000000000005</v>
      </c>
      <c r="AI38" s="1428"/>
      <c r="AO38" s="2504">
        <v>659.05</v>
      </c>
      <c r="AP38" s="1418">
        <f t="shared" si="14"/>
        <v>0</v>
      </c>
      <c r="AQ38" s="1418">
        <f t="shared" si="7"/>
        <v>0</v>
      </c>
    </row>
    <row r="39" spans="1:43" s="1409" customFormat="1" ht="15.75">
      <c r="A39" s="2101" t="s">
        <v>3619</v>
      </c>
      <c r="B39" s="1268" t="s">
        <v>2246</v>
      </c>
      <c r="C39" s="1241" t="s">
        <v>2851</v>
      </c>
      <c r="D39" s="1245" t="s">
        <v>37</v>
      </c>
      <c r="E39" s="1413">
        <v>1282.5899999999999</v>
      </c>
      <c r="F39" s="1570">
        <v>3.77</v>
      </c>
      <c r="G39" s="1480">
        <v>4.1100000000000003</v>
      </c>
      <c r="H39" s="1414">
        <v>4.2699999999999996</v>
      </c>
      <c r="I39" s="1576">
        <f t="shared" si="0"/>
        <v>4835.3599999999997</v>
      </c>
      <c r="J39" s="1576">
        <f t="shared" si="1"/>
        <v>5271.44</v>
      </c>
      <c r="K39" s="1576">
        <v>1211.4299999999998</v>
      </c>
      <c r="L39" s="1576">
        <f t="shared" si="8"/>
        <v>1211.4299999999998</v>
      </c>
      <c r="M39" s="1576">
        <v>71.160000000000082</v>
      </c>
      <c r="N39" s="1576">
        <f t="shared" si="9"/>
        <v>71.16</v>
      </c>
      <c r="O39" s="1576">
        <f t="shared" si="10"/>
        <v>4978.9799999999996</v>
      </c>
      <c r="P39" s="1576">
        <f t="shared" si="11"/>
        <v>292.47000000000003</v>
      </c>
      <c r="Q39" s="1576">
        <f t="shared" si="12"/>
        <v>303.85000000000002</v>
      </c>
      <c r="R39" s="1576">
        <f t="shared" si="13"/>
        <v>5282.83</v>
      </c>
      <c r="S39" s="1869">
        <v>1282.5899999999999</v>
      </c>
      <c r="T39" s="1866">
        <v>5282.8305</v>
      </c>
      <c r="U39" s="2439"/>
      <c r="V39" s="1866">
        <f t="shared" si="19"/>
        <v>0</v>
      </c>
      <c r="W39" s="1869">
        <f t="shared" si="20"/>
        <v>1282.5899999999999</v>
      </c>
      <c r="X39" s="1870">
        <f t="shared" si="15"/>
        <v>5282.8305</v>
      </c>
      <c r="Y39" s="1871">
        <f t="shared" si="16"/>
        <v>1.0000000946462408</v>
      </c>
      <c r="Z39" s="1694">
        <f t="shared" si="21"/>
        <v>0</v>
      </c>
      <c r="AA39" s="1872">
        <f t="shared" si="17"/>
        <v>0</v>
      </c>
      <c r="AB39" s="1873">
        <f t="shared" si="18"/>
        <v>0</v>
      </c>
      <c r="AC39" s="1418">
        <f t="shared" si="3"/>
        <v>-5.0000000010186341E-4</v>
      </c>
      <c r="AD39" s="1418">
        <f t="shared" si="4"/>
        <v>0</v>
      </c>
      <c r="AE39" s="1418">
        <v>5282.8305</v>
      </c>
      <c r="AF39" s="1418">
        <f t="shared" si="5"/>
        <v>5.0000000010186341E-4</v>
      </c>
      <c r="AG39" s="1418">
        <v>4.2699999999999996</v>
      </c>
      <c r="AH39" s="1418">
        <f t="shared" si="6"/>
        <v>0</v>
      </c>
      <c r="AI39" s="1429"/>
      <c r="AO39" s="2505">
        <v>5282.8305</v>
      </c>
      <c r="AP39" s="1418">
        <f t="shared" si="14"/>
        <v>0</v>
      </c>
      <c r="AQ39" s="1418">
        <f t="shared" si="7"/>
        <v>5.0000000010186341E-4</v>
      </c>
    </row>
    <row r="40" spans="1:43" s="1410" customFormat="1" ht="15.75">
      <c r="A40" s="2102"/>
      <c r="B40" s="1268" t="s">
        <v>2247</v>
      </c>
      <c r="C40" s="1241" t="s">
        <v>2852</v>
      </c>
      <c r="D40" s="1245" t="s">
        <v>38</v>
      </c>
      <c r="E40" s="1413">
        <v>1157</v>
      </c>
      <c r="F40" s="1570">
        <v>1.61</v>
      </c>
      <c r="G40" s="1480">
        <v>1.75</v>
      </c>
      <c r="H40" s="1414">
        <v>1.82</v>
      </c>
      <c r="I40" s="1576">
        <f t="shared" si="0"/>
        <v>1862.77</v>
      </c>
      <c r="J40" s="1576">
        <f t="shared" si="1"/>
        <v>2024.75</v>
      </c>
      <c r="K40" s="1576">
        <v>363.84000000000003</v>
      </c>
      <c r="L40" s="1576">
        <f t="shared" si="8"/>
        <v>363.84000000000003</v>
      </c>
      <c r="M40" s="1576">
        <v>793.16</v>
      </c>
      <c r="N40" s="1576">
        <f t="shared" si="9"/>
        <v>793.16</v>
      </c>
      <c r="O40" s="1576">
        <f t="shared" si="10"/>
        <v>636.72</v>
      </c>
      <c r="P40" s="1576">
        <f t="shared" si="11"/>
        <v>1388.03</v>
      </c>
      <c r="Q40" s="1576">
        <f t="shared" si="12"/>
        <v>1443.55</v>
      </c>
      <c r="R40" s="1576">
        <f t="shared" si="13"/>
        <v>2080.27</v>
      </c>
      <c r="S40" s="1869">
        <v>1157</v>
      </c>
      <c r="T40" s="1866">
        <v>2080.2712000000001</v>
      </c>
      <c r="U40" s="2439"/>
      <c r="V40" s="1866">
        <f t="shared" si="19"/>
        <v>0</v>
      </c>
      <c r="W40" s="1869">
        <f t="shared" si="20"/>
        <v>1157</v>
      </c>
      <c r="X40" s="1870">
        <f t="shared" si="15"/>
        <v>2080.2712000000001</v>
      </c>
      <c r="Y40" s="1871">
        <f t="shared" si="16"/>
        <v>1.0000005768481977</v>
      </c>
      <c r="Z40" s="1694">
        <f t="shared" si="21"/>
        <v>0</v>
      </c>
      <c r="AA40" s="1872">
        <f t="shared" si="17"/>
        <v>0</v>
      </c>
      <c r="AB40" s="1873">
        <f t="shared" si="18"/>
        <v>0</v>
      </c>
      <c r="AC40" s="1418">
        <f t="shared" si="3"/>
        <v>-1.2000000001535227E-3</v>
      </c>
      <c r="AD40" s="1418">
        <f t="shared" si="4"/>
        <v>0</v>
      </c>
      <c r="AE40" s="1418">
        <v>2080.2712000000001</v>
      </c>
      <c r="AF40" s="1418">
        <f t="shared" si="5"/>
        <v>1.2000000001535227E-3</v>
      </c>
      <c r="AG40" s="1418">
        <v>1.82</v>
      </c>
      <c r="AH40" s="1418">
        <f t="shared" si="6"/>
        <v>0</v>
      </c>
      <c r="AI40" s="1428"/>
      <c r="AO40" s="2504">
        <v>2080.2712000000001</v>
      </c>
      <c r="AP40" s="1418">
        <f t="shared" si="14"/>
        <v>0</v>
      </c>
      <c r="AQ40" s="1418">
        <f t="shared" si="7"/>
        <v>1.2000000001535227E-3</v>
      </c>
    </row>
    <row r="41" spans="1:43" s="1410" customFormat="1" ht="15.75">
      <c r="A41" s="2102" t="s">
        <v>3619</v>
      </c>
      <c r="B41" s="1268" t="s">
        <v>2248</v>
      </c>
      <c r="C41" s="1241" t="s">
        <v>2853</v>
      </c>
      <c r="D41" s="1245" t="s">
        <v>36</v>
      </c>
      <c r="E41" s="1413">
        <v>58</v>
      </c>
      <c r="F41" s="1570">
        <v>5.13</v>
      </c>
      <c r="G41" s="1480">
        <v>5.6</v>
      </c>
      <c r="H41" s="1414">
        <v>5.84</v>
      </c>
      <c r="I41" s="1576">
        <f t="shared" si="0"/>
        <v>297.54000000000002</v>
      </c>
      <c r="J41" s="1576">
        <f t="shared" si="1"/>
        <v>324.8</v>
      </c>
      <c r="K41" s="1576">
        <v>32</v>
      </c>
      <c r="L41" s="1576">
        <f t="shared" si="8"/>
        <v>32</v>
      </c>
      <c r="M41" s="1576">
        <v>26</v>
      </c>
      <c r="N41" s="1576">
        <f t="shared" si="9"/>
        <v>26</v>
      </c>
      <c r="O41" s="1576">
        <f t="shared" si="10"/>
        <v>179.2</v>
      </c>
      <c r="P41" s="1576">
        <f t="shared" si="11"/>
        <v>145.6</v>
      </c>
      <c r="Q41" s="1576">
        <f t="shared" si="12"/>
        <v>151.84</v>
      </c>
      <c r="R41" s="1576">
        <f t="shared" si="13"/>
        <v>331.03999999999996</v>
      </c>
      <c r="S41" s="1869">
        <v>58</v>
      </c>
      <c r="T41" s="1866">
        <v>331.03999999999996</v>
      </c>
      <c r="U41" s="2439"/>
      <c r="V41" s="1866">
        <f t="shared" si="19"/>
        <v>0</v>
      </c>
      <c r="W41" s="1869">
        <f t="shared" si="20"/>
        <v>58</v>
      </c>
      <c r="X41" s="1870">
        <f t="shared" si="15"/>
        <v>331.03999999999996</v>
      </c>
      <c r="Y41" s="1871">
        <f t="shared" si="16"/>
        <v>1</v>
      </c>
      <c r="Z41" s="1694">
        <f t="shared" si="21"/>
        <v>0</v>
      </c>
      <c r="AA41" s="1872">
        <f t="shared" si="17"/>
        <v>0</v>
      </c>
      <c r="AB41" s="1873">
        <f t="shared" si="18"/>
        <v>0</v>
      </c>
      <c r="AC41" s="1418">
        <f t="shared" si="3"/>
        <v>0</v>
      </c>
      <c r="AD41" s="1418">
        <f t="shared" si="4"/>
        <v>0</v>
      </c>
      <c r="AE41" s="1418">
        <v>331.03999999999996</v>
      </c>
      <c r="AF41" s="1418">
        <f t="shared" si="5"/>
        <v>0</v>
      </c>
      <c r="AG41" s="1418">
        <v>5.84</v>
      </c>
      <c r="AH41" s="1418">
        <f t="shared" si="6"/>
        <v>0</v>
      </c>
      <c r="AI41" s="1428"/>
      <c r="AO41" s="2504">
        <v>331.03999999999996</v>
      </c>
      <c r="AP41" s="1418">
        <f t="shared" si="14"/>
        <v>0</v>
      </c>
      <c r="AQ41" s="1418">
        <f t="shared" si="7"/>
        <v>0</v>
      </c>
    </row>
    <row r="42" spans="1:43" s="1410" customFormat="1" ht="15.75">
      <c r="A42" s="2102" t="s">
        <v>3619</v>
      </c>
      <c r="B42" s="1268" t="s">
        <v>2249</v>
      </c>
      <c r="C42" s="1241" t="s">
        <v>2854</v>
      </c>
      <c r="D42" s="1245" t="s">
        <v>38</v>
      </c>
      <c r="E42" s="1413">
        <v>375.83</v>
      </c>
      <c r="F42" s="1570">
        <v>12.36</v>
      </c>
      <c r="G42" s="1480">
        <v>13.45</v>
      </c>
      <c r="H42" s="1414">
        <v>14.01</v>
      </c>
      <c r="I42" s="1576">
        <f t="shared" si="0"/>
        <v>4645.26</v>
      </c>
      <c r="J42" s="1576">
        <f t="shared" si="1"/>
        <v>5054.91</v>
      </c>
      <c r="K42" s="1576">
        <v>375.2</v>
      </c>
      <c r="L42" s="1576">
        <f t="shared" si="8"/>
        <v>375.2</v>
      </c>
      <c r="M42" s="1576">
        <v>0.62999999999999545</v>
      </c>
      <c r="N42" s="1576">
        <f t="shared" si="9"/>
        <v>0.63</v>
      </c>
      <c r="O42" s="1576">
        <f t="shared" si="10"/>
        <v>5046.4399999999996</v>
      </c>
      <c r="P42" s="1576">
        <f t="shared" si="11"/>
        <v>8.4700000000000006</v>
      </c>
      <c r="Q42" s="1576">
        <f t="shared" si="12"/>
        <v>8.83</v>
      </c>
      <c r="R42" s="1576">
        <f t="shared" si="13"/>
        <v>5055.2699999999995</v>
      </c>
      <c r="S42" s="1869">
        <v>375.83</v>
      </c>
      <c r="T42" s="1866">
        <v>5055.2662999999993</v>
      </c>
      <c r="U42" s="2439"/>
      <c r="V42" s="1866">
        <f t="shared" si="19"/>
        <v>0</v>
      </c>
      <c r="W42" s="1869">
        <f t="shared" si="20"/>
        <v>375.83</v>
      </c>
      <c r="X42" s="1870">
        <f t="shared" si="15"/>
        <v>5055.2662999999993</v>
      </c>
      <c r="Y42" s="1871">
        <f t="shared" si="16"/>
        <v>0.9999992680905273</v>
      </c>
      <c r="Z42" s="1694">
        <f t="shared" si="21"/>
        <v>0</v>
      </c>
      <c r="AA42" s="1872">
        <f t="shared" si="17"/>
        <v>0</v>
      </c>
      <c r="AB42" s="1873">
        <f t="shared" si="18"/>
        <v>0</v>
      </c>
      <c r="AC42" s="1418">
        <f t="shared" si="3"/>
        <v>3.7000000002080924E-3</v>
      </c>
      <c r="AD42" s="1418">
        <f t="shared" si="4"/>
        <v>0</v>
      </c>
      <c r="AE42" s="1418">
        <v>5055.2662999999993</v>
      </c>
      <c r="AF42" s="1418">
        <f t="shared" si="5"/>
        <v>-3.7000000002080924E-3</v>
      </c>
      <c r="AG42" s="1418">
        <v>14.01</v>
      </c>
      <c r="AH42" s="1418">
        <f t="shared" si="6"/>
        <v>0</v>
      </c>
      <c r="AI42" s="1428"/>
      <c r="AO42" s="2504">
        <v>5055.2662999999993</v>
      </c>
      <c r="AP42" s="1418">
        <f t="shared" si="14"/>
        <v>0</v>
      </c>
      <c r="AQ42" s="1418">
        <f t="shared" si="7"/>
        <v>-3.7000000002080924E-3</v>
      </c>
    </row>
    <row r="43" spans="1:43" s="1410" customFormat="1" ht="15.75">
      <c r="A43" s="2102" t="s">
        <v>3619</v>
      </c>
      <c r="B43" s="1268" t="s">
        <v>2250</v>
      </c>
      <c r="C43" s="1241" t="s">
        <v>2855</v>
      </c>
      <c r="D43" s="1245" t="s">
        <v>36</v>
      </c>
      <c r="E43" s="1413">
        <v>5</v>
      </c>
      <c r="F43" s="1570">
        <v>109.82</v>
      </c>
      <c r="G43" s="1480">
        <v>115.26</v>
      </c>
      <c r="H43" s="1414">
        <v>118.04</v>
      </c>
      <c r="I43" s="1576">
        <f t="shared" si="0"/>
        <v>549.1</v>
      </c>
      <c r="J43" s="1576">
        <f t="shared" si="1"/>
        <v>576.29999999999995</v>
      </c>
      <c r="K43" s="1576">
        <v>5</v>
      </c>
      <c r="L43" s="1576">
        <f t="shared" si="8"/>
        <v>5</v>
      </c>
      <c r="M43" s="1576">
        <v>0</v>
      </c>
      <c r="N43" s="1576">
        <f t="shared" si="9"/>
        <v>0</v>
      </c>
      <c r="O43" s="1576">
        <f t="shared" si="10"/>
        <v>576.29999999999995</v>
      </c>
      <c r="P43" s="1576">
        <f t="shared" si="11"/>
        <v>0</v>
      </c>
      <c r="Q43" s="1576">
        <f t="shared" si="12"/>
        <v>0</v>
      </c>
      <c r="R43" s="1576">
        <f t="shared" si="13"/>
        <v>576.29999999999995</v>
      </c>
      <c r="S43" s="1869">
        <v>5</v>
      </c>
      <c r="T43" s="1866">
        <v>576.30000000000007</v>
      </c>
      <c r="U43" s="2439"/>
      <c r="V43" s="1866">
        <f t="shared" si="19"/>
        <v>0</v>
      </c>
      <c r="W43" s="1869">
        <f t="shared" si="20"/>
        <v>5</v>
      </c>
      <c r="X43" s="1870">
        <f t="shared" si="15"/>
        <v>576.30000000000007</v>
      </c>
      <c r="Y43" s="1871">
        <f t="shared" si="16"/>
        <v>1.0000000000000002</v>
      </c>
      <c r="Z43" s="1694">
        <f t="shared" si="21"/>
        <v>0</v>
      </c>
      <c r="AA43" s="1872">
        <f t="shared" si="17"/>
        <v>0</v>
      </c>
      <c r="AB43" s="1873">
        <f t="shared" si="18"/>
        <v>0</v>
      </c>
      <c r="AC43" s="1418">
        <f t="shared" si="3"/>
        <v>-1.1368683772161603E-13</v>
      </c>
      <c r="AD43" s="1418">
        <f t="shared" si="4"/>
        <v>0</v>
      </c>
      <c r="AE43" s="1418">
        <v>576.30000000000007</v>
      </c>
      <c r="AF43" s="1418">
        <f t="shared" si="5"/>
        <v>0</v>
      </c>
      <c r="AG43" s="1418">
        <v>115.26</v>
      </c>
      <c r="AH43" s="1418">
        <f t="shared" si="6"/>
        <v>-2.7800000000000011</v>
      </c>
      <c r="AI43" s="1428"/>
      <c r="AO43" s="2504">
        <v>576.30000000000007</v>
      </c>
      <c r="AP43" s="1418">
        <f t="shared" si="14"/>
        <v>0</v>
      </c>
      <c r="AQ43" s="1418">
        <f t="shared" si="7"/>
        <v>0</v>
      </c>
    </row>
    <row r="44" spans="1:43" s="1410" customFormat="1" ht="15.75">
      <c r="A44" s="2102" t="s">
        <v>3619</v>
      </c>
      <c r="B44" s="1268" t="s">
        <v>2251</v>
      </c>
      <c r="C44" s="1241" t="s">
        <v>2856</v>
      </c>
      <c r="D44" s="1245" t="s">
        <v>36</v>
      </c>
      <c r="E44" s="1413">
        <v>12</v>
      </c>
      <c r="F44" s="1570">
        <v>183.02</v>
      </c>
      <c r="G44" s="1480">
        <v>192.09</v>
      </c>
      <c r="H44" s="1414">
        <v>196.74</v>
      </c>
      <c r="I44" s="1576">
        <f t="shared" si="0"/>
        <v>2196.2399999999998</v>
      </c>
      <c r="J44" s="1576">
        <f t="shared" si="1"/>
        <v>2305.08</v>
      </c>
      <c r="K44" s="1576">
        <v>12</v>
      </c>
      <c r="L44" s="1576">
        <f t="shared" si="8"/>
        <v>12</v>
      </c>
      <c r="M44" s="1576">
        <v>0</v>
      </c>
      <c r="N44" s="1576">
        <f t="shared" si="9"/>
        <v>0</v>
      </c>
      <c r="O44" s="1576">
        <f t="shared" si="10"/>
        <v>2305.08</v>
      </c>
      <c r="P44" s="1576">
        <f t="shared" si="11"/>
        <v>0</v>
      </c>
      <c r="Q44" s="1576">
        <f t="shared" si="12"/>
        <v>0</v>
      </c>
      <c r="R44" s="1576">
        <f t="shared" si="13"/>
        <v>2305.08</v>
      </c>
      <c r="S44" s="1869">
        <v>12</v>
      </c>
      <c r="T44" s="1866">
        <v>2305.08</v>
      </c>
      <c r="U44" s="2439"/>
      <c r="V44" s="1866">
        <f t="shared" si="19"/>
        <v>0</v>
      </c>
      <c r="W44" s="1869">
        <f t="shared" si="20"/>
        <v>12</v>
      </c>
      <c r="X44" s="1870">
        <f t="shared" si="15"/>
        <v>2305.08</v>
      </c>
      <c r="Y44" s="1871">
        <f t="shared" si="16"/>
        <v>1</v>
      </c>
      <c r="Z44" s="1694">
        <f t="shared" si="21"/>
        <v>0</v>
      </c>
      <c r="AA44" s="1872">
        <f t="shared" si="17"/>
        <v>0</v>
      </c>
      <c r="AB44" s="1873">
        <f t="shared" si="18"/>
        <v>0</v>
      </c>
      <c r="AC44" s="1418">
        <f t="shared" si="3"/>
        <v>0</v>
      </c>
      <c r="AD44" s="1418">
        <f t="shared" si="4"/>
        <v>0</v>
      </c>
      <c r="AE44" s="1418">
        <v>2305.08</v>
      </c>
      <c r="AF44" s="1418">
        <f t="shared" si="5"/>
        <v>0</v>
      </c>
      <c r="AG44" s="1418">
        <v>192.09</v>
      </c>
      <c r="AH44" s="1418">
        <f t="shared" si="6"/>
        <v>-4.6500000000000057</v>
      </c>
      <c r="AI44" s="1428"/>
      <c r="AO44" s="2504">
        <v>2305.08</v>
      </c>
      <c r="AP44" s="1418">
        <f t="shared" si="14"/>
        <v>0</v>
      </c>
      <c r="AQ44" s="1418">
        <f t="shared" si="7"/>
        <v>0</v>
      </c>
    </row>
    <row r="45" spans="1:43" s="1410" customFormat="1" ht="15.75">
      <c r="A45" s="2102"/>
      <c r="B45" s="1268" t="s">
        <v>2252</v>
      </c>
      <c r="C45" s="1241" t="s">
        <v>2857</v>
      </c>
      <c r="D45" s="1245" t="s">
        <v>36</v>
      </c>
      <c r="E45" s="1413">
        <v>6</v>
      </c>
      <c r="F45" s="1570">
        <v>274.54000000000002</v>
      </c>
      <c r="G45" s="1480">
        <v>288.14</v>
      </c>
      <c r="H45" s="1414">
        <v>295.10000000000002</v>
      </c>
      <c r="I45" s="1576">
        <f t="shared" si="0"/>
        <v>1647.24</v>
      </c>
      <c r="J45" s="1576">
        <f t="shared" si="1"/>
        <v>1728.84</v>
      </c>
      <c r="K45" s="1576">
        <v>6</v>
      </c>
      <c r="L45" s="1576">
        <f t="shared" si="8"/>
        <v>6</v>
      </c>
      <c r="M45" s="1576">
        <v>0</v>
      </c>
      <c r="N45" s="1576">
        <f t="shared" si="9"/>
        <v>0</v>
      </c>
      <c r="O45" s="1576">
        <f t="shared" si="10"/>
        <v>1728.84</v>
      </c>
      <c r="P45" s="1576">
        <f t="shared" si="11"/>
        <v>0</v>
      </c>
      <c r="Q45" s="1576">
        <f t="shared" si="12"/>
        <v>0</v>
      </c>
      <c r="R45" s="1576">
        <f t="shared" si="13"/>
        <v>1728.84</v>
      </c>
      <c r="S45" s="1869">
        <v>6</v>
      </c>
      <c r="T45" s="1866">
        <v>1728.84</v>
      </c>
      <c r="U45" s="2439"/>
      <c r="V45" s="1866">
        <f t="shared" si="19"/>
        <v>0</v>
      </c>
      <c r="W45" s="1869">
        <f t="shared" si="20"/>
        <v>6</v>
      </c>
      <c r="X45" s="1870">
        <f t="shared" si="15"/>
        <v>1728.84</v>
      </c>
      <c r="Y45" s="1871">
        <f t="shared" si="16"/>
        <v>1</v>
      </c>
      <c r="Z45" s="1694">
        <f t="shared" si="21"/>
        <v>0</v>
      </c>
      <c r="AA45" s="1872">
        <f t="shared" si="17"/>
        <v>0</v>
      </c>
      <c r="AB45" s="1873">
        <f t="shared" si="18"/>
        <v>0</v>
      </c>
      <c r="AC45" s="1418">
        <f t="shared" si="3"/>
        <v>0</v>
      </c>
      <c r="AD45" s="1418">
        <f t="shared" si="4"/>
        <v>0</v>
      </c>
      <c r="AE45" s="1418">
        <v>1728.84</v>
      </c>
      <c r="AF45" s="1418">
        <f t="shared" si="5"/>
        <v>0</v>
      </c>
      <c r="AG45" s="1418">
        <v>288.14</v>
      </c>
      <c r="AH45" s="1418">
        <f t="shared" si="6"/>
        <v>-6.9600000000000364</v>
      </c>
      <c r="AI45" s="1428"/>
      <c r="AO45" s="2504">
        <v>1728.84</v>
      </c>
      <c r="AP45" s="1418">
        <f t="shared" si="14"/>
        <v>0</v>
      </c>
      <c r="AQ45" s="1418">
        <f t="shared" si="7"/>
        <v>0</v>
      </c>
    </row>
    <row r="46" spans="1:43" s="1410" customFormat="1" ht="15.75">
      <c r="A46" s="2102"/>
      <c r="B46" s="1268" t="s">
        <v>2253</v>
      </c>
      <c r="C46" s="1241" t="s">
        <v>2858</v>
      </c>
      <c r="D46" s="1245" t="s">
        <v>36</v>
      </c>
      <c r="E46" s="1413">
        <v>8</v>
      </c>
      <c r="F46" s="1570">
        <v>109.32</v>
      </c>
      <c r="G46" s="1480">
        <v>119.11</v>
      </c>
      <c r="H46" s="1414">
        <v>124.03</v>
      </c>
      <c r="I46" s="1576">
        <f t="shared" si="0"/>
        <v>874.56</v>
      </c>
      <c r="J46" s="1576">
        <f t="shared" si="1"/>
        <v>952.88</v>
      </c>
      <c r="K46" s="1576">
        <v>8</v>
      </c>
      <c r="L46" s="1576">
        <f t="shared" si="8"/>
        <v>8</v>
      </c>
      <c r="M46" s="1576">
        <v>0</v>
      </c>
      <c r="N46" s="1576">
        <f t="shared" si="9"/>
        <v>0</v>
      </c>
      <c r="O46" s="1576">
        <f t="shared" si="10"/>
        <v>952.88</v>
      </c>
      <c r="P46" s="1576">
        <f t="shared" si="11"/>
        <v>0</v>
      </c>
      <c r="Q46" s="1576">
        <f t="shared" si="12"/>
        <v>0</v>
      </c>
      <c r="R46" s="1576">
        <f t="shared" si="13"/>
        <v>952.88</v>
      </c>
      <c r="S46" s="1869">
        <v>8</v>
      </c>
      <c r="T46" s="1866">
        <v>952.88</v>
      </c>
      <c r="U46" s="2439"/>
      <c r="V46" s="1866">
        <f t="shared" si="19"/>
        <v>0</v>
      </c>
      <c r="W46" s="1869">
        <f t="shared" si="20"/>
        <v>8</v>
      </c>
      <c r="X46" s="1870">
        <f t="shared" si="15"/>
        <v>952.88</v>
      </c>
      <c r="Y46" s="1871">
        <f t="shared" si="16"/>
        <v>1</v>
      </c>
      <c r="Z46" s="1694">
        <f t="shared" si="21"/>
        <v>0</v>
      </c>
      <c r="AA46" s="1872">
        <f t="shared" si="17"/>
        <v>0</v>
      </c>
      <c r="AB46" s="1873">
        <f t="shared" si="18"/>
        <v>0</v>
      </c>
      <c r="AC46" s="1418">
        <f t="shared" si="3"/>
        <v>0</v>
      </c>
      <c r="AD46" s="1418">
        <f t="shared" si="4"/>
        <v>0</v>
      </c>
      <c r="AE46" s="1418">
        <v>952.88</v>
      </c>
      <c r="AF46" s="1418">
        <f t="shared" si="5"/>
        <v>0</v>
      </c>
      <c r="AG46" s="1418">
        <v>119.11</v>
      </c>
      <c r="AH46" s="1418">
        <f t="shared" si="6"/>
        <v>-4.9200000000000017</v>
      </c>
      <c r="AI46" s="1428"/>
      <c r="AO46" s="2504">
        <v>952.88</v>
      </c>
      <c r="AP46" s="1418">
        <f t="shared" si="14"/>
        <v>0</v>
      </c>
      <c r="AQ46" s="1418">
        <f t="shared" si="7"/>
        <v>0</v>
      </c>
    </row>
    <row r="47" spans="1:43" s="1410" customFormat="1" ht="15.75">
      <c r="A47" s="2102"/>
      <c r="B47" s="1268" t="s">
        <v>2254</v>
      </c>
      <c r="C47" s="1241" t="s">
        <v>2859</v>
      </c>
      <c r="D47" s="1245" t="s">
        <v>36</v>
      </c>
      <c r="E47" s="1413">
        <v>4</v>
      </c>
      <c r="F47" s="1570">
        <v>87.46</v>
      </c>
      <c r="G47" s="1480">
        <v>95.29</v>
      </c>
      <c r="H47" s="1414">
        <v>99.22</v>
      </c>
      <c r="I47" s="1576">
        <f t="shared" si="0"/>
        <v>349.84</v>
      </c>
      <c r="J47" s="1576">
        <f t="shared" si="1"/>
        <v>381.16</v>
      </c>
      <c r="K47" s="1576">
        <v>4</v>
      </c>
      <c r="L47" s="1576">
        <f t="shared" si="8"/>
        <v>4</v>
      </c>
      <c r="M47" s="1576">
        <v>0</v>
      </c>
      <c r="N47" s="1576">
        <f t="shared" si="9"/>
        <v>0</v>
      </c>
      <c r="O47" s="1576">
        <f t="shared" si="10"/>
        <v>381.16</v>
      </c>
      <c r="P47" s="1576">
        <f t="shared" si="11"/>
        <v>0</v>
      </c>
      <c r="Q47" s="1576">
        <f t="shared" si="12"/>
        <v>0</v>
      </c>
      <c r="R47" s="1576">
        <f t="shared" si="13"/>
        <v>381.16</v>
      </c>
      <c r="S47" s="1869">
        <v>4</v>
      </c>
      <c r="T47" s="1866">
        <v>381.16</v>
      </c>
      <c r="U47" s="2439"/>
      <c r="V47" s="1866">
        <f t="shared" si="19"/>
        <v>0</v>
      </c>
      <c r="W47" s="1869">
        <f t="shared" si="20"/>
        <v>4</v>
      </c>
      <c r="X47" s="1870">
        <f t="shared" si="15"/>
        <v>381.16</v>
      </c>
      <c r="Y47" s="1871">
        <f t="shared" si="16"/>
        <v>1</v>
      </c>
      <c r="Z47" s="1694">
        <f t="shared" si="21"/>
        <v>0</v>
      </c>
      <c r="AA47" s="1872">
        <f t="shared" si="17"/>
        <v>0</v>
      </c>
      <c r="AB47" s="1873">
        <f t="shared" si="18"/>
        <v>0</v>
      </c>
      <c r="AC47" s="1418">
        <f t="shared" si="3"/>
        <v>0</v>
      </c>
      <c r="AD47" s="1418">
        <f t="shared" si="4"/>
        <v>0</v>
      </c>
      <c r="AE47" s="1418">
        <v>381.16</v>
      </c>
      <c r="AF47" s="1418">
        <f t="shared" si="5"/>
        <v>0</v>
      </c>
      <c r="AG47" s="1418">
        <v>95.29</v>
      </c>
      <c r="AH47" s="1418">
        <f t="shared" si="6"/>
        <v>-3.9299999999999926</v>
      </c>
      <c r="AI47" s="1428"/>
      <c r="AO47" s="2504">
        <v>381.16</v>
      </c>
      <c r="AP47" s="1418">
        <f t="shared" si="14"/>
        <v>0</v>
      </c>
      <c r="AQ47" s="1418">
        <f t="shared" si="7"/>
        <v>0</v>
      </c>
    </row>
    <row r="48" spans="1:43" s="1409" customFormat="1" ht="15.75">
      <c r="A48" s="2101"/>
      <c r="B48" s="1268" t="s">
        <v>2255</v>
      </c>
      <c r="C48" s="1241" t="s">
        <v>2860</v>
      </c>
      <c r="D48" s="1245" t="s">
        <v>36</v>
      </c>
      <c r="E48" s="1413">
        <v>6</v>
      </c>
      <c r="F48" s="1570">
        <v>54.66</v>
      </c>
      <c r="G48" s="1480">
        <v>59.55</v>
      </c>
      <c r="H48" s="1414">
        <v>62.02</v>
      </c>
      <c r="I48" s="1576">
        <f t="shared" si="0"/>
        <v>327.96</v>
      </c>
      <c r="J48" s="1576">
        <f t="shared" si="1"/>
        <v>357.3</v>
      </c>
      <c r="K48" s="1576">
        <v>6</v>
      </c>
      <c r="L48" s="1576">
        <f t="shared" si="8"/>
        <v>6</v>
      </c>
      <c r="M48" s="1576">
        <v>0</v>
      </c>
      <c r="N48" s="1576">
        <f t="shared" si="9"/>
        <v>0</v>
      </c>
      <c r="O48" s="1576">
        <f t="shared" si="10"/>
        <v>357.3</v>
      </c>
      <c r="P48" s="1576">
        <f t="shared" si="11"/>
        <v>0</v>
      </c>
      <c r="Q48" s="1576">
        <f t="shared" si="12"/>
        <v>0</v>
      </c>
      <c r="R48" s="1576">
        <f t="shared" si="13"/>
        <v>357.3</v>
      </c>
      <c r="S48" s="1869">
        <v>6</v>
      </c>
      <c r="T48" s="1866">
        <v>357.29999999999995</v>
      </c>
      <c r="U48" s="2439"/>
      <c r="V48" s="1866">
        <f t="shared" si="19"/>
        <v>0</v>
      </c>
      <c r="W48" s="1869">
        <f t="shared" si="20"/>
        <v>6</v>
      </c>
      <c r="X48" s="1870">
        <f t="shared" si="15"/>
        <v>357.29999999999995</v>
      </c>
      <c r="Y48" s="1871">
        <f t="shared" si="16"/>
        <v>0.99999999999999989</v>
      </c>
      <c r="Z48" s="1694">
        <f t="shared" si="21"/>
        <v>0</v>
      </c>
      <c r="AA48" s="1872">
        <f t="shared" si="17"/>
        <v>0</v>
      </c>
      <c r="AB48" s="1873">
        <f t="shared" si="18"/>
        <v>0</v>
      </c>
      <c r="AC48" s="1418">
        <f t="shared" si="3"/>
        <v>5.6843418860808015E-14</v>
      </c>
      <c r="AD48" s="1418">
        <f t="shared" si="4"/>
        <v>0</v>
      </c>
      <c r="AE48" s="1418">
        <v>357.29999999999995</v>
      </c>
      <c r="AF48" s="1418">
        <f t="shared" si="5"/>
        <v>0</v>
      </c>
      <c r="AG48" s="1418">
        <v>59.55</v>
      </c>
      <c r="AH48" s="1418">
        <f t="shared" si="6"/>
        <v>-2.470000000000006</v>
      </c>
      <c r="AI48" s="1429"/>
      <c r="AO48" s="2505">
        <v>357.29999999999995</v>
      </c>
      <c r="AP48" s="1418">
        <f t="shared" si="14"/>
        <v>0</v>
      </c>
      <c r="AQ48" s="1418">
        <f t="shared" si="7"/>
        <v>0</v>
      </c>
    </row>
    <row r="49" spans="1:43" s="1410" customFormat="1" ht="15.75">
      <c r="A49" s="2102"/>
      <c r="B49" s="1268" t="s">
        <v>2256</v>
      </c>
      <c r="C49" s="1241" t="s">
        <v>2861</v>
      </c>
      <c r="D49" s="1245" t="s">
        <v>38</v>
      </c>
      <c r="E49" s="1413">
        <v>78.010000000000005</v>
      </c>
      <c r="F49" s="1570">
        <v>10.3</v>
      </c>
      <c r="G49" s="1480">
        <v>11.22</v>
      </c>
      <c r="H49" s="1414">
        <v>11.67</v>
      </c>
      <c r="I49" s="1576">
        <f t="shared" si="0"/>
        <v>803.5</v>
      </c>
      <c r="J49" s="1576">
        <f t="shared" si="1"/>
        <v>875.27</v>
      </c>
      <c r="K49" s="1576">
        <v>69.400000000000006</v>
      </c>
      <c r="L49" s="1576">
        <f t="shared" si="8"/>
        <v>69.400000000000006</v>
      </c>
      <c r="M49" s="1576">
        <v>8.61</v>
      </c>
      <c r="N49" s="1576">
        <f t="shared" si="9"/>
        <v>8.61</v>
      </c>
      <c r="O49" s="1576">
        <f t="shared" si="10"/>
        <v>778.67</v>
      </c>
      <c r="P49" s="1576">
        <f t="shared" si="11"/>
        <v>96.6</v>
      </c>
      <c r="Q49" s="1576">
        <f t="shared" si="12"/>
        <v>100.48</v>
      </c>
      <c r="R49" s="1576">
        <f t="shared" si="13"/>
        <v>879.15</v>
      </c>
      <c r="S49" s="1869">
        <v>78.010000000000005</v>
      </c>
      <c r="T49" s="1866">
        <v>879.14670000000012</v>
      </c>
      <c r="U49" s="2439"/>
      <c r="V49" s="1866">
        <f t="shared" si="19"/>
        <v>0</v>
      </c>
      <c r="W49" s="1869">
        <f t="shared" si="20"/>
        <v>78.010000000000005</v>
      </c>
      <c r="X49" s="1870">
        <f t="shared" si="15"/>
        <v>879.14670000000012</v>
      </c>
      <c r="Y49" s="1871">
        <f t="shared" si="16"/>
        <v>0.99999624637433904</v>
      </c>
      <c r="Z49" s="1694">
        <f t="shared" si="21"/>
        <v>0</v>
      </c>
      <c r="AA49" s="1872">
        <f t="shared" si="17"/>
        <v>0</v>
      </c>
      <c r="AB49" s="1873">
        <f t="shared" si="18"/>
        <v>0</v>
      </c>
      <c r="AC49" s="1418">
        <f t="shared" si="3"/>
        <v>3.2999999998537533E-3</v>
      </c>
      <c r="AD49" s="1418">
        <f t="shared" si="4"/>
        <v>0</v>
      </c>
      <c r="AE49" s="1418">
        <v>879.14670000000012</v>
      </c>
      <c r="AF49" s="1418">
        <f t="shared" si="5"/>
        <v>-3.2999999998537533E-3</v>
      </c>
      <c r="AG49" s="1418">
        <v>11.67</v>
      </c>
      <c r="AH49" s="1418">
        <f t="shared" si="6"/>
        <v>0</v>
      </c>
      <c r="AI49" s="1428"/>
      <c r="AO49" s="2504">
        <v>879.14670000000012</v>
      </c>
      <c r="AP49" s="1418">
        <f t="shared" si="14"/>
        <v>0</v>
      </c>
      <c r="AQ49" s="1418">
        <f t="shared" si="7"/>
        <v>-3.2999999998537533E-3</v>
      </c>
    </row>
    <row r="50" spans="1:43" s="1410" customFormat="1" ht="15.75">
      <c r="A50" s="2102"/>
      <c r="B50" s="1268" t="s">
        <v>2257</v>
      </c>
      <c r="C50" s="1241" t="s">
        <v>2862</v>
      </c>
      <c r="D50" s="1245" t="s">
        <v>36</v>
      </c>
      <c r="E50" s="1413">
        <v>38</v>
      </c>
      <c r="F50" s="1570">
        <v>25.75</v>
      </c>
      <c r="G50" s="1480">
        <v>28.03</v>
      </c>
      <c r="H50" s="1414">
        <v>29.19</v>
      </c>
      <c r="I50" s="1576">
        <f t="shared" si="0"/>
        <v>978.5</v>
      </c>
      <c r="J50" s="1576">
        <f t="shared" si="1"/>
        <v>1065.1400000000001</v>
      </c>
      <c r="K50" s="1576">
        <v>28</v>
      </c>
      <c r="L50" s="1576">
        <f t="shared" si="8"/>
        <v>28</v>
      </c>
      <c r="M50" s="1576">
        <v>10</v>
      </c>
      <c r="N50" s="1576">
        <f t="shared" si="9"/>
        <v>10</v>
      </c>
      <c r="O50" s="1576">
        <f t="shared" si="10"/>
        <v>784.84</v>
      </c>
      <c r="P50" s="1576">
        <f t="shared" si="11"/>
        <v>280.3</v>
      </c>
      <c r="Q50" s="1576">
        <f t="shared" si="12"/>
        <v>291.89999999999998</v>
      </c>
      <c r="R50" s="1576">
        <f t="shared" si="13"/>
        <v>1076.74</v>
      </c>
      <c r="S50" s="1869">
        <v>38</v>
      </c>
      <c r="T50" s="1866">
        <v>1076.74</v>
      </c>
      <c r="U50" s="2439"/>
      <c r="V50" s="1866">
        <f t="shared" si="19"/>
        <v>0</v>
      </c>
      <c r="W50" s="1869">
        <f t="shared" si="20"/>
        <v>38</v>
      </c>
      <c r="X50" s="1870">
        <f t="shared" si="15"/>
        <v>1076.74</v>
      </c>
      <c r="Y50" s="1871">
        <f t="shared" si="16"/>
        <v>1</v>
      </c>
      <c r="Z50" s="1694">
        <f t="shared" si="21"/>
        <v>0</v>
      </c>
      <c r="AA50" s="1872">
        <f t="shared" si="17"/>
        <v>0</v>
      </c>
      <c r="AB50" s="1873">
        <f t="shared" si="18"/>
        <v>0</v>
      </c>
      <c r="AC50" s="1418">
        <f t="shared" si="3"/>
        <v>0</v>
      </c>
      <c r="AD50" s="1418">
        <f t="shared" si="4"/>
        <v>0</v>
      </c>
      <c r="AE50" s="1418">
        <v>1076.74</v>
      </c>
      <c r="AF50" s="1418">
        <f t="shared" si="5"/>
        <v>0</v>
      </c>
      <c r="AG50" s="1418">
        <v>29.19</v>
      </c>
      <c r="AH50" s="1418">
        <f t="shared" si="6"/>
        <v>0</v>
      </c>
      <c r="AI50" s="1428"/>
      <c r="AO50" s="2504">
        <v>1076.74</v>
      </c>
      <c r="AP50" s="1418">
        <f t="shared" si="14"/>
        <v>0</v>
      </c>
      <c r="AQ50" s="1418">
        <f t="shared" si="7"/>
        <v>0</v>
      </c>
    </row>
    <row r="51" spans="1:43" s="1410" customFormat="1" ht="15.75">
      <c r="A51" s="2102" t="s">
        <v>3619</v>
      </c>
      <c r="B51" s="2130" t="s">
        <v>2258</v>
      </c>
      <c r="C51" s="2131" t="s">
        <v>2863</v>
      </c>
      <c r="D51" s="1245" t="s">
        <v>38</v>
      </c>
      <c r="E51" s="1413">
        <v>125.25</v>
      </c>
      <c r="F51" s="1570">
        <v>5.15</v>
      </c>
      <c r="G51" s="1480">
        <v>5.6</v>
      </c>
      <c r="H51" s="1414">
        <v>5.83</v>
      </c>
      <c r="I51" s="1576">
        <f t="shared" si="0"/>
        <v>645.04</v>
      </c>
      <c r="J51" s="1576">
        <f t="shared" si="1"/>
        <v>701.4</v>
      </c>
      <c r="K51" s="1576">
        <v>125.25</v>
      </c>
      <c r="L51" s="1576">
        <f t="shared" si="8"/>
        <v>125.25</v>
      </c>
      <c r="M51" s="1576">
        <v>0</v>
      </c>
      <c r="N51" s="1576">
        <f t="shared" si="9"/>
        <v>0</v>
      </c>
      <c r="O51" s="1576">
        <f t="shared" si="10"/>
        <v>701.4</v>
      </c>
      <c r="P51" s="1576">
        <f t="shared" si="11"/>
        <v>0</v>
      </c>
      <c r="Q51" s="1576">
        <f t="shared" si="12"/>
        <v>0</v>
      </c>
      <c r="R51" s="1576">
        <f t="shared" si="13"/>
        <v>701.4</v>
      </c>
      <c r="S51" s="1869">
        <v>125.25</v>
      </c>
      <c r="T51" s="1866">
        <v>701.4</v>
      </c>
      <c r="U51" s="2439"/>
      <c r="V51" s="1866">
        <f t="shared" si="19"/>
        <v>0</v>
      </c>
      <c r="W51" s="1869">
        <f t="shared" si="20"/>
        <v>125.25</v>
      </c>
      <c r="X51" s="1870">
        <f t="shared" si="15"/>
        <v>701.4</v>
      </c>
      <c r="Y51" s="1871">
        <f t="shared" si="16"/>
        <v>1</v>
      </c>
      <c r="Z51" s="1694">
        <f t="shared" si="21"/>
        <v>0</v>
      </c>
      <c r="AA51" s="1872">
        <f t="shared" si="17"/>
        <v>0</v>
      </c>
      <c r="AB51" s="1873">
        <f t="shared" si="18"/>
        <v>0</v>
      </c>
      <c r="AC51" s="1418">
        <f t="shared" si="3"/>
        <v>0</v>
      </c>
      <c r="AD51" s="1418">
        <f t="shared" si="4"/>
        <v>0</v>
      </c>
      <c r="AE51" s="1418">
        <v>701.4</v>
      </c>
      <c r="AF51" s="1418">
        <f t="shared" si="5"/>
        <v>0</v>
      </c>
      <c r="AG51" s="1418">
        <v>5.6</v>
      </c>
      <c r="AH51" s="1418">
        <f t="shared" si="6"/>
        <v>-0.23000000000000043</v>
      </c>
      <c r="AI51" s="1428"/>
      <c r="AO51" s="2504">
        <v>701.4</v>
      </c>
      <c r="AP51" s="1418">
        <f t="shared" si="14"/>
        <v>0</v>
      </c>
      <c r="AQ51" s="1418">
        <f t="shared" si="7"/>
        <v>0</v>
      </c>
    </row>
    <row r="52" spans="1:43" s="1409" customFormat="1" ht="15.75">
      <c r="A52" s="2101"/>
      <c r="B52" s="1268" t="s">
        <v>2259</v>
      </c>
      <c r="C52" s="1241" t="s">
        <v>2864</v>
      </c>
      <c r="D52" s="1245" t="s">
        <v>38</v>
      </c>
      <c r="E52" s="1413">
        <v>38.28</v>
      </c>
      <c r="F52" s="1570">
        <v>5.15</v>
      </c>
      <c r="G52" s="1480">
        <v>5.6</v>
      </c>
      <c r="H52" s="1414">
        <v>5.83</v>
      </c>
      <c r="I52" s="1576">
        <f t="shared" si="0"/>
        <v>197.14</v>
      </c>
      <c r="J52" s="1576">
        <f t="shared" si="1"/>
        <v>214.37</v>
      </c>
      <c r="K52" s="1576">
        <v>28.5</v>
      </c>
      <c r="L52" s="1576">
        <f t="shared" si="8"/>
        <v>28.5</v>
      </c>
      <c r="M52" s="1576">
        <v>9.7800000000000011</v>
      </c>
      <c r="N52" s="1576">
        <f t="shared" si="9"/>
        <v>9.7799999999999994</v>
      </c>
      <c r="O52" s="1576">
        <f t="shared" si="10"/>
        <v>159.6</v>
      </c>
      <c r="P52" s="1576">
        <f t="shared" si="11"/>
        <v>54.77</v>
      </c>
      <c r="Q52" s="1576">
        <f t="shared" si="12"/>
        <v>57.02</v>
      </c>
      <c r="R52" s="1576">
        <f t="shared" si="13"/>
        <v>216.62</v>
      </c>
      <c r="S52" s="1869">
        <v>38.28</v>
      </c>
      <c r="T52" s="1866">
        <v>216.61739999999998</v>
      </c>
      <c r="U52" s="2439"/>
      <c r="V52" s="1866">
        <f t="shared" si="19"/>
        <v>0</v>
      </c>
      <c r="W52" s="1869">
        <f t="shared" si="20"/>
        <v>38.28</v>
      </c>
      <c r="X52" s="1870">
        <f t="shared" si="15"/>
        <v>216.61739999999998</v>
      </c>
      <c r="Y52" s="1871">
        <f t="shared" si="16"/>
        <v>0.99998799741482769</v>
      </c>
      <c r="Z52" s="1694">
        <f t="shared" si="21"/>
        <v>0</v>
      </c>
      <c r="AA52" s="1872">
        <f t="shared" si="17"/>
        <v>0</v>
      </c>
      <c r="AB52" s="1873">
        <f t="shared" si="18"/>
        <v>0</v>
      </c>
      <c r="AC52" s="1418">
        <f t="shared" si="3"/>
        <v>2.6000000000294676E-3</v>
      </c>
      <c r="AD52" s="1418">
        <f t="shared" si="4"/>
        <v>0</v>
      </c>
      <c r="AE52" s="1418">
        <v>216.6174</v>
      </c>
      <c r="AF52" s="1418">
        <f t="shared" si="5"/>
        <v>-2.6000000000010459E-3</v>
      </c>
      <c r="AG52" s="1418">
        <v>5.83</v>
      </c>
      <c r="AH52" s="1418">
        <f t="shared" si="6"/>
        <v>0</v>
      </c>
      <c r="AI52" s="1429"/>
      <c r="AO52" s="2505">
        <v>216.61739999999998</v>
      </c>
      <c r="AP52" s="1418">
        <f t="shared" si="14"/>
        <v>0</v>
      </c>
      <c r="AQ52" s="1418">
        <f t="shared" si="7"/>
        <v>-2.6000000000294676E-3</v>
      </c>
    </row>
    <row r="53" spans="1:43" s="1410" customFormat="1" ht="15.75">
      <c r="A53" s="2102" t="s">
        <v>3619</v>
      </c>
      <c r="B53" s="1268" t="s">
        <v>2260</v>
      </c>
      <c r="C53" s="1241" t="s">
        <v>2865</v>
      </c>
      <c r="D53" s="1245" t="s">
        <v>37</v>
      </c>
      <c r="E53" s="1413">
        <v>457.28</v>
      </c>
      <c r="F53" s="1555">
        <v>10.96</v>
      </c>
      <c r="G53" s="1480">
        <v>11.98</v>
      </c>
      <c r="H53" s="1414">
        <v>12.46</v>
      </c>
      <c r="I53" s="1576">
        <f t="shared" si="0"/>
        <v>5011.79</v>
      </c>
      <c r="J53" s="1576">
        <f t="shared" si="1"/>
        <v>5478.21</v>
      </c>
      <c r="K53" s="1576">
        <v>457.28</v>
      </c>
      <c r="L53" s="1576">
        <f t="shared" si="8"/>
        <v>457.28</v>
      </c>
      <c r="M53" s="1576">
        <v>0</v>
      </c>
      <c r="N53" s="1576">
        <f t="shared" si="9"/>
        <v>0</v>
      </c>
      <c r="O53" s="1576">
        <f t="shared" si="10"/>
        <v>5478.21</v>
      </c>
      <c r="P53" s="1576">
        <f t="shared" si="11"/>
        <v>0</v>
      </c>
      <c r="Q53" s="1576">
        <f t="shared" si="12"/>
        <v>0</v>
      </c>
      <c r="R53" s="1576">
        <f t="shared" si="13"/>
        <v>5478.21</v>
      </c>
      <c r="S53" s="1869">
        <v>457.28</v>
      </c>
      <c r="T53" s="1866">
        <v>5478.2143999999998</v>
      </c>
      <c r="U53" s="2439"/>
      <c r="V53" s="1866">
        <f t="shared" si="19"/>
        <v>0</v>
      </c>
      <c r="W53" s="1869">
        <f t="shared" si="20"/>
        <v>457.28</v>
      </c>
      <c r="X53" s="1870">
        <f t="shared" si="15"/>
        <v>5478.2143999999998</v>
      </c>
      <c r="Y53" s="1871">
        <f t="shared" si="16"/>
        <v>1.0000008031820613</v>
      </c>
      <c r="Z53" s="1694">
        <f t="shared" si="21"/>
        <v>0</v>
      </c>
      <c r="AA53" s="1872">
        <f t="shared" si="17"/>
        <v>0</v>
      </c>
      <c r="AB53" s="1873">
        <f t="shared" si="18"/>
        <v>0</v>
      </c>
      <c r="AC53" s="1418">
        <f t="shared" si="3"/>
        <v>-4.3999999998050043E-3</v>
      </c>
      <c r="AD53" s="1418">
        <f t="shared" si="4"/>
        <v>0</v>
      </c>
      <c r="AE53" s="1418">
        <v>5478.2143999999998</v>
      </c>
      <c r="AF53" s="1418">
        <f t="shared" si="5"/>
        <v>4.3999999998050043E-3</v>
      </c>
      <c r="AG53" s="1418">
        <v>11.98</v>
      </c>
      <c r="AH53" s="1418">
        <f t="shared" si="6"/>
        <v>-0.48000000000000043</v>
      </c>
      <c r="AI53" s="1428"/>
      <c r="AO53" s="2504">
        <v>5478.2143999999998</v>
      </c>
      <c r="AP53" s="1418">
        <f t="shared" si="14"/>
        <v>0</v>
      </c>
      <c r="AQ53" s="1418">
        <f t="shared" si="7"/>
        <v>4.3999999998050043E-3</v>
      </c>
    </row>
    <row r="54" spans="1:43" s="1410" customFormat="1" ht="15.75">
      <c r="A54" s="2102"/>
      <c r="B54" s="1268" t="s">
        <v>2261</v>
      </c>
      <c r="C54" s="1241" t="s">
        <v>2866</v>
      </c>
      <c r="D54" s="1245" t="s">
        <v>37</v>
      </c>
      <c r="E54" s="1413">
        <v>995.98</v>
      </c>
      <c r="F54" s="1570">
        <v>13.7</v>
      </c>
      <c r="G54" s="1480">
        <v>14.97</v>
      </c>
      <c r="H54" s="1414">
        <v>15.59</v>
      </c>
      <c r="I54" s="1576">
        <f t="shared" si="0"/>
        <v>13644.93</v>
      </c>
      <c r="J54" s="1576">
        <f t="shared" si="1"/>
        <v>14909.82</v>
      </c>
      <c r="K54" s="1576">
        <v>0</v>
      </c>
      <c r="L54" s="1576">
        <f t="shared" si="8"/>
        <v>0</v>
      </c>
      <c r="M54" s="1576">
        <v>995.98</v>
      </c>
      <c r="N54" s="1576">
        <f t="shared" si="9"/>
        <v>995.98</v>
      </c>
      <c r="O54" s="1576">
        <f t="shared" si="10"/>
        <v>0</v>
      </c>
      <c r="P54" s="1576">
        <f t="shared" si="11"/>
        <v>14909.82</v>
      </c>
      <c r="Q54" s="1576">
        <f t="shared" si="12"/>
        <v>15527.33</v>
      </c>
      <c r="R54" s="1576">
        <f t="shared" si="13"/>
        <v>15527.33</v>
      </c>
      <c r="S54" s="1869">
        <v>995.98</v>
      </c>
      <c r="T54" s="1866">
        <v>15527.3282</v>
      </c>
      <c r="U54" s="2439"/>
      <c r="V54" s="1866">
        <f t="shared" si="19"/>
        <v>0</v>
      </c>
      <c r="W54" s="1869">
        <f t="shared" si="20"/>
        <v>995.98</v>
      </c>
      <c r="X54" s="1870">
        <f t="shared" si="15"/>
        <v>15527.3282</v>
      </c>
      <c r="Y54" s="1871">
        <f t="shared" si="16"/>
        <v>0.99999988407536899</v>
      </c>
      <c r="Z54" s="1694">
        <f t="shared" si="21"/>
        <v>0</v>
      </c>
      <c r="AA54" s="1872">
        <f t="shared" si="17"/>
        <v>0</v>
      </c>
      <c r="AB54" s="1873">
        <f t="shared" si="18"/>
        <v>0</v>
      </c>
      <c r="AC54" s="1418">
        <f t="shared" si="3"/>
        <v>1.8000000000029104E-3</v>
      </c>
      <c r="AD54" s="1418">
        <f t="shared" si="4"/>
        <v>0</v>
      </c>
      <c r="AE54" s="1418">
        <v>15527.3282</v>
      </c>
      <c r="AF54" s="1418">
        <f t="shared" si="5"/>
        <v>-1.8000000000029104E-3</v>
      </c>
      <c r="AG54" s="1418">
        <v>15.59</v>
      </c>
      <c r="AH54" s="1418">
        <f t="shared" si="6"/>
        <v>0</v>
      </c>
      <c r="AI54" s="1428"/>
      <c r="AO54" s="2504">
        <v>15527.3282</v>
      </c>
      <c r="AP54" s="1418">
        <f t="shared" si="14"/>
        <v>0</v>
      </c>
      <c r="AQ54" s="1418">
        <f t="shared" si="7"/>
        <v>-1.8000000000029104E-3</v>
      </c>
    </row>
    <row r="55" spans="1:43" s="1410" customFormat="1" ht="15.75">
      <c r="A55" s="2102"/>
      <c r="B55" s="1268" t="s">
        <v>2262</v>
      </c>
      <c r="C55" s="1241" t="s">
        <v>2867</v>
      </c>
      <c r="D55" s="1245" t="s">
        <v>40</v>
      </c>
      <c r="E55" s="1413">
        <v>53.55</v>
      </c>
      <c r="F55" s="1555">
        <v>71.459999999999994</v>
      </c>
      <c r="G55" s="1480">
        <v>74.06</v>
      </c>
      <c r="H55" s="1414">
        <v>75.42</v>
      </c>
      <c r="I55" s="1477">
        <f t="shared" si="0"/>
        <v>3826.68</v>
      </c>
      <c r="J55" s="1477">
        <f t="shared" si="1"/>
        <v>3965.91</v>
      </c>
      <c r="K55" s="1477">
        <v>0</v>
      </c>
      <c r="L55" s="1477">
        <f t="shared" si="8"/>
        <v>0</v>
      </c>
      <c r="M55" s="1477">
        <v>53.55</v>
      </c>
      <c r="N55" s="1477">
        <f t="shared" si="9"/>
        <v>53.55</v>
      </c>
      <c r="O55" s="1477">
        <f t="shared" si="10"/>
        <v>0</v>
      </c>
      <c r="P55" s="1477">
        <f t="shared" si="11"/>
        <v>3965.91</v>
      </c>
      <c r="Q55" s="1477">
        <f t="shared" si="12"/>
        <v>4038.74</v>
      </c>
      <c r="R55" s="1576">
        <f t="shared" si="13"/>
        <v>4038.74</v>
      </c>
      <c r="S55" s="1869">
        <v>53.55</v>
      </c>
      <c r="T55" s="1866">
        <v>4038.741</v>
      </c>
      <c r="U55" s="2439"/>
      <c r="V55" s="1866">
        <f t="shared" si="19"/>
        <v>0</v>
      </c>
      <c r="W55" s="1869">
        <f t="shared" si="20"/>
        <v>53.55</v>
      </c>
      <c r="X55" s="1870">
        <f t="shared" si="15"/>
        <v>4038.741</v>
      </c>
      <c r="Y55" s="1871">
        <f t="shared" si="16"/>
        <v>1.0000002476019749</v>
      </c>
      <c r="Z55" s="1694">
        <f t="shared" si="21"/>
        <v>0</v>
      </c>
      <c r="AA55" s="1872">
        <f t="shared" si="17"/>
        <v>0</v>
      </c>
      <c r="AB55" s="1873">
        <f t="shared" si="18"/>
        <v>0</v>
      </c>
      <c r="AC55" s="1418">
        <f t="shared" si="3"/>
        <v>-1.0000000002037268E-3</v>
      </c>
      <c r="AD55" s="1418">
        <f t="shared" si="4"/>
        <v>0</v>
      </c>
      <c r="AE55" s="1418">
        <v>4038.741</v>
      </c>
      <c r="AF55" s="1418">
        <f t="shared" si="5"/>
        <v>1.0000000002037268E-3</v>
      </c>
      <c r="AG55" s="1418">
        <v>75.42</v>
      </c>
      <c r="AH55" s="1418">
        <f t="shared" si="6"/>
        <v>0</v>
      </c>
      <c r="AI55" s="1428"/>
      <c r="AO55" s="2504">
        <v>4038.741</v>
      </c>
      <c r="AP55" s="1418">
        <f t="shared" si="14"/>
        <v>0</v>
      </c>
      <c r="AQ55" s="1418">
        <f t="shared" si="7"/>
        <v>1.0000000002037268E-3</v>
      </c>
    </row>
    <row r="56" spans="1:43" s="1410" customFormat="1" ht="15.75">
      <c r="A56" s="2102"/>
      <c r="B56" s="1268" t="s">
        <v>2263</v>
      </c>
      <c r="C56" s="1241" t="s">
        <v>2868</v>
      </c>
      <c r="D56" s="1245" t="s">
        <v>40</v>
      </c>
      <c r="E56" s="1413">
        <v>29.36</v>
      </c>
      <c r="F56" s="1555">
        <v>71.459999999999994</v>
      </c>
      <c r="G56" s="1480">
        <v>74.06</v>
      </c>
      <c r="H56" s="1414">
        <v>75.42</v>
      </c>
      <c r="I56" s="1477">
        <f t="shared" si="0"/>
        <v>2098.0700000000002</v>
      </c>
      <c r="J56" s="1477">
        <f t="shared" si="1"/>
        <v>2174.4</v>
      </c>
      <c r="K56" s="1477">
        <v>0</v>
      </c>
      <c r="L56" s="1477">
        <f t="shared" si="8"/>
        <v>0</v>
      </c>
      <c r="M56" s="1477">
        <v>29.36</v>
      </c>
      <c r="N56" s="1477">
        <f t="shared" si="9"/>
        <v>29.36</v>
      </c>
      <c r="O56" s="1477">
        <f t="shared" si="10"/>
        <v>0</v>
      </c>
      <c r="P56" s="1477">
        <f t="shared" si="11"/>
        <v>2174.4</v>
      </c>
      <c r="Q56" s="1477">
        <f t="shared" si="12"/>
        <v>2214.33</v>
      </c>
      <c r="R56" s="1576">
        <f t="shared" si="13"/>
        <v>2214.33</v>
      </c>
      <c r="S56" s="1869">
        <v>29.36</v>
      </c>
      <c r="T56" s="1866">
        <v>2214.3312000000001</v>
      </c>
      <c r="U56" s="2439"/>
      <c r="V56" s="1866">
        <f t="shared" si="19"/>
        <v>0</v>
      </c>
      <c r="W56" s="1869">
        <f t="shared" si="20"/>
        <v>29.36</v>
      </c>
      <c r="X56" s="1870">
        <f t="shared" si="15"/>
        <v>2214.3312000000001</v>
      </c>
      <c r="Y56" s="1871">
        <f t="shared" si="16"/>
        <v>1.0000005419246454</v>
      </c>
      <c r="Z56" s="1694">
        <f t="shared" si="21"/>
        <v>0</v>
      </c>
      <c r="AA56" s="1872">
        <f t="shared" si="17"/>
        <v>0</v>
      </c>
      <c r="AB56" s="1873">
        <f t="shared" si="18"/>
        <v>0</v>
      </c>
      <c r="AC56" s="1418">
        <f t="shared" si="3"/>
        <v>-1.2000000001535227E-3</v>
      </c>
      <c r="AD56" s="1418">
        <f t="shared" si="4"/>
        <v>0</v>
      </c>
      <c r="AE56" s="1418">
        <v>2214.3312000000001</v>
      </c>
      <c r="AF56" s="1418">
        <f t="shared" si="5"/>
        <v>1.2000000001535227E-3</v>
      </c>
      <c r="AG56" s="1418">
        <v>75.42</v>
      </c>
      <c r="AH56" s="1418">
        <f t="shared" si="6"/>
        <v>0</v>
      </c>
      <c r="AI56" s="1428"/>
      <c r="AO56" s="2504">
        <v>2214.3312000000001</v>
      </c>
      <c r="AP56" s="1418">
        <f t="shared" si="14"/>
        <v>0</v>
      </c>
      <c r="AQ56" s="1418">
        <f t="shared" si="7"/>
        <v>1.2000000001535227E-3</v>
      </c>
    </row>
    <row r="57" spans="1:43" s="1631" customFormat="1" ht="15.75">
      <c r="A57" s="2221"/>
      <c r="B57" s="2130" t="s">
        <v>2264</v>
      </c>
      <c r="C57" s="2131" t="s">
        <v>2869</v>
      </c>
      <c r="D57" s="2222" t="s">
        <v>40</v>
      </c>
      <c r="E57" s="2223">
        <v>66.760000000000005</v>
      </c>
      <c r="F57" s="2224">
        <v>95.23</v>
      </c>
      <c r="G57" s="2225">
        <v>99.13</v>
      </c>
      <c r="H57" s="2226">
        <v>101.17</v>
      </c>
      <c r="I57" s="2227">
        <f t="shared" si="0"/>
        <v>6357.55</v>
      </c>
      <c r="J57" s="2227">
        <f t="shared" si="1"/>
        <v>6617.92</v>
      </c>
      <c r="K57" s="2227">
        <v>0</v>
      </c>
      <c r="L57" s="2227">
        <f t="shared" si="8"/>
        <v>0</v>
      </c>
      <c r="M57" s="2227">
        <v>66.760000000000005</v>
      </c>
      <c r="N57" s="2227">
        <f t="shared" si="9"/>
        <v>66.760000000000005</v>
      </c>
      <c r="O57" s="2227">
        <f t="shared" si="10"/>
        <v>0</v>
      </c>
      <c r="P57" s="2227">
        <f t="shared" si="11"/>
        <v>6617.92</v>
      </c>
      <c r="Q57" s="2227">
        <f t="shared" si="12"/>
        <v>6754.11</v>
      </c>
      <c r="R57" s="1576">
        <f t="shared" si="13"/>
        <v>6754.11</v>
      </c>
      <c r="S57" s="1865">
        <v>66.760000000000005</v>
      </c>
      <c r="T57" s="2446">
        <v>6754.1092000000008</v>
      </c>
      <c r="U57" s="2439"/>
      <c r="V57" s="2446">
        <f t="shared" si="19"/>
        <v>0</v>
      </c>
      <c r="W57" s="1865">
        <f t="shared" si="20"/>
        <v>66.760000000000005</v>
      </c>
      <c r="X57" s="2447">
        <f t="shared" si="15"/>
        <v>6754.1092000000008</v>
      </c>
      <c r="Y57" s="2448">
        <f t="shared" si="16"/>
        <v>0.99999988155360231</v>
      </c>
      <c r="Z57" s="2449">
        <f t="shared" si="21"/>
        <v>0</v>
      </c>
      <c r="AA57" s="2450">
        <f t="shared" si="17"/>
        <v>0</v>
      </c>
      <c r="AB57" s="2451">
        <f t="shared" si="18"/>
        <v>0</v>
      </c>
      <c r="AC57" s="1630">
        <f t="shared" si="3"/>
        <v>7.9999999888968887E-4</v>
      </c>
      <c r="AD57" s="1630">
        <f t="shared" si="4"/>
        <v>0</v>
      </c>
      <c r="AE57" s="1630">
        <v>6754.1092000000008</v>
      </c>
      <c r="AF57" s="1630">
        <f t="shared" si="5"/>
        <v>-7.9999999888968887E-4</v>
      </c>
      <c r="AG57" s="1630">
        <v>101.17</v>
      </c>
      <c r="AH57" s="1630">
        <f t="shared" si="6"/>
        <v>0</v>
      </c>
      <c r="AI57" s="2199"/>
      <c r="AO57" s="2506">
        <v>6754.1092000000008</v>
      </c>
      <c r="AP57" s="1418">
        <f t="shared" si="14"/>
        <v>0</v>
      </c>
      <c r="AQ57" s="1630">
        <f t="shared" si="7"/>
        <v>-7.9999999888968887E-4</v>
      </c>
    </row>
    <row r="58" spans="1:43" s="1409" customFormat="1" ht="15.75">
      <c r="A58" s="2101"/>
      <c r="B58" s="1268" t="s">
        <v>2265</v>
      </c>
      <c r="C58" s="1241" t="s">
        <v>2870</v>
      </c>
      <c r="D58" s="1245" t="s">
        <v>40</v>
      </c>
      <c r="E58" s="1413">
        <v>5.51</v>
      </c>
      <c r="F58" s="1555">
        <v>35.28</v>
      </c>
      <c r="G58" s="1480">
        <v>37.21</v>
      </c>
      <c r="H58" s="1414">
        <v>38.200000000000003</v>
      </c>
      <c r="I58" s="1477">
        <f t="shared" si="0"/>
        <v>194.39</v>
      </c>
      <c r="J58" s="1477">
        <f t="shared" si="1"/>
        <v>205.03</v>
      </c>
      <c r="K58" s="1477">
        <v>0</v>
      </c>
      <c r="L58" s="1477">
        <f t="shared" si="8"/>
        <v>0</v>
      </c>
      <c r="M58" s="1477">
        <v>5.51</v>
      </c>
      <c r="N58" s="1477">
        <f t="shared" si="9"/>
        <v>5.51</v>
      </c>
      <c r="O58" s="1477">
        <f t="shared" si="10"/>
        <v>0</v>
      </c>
      <c r="P58" s="1477">
        <f t="shared" si="11"/>
        <v>205.03</v>
      </c>
      <c r="Q58" s="1477">
        <f t="shared" si="12"/>
        <v>210.48</v>
      </c>
      <c r="R58" s="1576">
        <f t="shared" si="13"/>
        <v>210.48</v>
      </c>
      <c r="S58" s="1869">
        <v>5.51</v>
      </c>
      <c r="T58" s="1866">
        <v>210.482</v>
      </c>
      <c r="U58" s="2439"/>
      <c r="V58" s="1866">
        <f t="shared" si="19"/>
        <v>0</v>
      </c>
      <c r="W58" s="1869">
        <f t="shared" si="20"/>
        <v>5.51</v>
      </c>
      <c r="X58" s="1870">
        <f t="shared" si="15"/>
        <v>210.482</v>
      </c>
      <c r="Y58" s="1871">
        <f t="shared" si="16"/>
        <v>1.00000950209046</v>
      </c>
      <c r="Z58" s="1694">
        <f t="shared" si="21"/>
        <v>0</v>
      </c>
      <c r="AA58" s="1872">
        <f t="shared" si="17"/>
        <v>0</v>
      </c>
      <c r="AB58" s="1873">
        <f t="shared" si="18"/>
        <v>0</v>
      </c>
      <c r="AC58" s="1418">
        <f t="shared" si="3"/>
        <v>-2.0000000000095497E-3</v>
      </c>
      <c r="AD58" s="1418">
        <f t="shared" si="4"/>
        <v>0</v>
      </c>
      <c r="AE58" s="1418">
        <v>210.482</v>
      </c>
      <c r="AF58" s="1418">
        <f t="shared" si="5"/>
        <v>2.0000000000095497E-3</v>
      </c>
      <c r="AG58" s="1418">
        <v>38.200000000000003</v>
      </c>
      <c r="AH58" s="1418">
        <f t="shared" si="6"/>
        <v>0</v>
      </c>
      <c r="AI58" s="1429"/>
      <c r="AO58" s="2505">
        <v>210.482</v>
      </c>
      <c r="AP58" s="1418">
        <f t="shared" si="14"/>
        <v>0</v>
      </c>
      <c r="AQ58" s="1418">
        <f t="shared" si="7"/>
        <v>2.0000000000095497E-3</v>
      </c>
    </row>
    <row r="59" spans="1:43" s="1410" customFormat="1" ht="15.75">
      <c r="A59" s="2102"/>
      <c r="B59" s="1268" t="s">
        <v>2266</v>
      </c>
      <c r="C59" s="1241" t="s">
        <v>2871</v>
      </c>
      <c r="D59" s="1245" t="s">
        <v>40</v>
      </c>
      <c r="E59" s="1413">
        <v>28.51</v>
      </c>
      <c r="F59" s="1555">
        <v>89.32</v>
      </c>
      <c r="G59" s="1480">
        <v>92.55</v>
      </c>
      <c r="H59" s="1414">
        <v>94.26</v>
      </c>
      <c r="I59" s="1477">
        <f t="shared" si="0"/>
        <v>2546.5100000000002</v>
      </c>
      <c r="J59" s="1477">
        <f t="shared" si="1"/>
        <v>2638.6</v>
      </c>
      <c r="K59" s="1477">
        <v>0</v>
      </c>
      <c r="L59" s="1477">
        <f t="shared" si="8"/>
        <v>0</v>
      </c>
      <c r="M59" s="1477">
        <v>28.51</v>
      </c>
      <c r="N59" s="1477">
        <f t="shared" si="9"/>
        <v>28.51</v>
      </c>
      <c r="O59" s="1477">
        <f t="shared" si="10"/>
        <v>0</v>
      </c>
      <c r="P59" s="1477">
        <f t="shared" si="11"/>
        <v>2638.6</v>
      </c>
      <c r="Q59" s="1477">
        <f t="shared" si="12"/>
        <v>2687.35</v>
      </c>
      <c r="R59" s="1576">
        <f t="shared" si="13"/>
        <v>2687.35</v>
      </c>
      <c r="S59" s="1869">
        <v>28.51</v>
      </c>
      <c r="T59" s="1866">
        <v>2687.3526000000002</v>
      </c>
      <c r="U59" s="2439"/>
      <c r="V59" s="1866">
        <f t="shared" si="19"/>
        <v>0</v>
      </c>
      <c r="W59" s="1869">
        <f t="shared" si="20"/>
        <v>28.51</v>
      </c>
      <c r="X59" s="1870">
        <f t="shared" si="15"/>
        <v>2687.3526000000002</v>
      </c>
      <c r="Y59" s="1871">
        <f t="shared" si="16"/>
        <v>1.0000009674958603</v>
      </c>
      <c r="Z59" s="1694">
        <f t="shared" si="21"/>
        <v>0</v>
      </c>
      <c r="AA59" s="1872">
        <f t="shared" si="17"/>
        <v>0</v>
      </c>
      <c r="AB59" s="1873">
        <f t="shared" si="18"/>
        <v>0</v>
      </c>
      <c r="AC59" s="1418">
        <f t="shared" si="3"/>
        <v>-2.6000000002568413E-3</v>
      </c>
      <c r="AD59" s="1418">
        <f t="shared" si="4"/>
        <v>0</v>
      </c>
      <c r="AE59" s="1418">
        <v>2687.3526000000002</v>
      </c>
      <c r="AF59" s="1418">
        <f t="shared" si="5"/>
        <v>2.6000000002568413E-3</v>
      </c>
      <c r="AG59" s="1418">
        <v>94.26</v>
      </c>
      <c r="AH59" s="1418">
        <f t="shared" si="6"/>
        <v>0</v>
      </c>
      <c r="AI59" s="1428"/>
      <c r="AO59" s="2504">
        <v>2687.3526000000002</v>
      </c>
      <c r="AP59" s="1418">
        <f t="shared" si="14"/>
        <v>0</v>
      </c>
      <c r="AQ59" s="1418">
        <f t="shared" si="7"/>
        <v>2.6000000002568413E-3</v>
      </c>
    </row>
    <row r="60" spans="1:43" s="1410" customFormat="1" ht="15.75">
      <c r="A60" s="2102"/>
      <c r="B60" s="1268" t="s">
        <v>2267</v>
      </c>
      <c r="C60" s="1241" t="s">
        <v>2872</v>
      </c>
      <c r="D60" s="1245" t="s">
        <v>40</v>
      </c>
      <c r="E60" s="1413">
        <v>24.75</v>
      </c>
      <c r="F60" s="1555">
        <v>50.62</v>
      </c>
      <c r="G60" s="1480">
        <v>52.12</v>
      </c>
      <c r="H60" s="1414">
        <v>52.9</v>
      </c>
      <c r="I60" s="1477">
        <f t="shared" si="0"/>
        <v>1252.8499999999999</v>
      </c>
      <c r="J60" s="1477">
        <f t="shared" si="1"/>
        <v>1289.97</v>
      </c>
      <c r="K60" s="1477">
        <v>0</v>
      </c>
      <c r="L60" s="1477">
        <f t="shared" si="8"/>
        <v>0</v>
      </c>
      <c r="M60" s="1477">
        <v>24.75</v>
      </c>
      <c r="N60" s="1477">
        <f t="shared" si="9"/>
        <v>24.75</v>
      </c>
      <c r="O60" s="1477">
        <f t="shared" si="10"/>
        <v>0</v>
      </c>
      <c r="P60" s="1477">
        <f t="shared" si="11"/>
        <v>1289.97</v>
      </c>
      <c r="Q60" s="1477">
        <f t="shared" si="12"/>
        <v>1309.28</v>
      </c>
      <c r="R60" s="1576">
        <f t="shared" si="13"/>
        <v>1309.28</v>
      </c>
      <c r="S60" s="1869">
        <v>24.75</v>
      </c>
      <c r="T60" s="1866">
        <v>1309.2750000000001</v>
      </c>
      <c r="U60" s="2439"/>
      <c r="V60" s="1866">
        <f t="shared" si="19"/>
        <v>0</v>
      </c>
      <c r="W60" s="1869">
        <f t="shared" si="20"/>
        <v>24.75</v>
      </c>
      <c r="X60" s="1870">
        <f t="shared" si="15"/>
        <v>1309.2750000000001</v>
      </c>
      <c r="Y60" s="1871">
        <f t="shared" si="16"/>
        <v>0.99999618110717348</v>
      </c>
      <c r="Z60" s="1694">
        <f t="shared" si="21"/>
        <v>0</v>
      </c>
      <c r="AA60" s="1872">
        <f t="shared" si="17"/>
        <v>0</v>
      </c>
      <c r="AB60" s="1873">
        <f t="shared" si="18"/>
        <v>0</v>
      </c>
      <c r="AC60" s="1418">
        <f t="shared" si="3"/>
        <v>4.9999999998817657E-3</v>
      </c>
      <c r="AD60" s="1418">
        <f t="shared" si="4"/>
        <v>0</v>
      </c>
      <c r="AE60" s="1418">
        <v>1309.2749999999999</v>
      </c>
      <c r="AF60" s="1418">
        <f t="shared" si="5"/>
        <v>-5.0000000001091394E-3</v>
      </c>
      <c r="AG60" s="1418">
        <v>52.9</v>
      </c>
      <c r="AH60" s="1418">
        <f t="shared" si="6"/>
        <v>0</v>
      </c>
      <c r="AI60" s="1428"/>
      <c r="AO60" s="2504">
        <v>1309.2750000000001</v>
      </c>
      <c r="AP60" s="1418">
        <f t="shared" si="14"/>
        <v>0</v>
      </c>
      <c r="AQ60" s="1418">
        <f t="shared" si="7"/>
        <v>-4.9999999998817657E-3</v>
      </c>
    </row>
    <row r="61" spans="1:43" s="1423" customFormat="1" ht="15.75">
      <c r="A61" s="2228"/>
      <c r="B61" s="2130" t="s">
        <v>2268</v>
      </c>
      <c r="C61" s="2131" t="s">
        <v>2873</v>
      </c>
      <c r="D61" s="2222" t="s">
        <v>37</v>
      </c>
      <c r="E61" s="2223">
        <v>3733.68</v>
      </c>
      <c r="F61" s="2224">
        <v>6.14</v>
      </c>
      <c r="G61" s="2225">
        <v>6.45</v>
      </c>
      <c r="H61" s="2226">
        <v>6.6</v>
      </c>
      <c r="I61" s="2227">
        <f t="shared" si="0"/>
        <v>22924.799999999999</v>
      </c>
      <c r="J61" s="2227">
        <f t="shared" si="1"/>
        <v>24082.240000000002</v>
      </c>
      <c r="K61" s="2227">
        <v>1400</v>
      </c>
      <c r="L61" s="2227">
        <f t="shared" si="8"/>
        <v>1400</v>
      </c>
      <c r="M61" s="2227">
        <v>2333.6799999999998</v>
      </c>
      <c r="N61" s="2227">
        <f t="shared" si="9"/>
        <v>2333.6799999999998</v>
      </c>
      <c r="O61" s="2227">
        <f t="shared" si="10"/>
        <v>9030</v>
      </c>
      <c r="P61" s="2227">
        <f t="shared" si="11"/>
        <v>15052.24</v>
      </c>
      <c r="Q61" s="2227">
        <f t="shared" si="12"/>
        <v>15402.29</v>
      </c>
      <c r="R61" s="1576">
        <f t="shared" si="13"/>
        <v>24432.29</v>
      </c>
      <c r="S61" s="1865">
        <v>3733.68</v>
      </c>
      <c r="T61" s="2446">
        <v>24432.287999999997</v>
      </c>
      <c r="U61" s="2439"/>
      <c r="V61" s="2446">
        <f t="shared" si="19"/>
        <v>0</v>
      </c>
      <c r="W61" s="1865">
        <f t="shared" si="20"/>
        <v>3733.68</v>
      </c>
      <c r="X61" s="2447">
        <f t="shared" si="15"/>
        <v>24432.287999999997</v>
      </c>
      <c r="Y61" s="2448">
        <f t="shared" si="16"/>
        <v>0.99999991814111555</v>
      </c>
      <c r="Z61" s="2449">
        <f t="shared" si="21"/>
        <v>0</v>
      </c>
      <c r="AA61" s="2450">
        <f t="shared" si="17"/>
        <v>0</v>
      </c>
      <c r="AB61" s="2451">
        <f t="shared" si="18"/>
        <v>0</v>
      </c>
      <c r="AC61" s="1630">
        <f t="shared" si="3"/>
        <v>2.0000000040454324E-3</v>
      </c>
      <c r="AD61" s="1630">
        <f t="shared" si="4"/>
        <v>0</v>
      </c>
      <c r="AE61" s="1630">
        <v>24432.288</v>
      </c>
      <c r="AF61" s="1630">
        <f t="shared" si="5"/>
        <v>-2.0000000004074536E-3</v>
      </c>
      <c r="AG61" s="1630">
        <v>6.6</v>
      </c>
      <c r="AH61" s="1630">
        <f t="shared" si="6"/>
        <v>0</v>
      </c>
      <c r="AI61" s="1629"/>
      <c r="AO61" s="2507">
        <v>24432.287999999997</v>
      </c>
      <c r="AP61" s="1418">
        <f t="shared" si="14"/>
        <v>0</v>
      </c>
      <c r="AQ61" s="1630">
        <f t="shared" si="7"/>
        <v>-2.0000000040454324E-3</v>
      </c>
    </row>
    <row r="62" spans="1:43" s="1410" customFormat="1" ht="15.75">
      <c r="A62" s="2102"/>
      <c r="B62" s="2130" t="s">
        <v>2269</v>
      </c>
      <c r="C62" s="1241" t="s">
        <v>2874</v>
      </c>
      <c r="D62" s="1245" t="s">
        <v>40</v>
      </c>
      <c r="E62" s="1413">
        <v>124.8</v>
      </c>
      <c r="F62" s="1555">
        <v>68.48</v>
      </c>
      <c r="G62" s="1480">
        <v>72.260000000000005</v>
      </c>
      <c r="H62" s="1414">
        <v>74.23</v>
      </c>
      <c r="I62" s="1477">
        <f t="shared" si="0"/>
        <v>8546.2999999999993</v>
      </c>
      <c r="J62" s="1477">
        <f t="shared" si="1"/>
        <v>9018.0499999999993</v>
      </c>
      <c r="K62" s="1477">
        <v>0</v>
      </c>
      <c r="L62" s="1477">
        <f t="shared" si="8"/>
        <v>0</v>
      </c>
      <c r="M62" s="1477">
        <v>124.8</v>
      </c>
      <c r="N62" s="1477">
        <f t="shared" si="9"/>
        <v>124.8</v>
      </c>
      <c r="O62" s="1477">
        <f t="shared" si="10"/>
        <v>0</v>
      </c>
      <c r="P62" s="1477">
        <f t="shared" si="11"/>
        <v>9018.0499999999993</v>
      </c>
      <c r="Q62" s="1477">
        <f t="shared" si="12"/>
        <v>9263.9</v>
      </c>
      <c r="R62" s="1576">
        <f t="shared" si="13"/>
        <v>9263.9</v>
      </c>
      <c r="S62" s="1869">
        <v>124.8</v>
      </c>
      <c r="T62" s="1866">
        <v>9263.9040000000005</v>
      </c>
      <c r="U62" s="2439"/>
      <c r="V62" s="1866">
        <f t="shared" si="19"/>
        <v>0</v>
      </c>
      <c r="W62" s="1869">
        <f t="shared" si="20"/>
        <v>124.8</v>
      </c>
      <c r="X62" s="1870">
        <f t="shared" si="15"/>
        <v>9263.9040000000005</v>
      </c>
      <c r="Y62" s="1871">
        <f t="shared" si="16"/>
        <v>1.0000004317835902</v>
      </c>
      <c r="Z62" s="1694">
        <f t="shared" si="21"/>
        <v>0</v>
      </c>
      <c r="AA62" s="1872">
        <f t="shared" si="17"/>
        <v>0</v>
      </c>
      <c r="AB62" s="1873">
        <f t="shared" si="18"/>
        <v>0</v>
      </c>
      <c r="AC62" s="1418">
        <f t="shared" si="3"/>
        <v>-4.0000000008149073E-3</v>
      </c>
      <c r="AD62" s="1418">
        <f t="shared" si="4"/>
        <v>0</v>
      </c>
      <c r="AE62" s="1418">
        <v>9263.9040000000005</v>
      </c>
      <c r="AF62" s="1418">
        <f t="shared" si="5"/>
        <v>4.0000000008149073E-3</v>
      </c>
      <c r="AG62" s="1418">
        <v>74.23</v>
      </c>
      <c r="AH62" s="1418">
        <f t="shared" si="6"/>
        <v>0</v>
      </c>
      <c r="AI62" s="1428"/>
      <c r="AO62" s="2504">
        <v>9263.9040000000005</v>
      </c>
      <c r="AP62" s="1418">
        <f t="shared" si="14"/>
        <v>0</v>
      </c>
      <c r="AQ62" s="1418">
        <f t="shared" si="7"/>
        <v>4.0000000008149073E-3</v>
      </c>
    </row>
    <row r="63" spans="1:43" s="1410" customFormat="1" ht="15.75">
      <c r="A63" s="2102"/>
      <c r="B63" s="1268" t="s">
        <v>2270</v>
      </c>
      <c r="C63" s="1241" t="s">
        <v>2875</v>
      </c>
      <c r="D63" s="1245" t="s">
        <v>40</v>
      </c>
      <c r="E63" s="1413">
        <v>2.36</v>
      </c>
      <c r="F63" s="1555">
        <v>13.69</v>
      </c>
      <c r="G63" s="1480">
        <v>14.46</v>
      </c>
      <c r="H63" s="1414">
        <v>14.85</v>
      </c>
      <c r="I63" s="1477">
        <f t="shared" si="0"/>
        <v>32.31</v>
      </c>
      <c r="J63" s="1477">
        <f t="shared" si="1"/>
        <v>34.130000000000003</v>
      </c>
      <c r="K63" s="1477">
        <v>0</v>
      </c>
      <c r="L63" s="1477">
        <f t="shared" si="8"/>
        <v>0</v>
      </c>
      <c r="M63" s="1477">
        <v>2.36</v>
      </c>
      <c r="N63" s="1477">
        <f t="shared" si="9"/>
        <v>2.36</v>
      </c>
      <c r="O63" s="1477">
        <f t="shared" si="10"/>
        <v>0</v>
      </c>
      <c r="P63" s="1477">
        <f t="shared" si="11"/>
        <v>34.130000000000003</v>
      </c>
      <c r="Q63" s="1477">
        <f t="shared" si="12"/>
        <v>35.049999999999997</v>
      </c>
      <c r="R63" s="1576">
        <f t="shared" si="13"/>
        <v>35.049999999999997</v>
      </c>
      <c r="S63" s="1869">
        <v>2.36</v>
      </c>
      <c r="T63" s="1866">
        <v>35.045999999999999</v>
      </c>
      <c r="U63" s="2439"/>
      <c r="V63" s="1866">
        <f t="shared" si="19"/>
        <v>0</v>
      </c>
      <c r="W63" s="1869">
        <f t="shared" si="20"/>
        <v>2.36</v>
      </c>
      <c r="X63" s="1870">
        <f t="shared" si="15"/>
        <v>35.045999999999999</v>
      </c>
      <c r="Y63" s="1871">
        <f t="shared" si="16"/>
        <v>0.99988587731811707</v>
      </c>
      <c r="Z63" s="1694">
        <f t="shared" si="21"/>
        <v>0</v>
      </c>
      <c r="AA63" s="1872">
        <f t="shared" si="17"/>
        <v>0</v>
      </c>
      <c r="AB63" s="1873">
        <f t="shared" si="18"/>
        <v>0</v>
      </c>
      <c r="AC63" s="1418">
        <f t="shared" si="3"/>
        <v>3.9999999999977831E-3</v>
      </c>
      <c r="AD63" s="1418">
        <f t="shared" si="4"/>
        <v>0</v>
      </c>
      <c r="AE63" s="1418">
        <v>35.045999999999999</v>
      </c>
      <c r="AF63" s="1418">
        <f t="shared" si="5"/>
        <v>-3.9999999999977831E-3</v>
      </c>
      <c r="AG63" s="1418">
        <v>14.85</v>
      </c>
      <c r="AH63" s="1418">
        <f t="shared" si="6"/>
        <v>0</v>
      </c>
      <c r="AI63" s="1428"/>
      <c r="AO63" s="2504">
        <v>35.045999999999999</v>
      </c>
      <c r="AP63" s="1418">
        <f t="shared" si="14"/>
        <v>0</v>
      </c>
      <c r="AQ63" s="1418">
        <f t="shared" si="7"/>
        <v>-3.9999999999977831E-3</v>
      </c>
    </row>
    <row r="64" spans="1:43" s="1409" customFormat="1" ht="15.75">
      <c r="A64" s="2101"/>
      <c r="B64" s="1268" t="s">
        <v>2271</v>
      </c>
      <c r="C64" s="1241" t="s">
        <v>2876</v>
      </c>
      <c r="D64" s="1245" t="s">
        <v>37</v>
      </c>
      <c r="E64" s="1413">
        <v>1014.21</v>
      </c>
      <c r="F64" s="1555">
        <v>2.58</v>
      </c>
      <c r="G64" s="1480">
        <v>2.8</v>
      </c>
      <c r="H64" s="1414">
        <v>2.91</v>
      </c>
      <c r="I64" s="1477">
        <f t="shared" si="0"/>
        <v>2616.66</v>
      </c>
      <c r="J64" s="1477">
        <f t="shared" si="1"/>
        <v>2839.79</v>
      </c>
      <c r="K64" s="1477">
        <v>0</v>
      </c>
      <c r="L64" s="1477">
        <f t="shared" si="8"/>
        <v>0</v>
      </c>
      <c r="M64" s="1477">
        <v>1014.21</v>
      </c>
      <c r="N64" s="1477">
        <f t="shared" si="9"/>
        <v>1014.21</v>
      </c>
      <c r="O64" s="1477">
        <f t="shared" si="10"/>
        <v>0</v>
      </c>
      <c r="P64" s="1477">
        <f t="shared" si="11"/>
        <v>2839.79</v>
      </c>
      <c r="Q64" s="1477">
        <f t="shared" si="12"/>
        <v>2951.35</v>
      </c>
      <c r="R64" s="1576">
        <f t="shared" si="13"/>
        <v>2951.35</v>
      </c>
      <c r="S64" s="1869">
        <v>1014.21</v>
      </c>
      <c r="T64" s="1866">
        <v>2951.3511000000003</v>
      </c>
      <c r="U64" s="2439"/>
      <c r="V64" s="1866">
        <f t="shared" si="19"/>
        <v>0</v>
      </c>
      <c r="W64" s="1869">
        <f t="shared" si="20"/>
        <v>1014.21</v>
      </c>
      <c r="X64" s="1870">
        <f t="shared" si="15"/>
        <v>2951.3511000000003</v>
      </c>
      <c r="Y64" s="1871">
        <f t="shared" si="16"/>
        <v>1.0000003727107936</v>
      </c>
      <c r="Z64" s="1694">
        <f t="shared" si="21"/>
        <v>0</v>
      </c>
      <c r="AA64" s="1872">
        <f t="shared" si="17"/>
        <v>0</v>
      </c>
      <c r="AB64" s="1873">
        <f t="shared" si="18"/>
        <v>0</v>
      </c>
      <c r="AC64" s="1418">
        <f t="shared" si="3"/>
        <v>-1.1000000004059984E-3</v>
      </c>
      <c r="AD64" s="1418">
        <f t="shared" si="4"/>
        <v>0</v>
      </c>
      <c r="AE64" s="1418">
        <v>2951.3511000000003</v>
      </c>
      <c r="AF64" s="1418">
        <f t="shared" si="5"/>
        <v>1.1000000004059984E-3</v>
      </c>
      <c r="AG64" s="1418">
        <v>2.91</v>
      </c>
      <c r="AH64" s="1418">
        <f t="shared" si="6"/>
        <v>0</v>
      </c>
      <c r="AI64" s="1429"/>
      <c r="AO64" s="2505">
        <v>2951.3511000000003</v>
      </c>
      <c r="AP64" s="1418">
        <f t="shared" si="14"/>
        <v>0</v>
      </c>
      <c r="AQ64" s="1418">
        <f t="shared" si="7"/>
        <v>1.1000000004059984E-3</v>
      </c>
    </row>
    <row r="65" spans="1:43" s="1410" customFormat="1" ht="15.75">
      <c r="A65" s="2102"/>
      <c r="B65" s="1268" t="s">
        <v>2272</v>
      </c>
      <c r="C65" s="1241" t="s">
        <v>2877</v>
      </c>
      <c r="D65" s="1245" t="s">
        <v>40</v>
      </c>
      <c r="E65" s="1413">
        <v>189.53</v>
      </c>
      <c r="F65" s="1555">
        <v>82.77</v>
      </c>
      <c r="G65" s="1480">
        <v>85.68</v>
      </c>
      <c r="H65" s="1414">
        <v>87.16</v>
      </c>
      <c r="I65" s="1477">
        <f t="shared" si="0"/>
        <v>15687.4</v>
      </c>
      <c r="J65" s="1477">
        <f t="shared" si="1"/>
        <v>16238.93</v>
      </c>
      <c r="K65" s="1477">
        <v>169.55599999999998</v>
      </c>
      <c r="L65" s="1477">
        <f t="shared" si="8"/>
        <v>169.56</v>
      </c>
      <c r="M65" s="1477">
        <v>19.974000000000018</v>
      </c>
      <c r="N65" s="1477">
        <f t="shared" si="9"/>
        <v>19.97</v>
      </c>
      <c r="O65" s="1477">
        <f t="shared" si="10"/>
        <v>14527.9</v>
      </c>
      <c r="P65" s="1477">
        <f t="shared" si="11"/>
        <v>1711.03</v>
      </c>
      <c r="Q65" s="1477">
        <f t="shared" si="12"/>
        <v>1740.59</v>
      </c>
      <c r="R65" s="1576">
        <f t="shared" si="13"/>
        <v>16268.49</v>
      </c>
      <c r="S65" s="1869">
        <v>189.53</v>
      </c>
      <c r="T65" s="1866">
        <v>16268.49192</v>
      </c>
      <c r="U65" s="2439"/>
      <c r="V65" s="1866">
        <f t="shared" si="19"/>
        <v>0</v>
      </c>
      <c r="W65" s="1869">
        <f t="shared" si="20"/>
        <v>189.53</v>
      </c>
      <c r="X65" s="1870">
        <f t="shared" si="15"/>
        <v>16268.49192</v>
      </c>
      <c r="Y65" s="1871">
        <f t="shared" si="16"/>
        <v>1.0000001180195581</v>
      </c>
      <c r="Z65" s="1694">
        <f t="shared" si="21"/>
        <v>0</v>
      </c>
      <c r="AA65" s="1872">
        <f t="shared" si="17"/>
        <v>0</v>
      </c>
      <c r="AB65" s="1873">
        <f t="shared" si="18"/>
        <v>0</v>
      </c>
      <c r="AC65" s="1418">
        <f t="shared" si="3"/>
        <v>-1.9200000006094342E-3</v>
      </c>
      <c r="AD65" s="1418">
        <f t="shared" si="4"/>
        <v>0</v>
      </c>
      <c r="AE65" s="1418">
        <v>16268.49192</v>
      </c>
      <c r="AF65" s="1418">
        <f t="shared" si="5"/>
        <v>1.9200000006094342E-3</v>
      </c>
      <c r="AG65" s="1418">
        <v>87.16</v>
      </c>
      <c r="AH65" s="1418">
        <f t="shared" si="6"/>
        <v>0</v>
      </c>
      <c r="AI65" s="1428"/>
      <c r="AO65" s="2504">
        <v>16268.49192</v>
      </c>
      <c r="AP65" s="1418">
        <f t="shared" si="14"/>
        <v>0</v>
      </c>
      <c r="AQ65" s="1418">
        <f t="shared" si="7"/>
        <v>1.9200000006094342E-3</v>
      </c>
    </row>
    <row r="66" spans="1:43" s="1409" customFormat="1" ht="15.75">
      <c r="A66" s="2101"/>
      <c r="B66" s="1268" t="s">
        <v>2273</v>
      </c>
      <c r="C66" s="1241" t="s">
        <v>2878</v>
      </c>
      <c r="D66" s="1245" t="s">
        <v>37</v>
      </c>
      <c r="E66" s="1413">
        <v>2.6</v>
      </c>
      <c r="F66" s="1555">
        <v>7.26</v>
      </c>
      <c r="G66" s="1480">
        <v>7.94</v>
      </c>
      <c r="H66" s="1414">
        <v>8.26</v>
      </c>
      <c r="I66" s="1477">
        <f t="shared" si="0"/>
        <v>18.88</v>
      </c>
      <c r="J66" s="1477">
        <f t="shared" si="1"/>
        <v>20.64</v>
      </c>
      <c r="K66" s="1477">
        <v>0</v>
      </c>
      <c r="L66" s="1477">
        <f t="shared" si="8"/>
        <v>0</v>
      </c>
      <c r="M66" s="1477">
        <v>2.6</v>
      </c>
      <c r="N66" s="1477">
        <f t="shared" si="9"/>
        <v>2.6</v>
      </c>
      <c r="O66" s="1477">
        <f t="shared" si="10"/>
        <v>0</v>
      </c>
      <c r="P66" s="1477">
        <f t="shared" si="11"/>
        <v>20.64</v>
      </c>
      <c r="Q66" s="1477">
        <f t="shared" si="12"/>
        <v>21.48</v>
      </c>
      <c r="R66" s="1576">
        <f t="shared" si="13"/>
        <v>21.48</v>
      </c>
      <c r="S66" s="1869">
        <v>2.6</v>
      </c>
      <c r="T66" s="1866">
        <v>21.475999999999999</v>
      </c>
      <c r="U66" s="2439"/>
      <c r="V66" s="1866">
        <f t="shared" si="19"/>
        <v>0</v>
      </c>
      <c r="W66" s="1869">
        <f t="shared" si="20"/>
        <v>2.6</v>
      </c>
      <c r="X66" s="1870">
        <f t="shared" si="15"/>
        <v>21.475999999999999</v>
      </c>
      <c r="Y66" s="1871">
        <f t="shared" si="16"/>
        <v>0.99981378026070755</v>
      </c>
      <c r="Z66" s="1694">
        <f t="shared" si="21"/>
        <v>0</v>
      </c>
      <c r="AA66" s="1872">
        <f t="shared" si="17"/>
        <v>0</v>
      </c>
      <c r="AB66" s="1873">
        <f t="shared" si="18"/>
        <v>0</v>
      </c>
      <c r="AC66" s="1418">
        <f t="shared" si="3"/>
        <v>4.0000000000013358E-3</v>
      </c>
      <c r="AD66" s="1418">
        <f t="shared" si="4"/>
        <v>0</v>
      </c>
      <c r="AE66" s="1418">
        <v>21.475999999999999</v>
      </c>
      <c r="AF66" s="1418">
        <f t="shared" si="5"/>
        <v>-4.0000000000013358E-3</v>
      </c>
      <c r="AG66" s="1418">
        <v>8.26</v>
      </c>
      <c r="AH66" s="1418">
        <f t="shared" si="6"/>
        <v>0</v>
      </c>
      <c r="AI66" s="1429"/>
      <c r="AO66" s="2505">
        <v>21.475999999999999</v>
      </c>
      <c r="AP66" s="1418">
        <f t="shared" si="14"/>
        <v>0</v>
      </c>
      <c r="AQ66" s="1418">
        <f t="shared" si="7"/>
        <v>-4.0000000000013358E-3</v>
      </c>
    </row>
    <row r="67" spans="1:43" s="1409" customFormat="1" ht="15.75">
      <c r="A67" s="2101"/>
      <c r="B67" s="1268" t="s">
        <v>2274</v>
      </c>
      <c r="C67" s="1241" t="s">
        <v>2879</v>
      </c>
      <c r="D67" s="1245" t="s">
        <v>37</v>
      </c>
      <c r="E67" s="1413">
        <v>28.35</v>
      </c>
      <c r="F67" s="1555">
        <v>7.26</v>
      </c>
      <c r="G67" s="1480">
        <v>7.94</v>
      </c>
      <c r="H67" s="1414">
        <v>8.26</v>
      </c>
      <c r="I67" s="1477">
        <f t="shared" si="0"/>
        <v>205.82</v>
      </c>
      <c r="J67" s="1477">
        <f t="shared" si="1"/>
        <v>225.1</v>
      </c>
      <c r="K67" s="1477">
        <v>0</v>
      </c>
      <c r="L67" s="1477">
        <f t="shared" si="8"/>
        <v>0</v>
      </c>
      <c r="M67" s="1477">
        <v>28.35</v>
      </c>
      <c r="N67" s="1477">
        <f t="shared" si="9"/>
        <v>28.35</v>
      </c>
      <c r="O67" s="1477">
        <f t="shared" si="10"/>
        <v>0</v>
      </c>
      <c r="P67" s="1477">
        <f t="shared" si="11"/>
        <v>225.1</v>
      </c>
      <c r="Q67" s="1477">
        <f t="shared" si="12"/>
        <v>234.17</v>
      </c>
      <c r="R67" s="1576">
        <f t="shared" si="13"/>
        <v>234.17</v>
      </c>
      <c r="S67" s="1869">
        <v>28.35</v>
      </c>
      <c r="T67" s="1866">
        <v>234.17099999999999</v>
      </c>
      <c r="U67" s="2439"/>
      <c r="V67" s="1866">
        <f t="shared" si="19"/>
        <v>0</v>
      </c>
      <c r="W67" s="1869">
        <f t="shared" si="20"/>
        <v>28.35</v>
      </c>
      <c r="X67" s="1870">
        <f t="shared" si="15"/>
        <v>234.17099999999999</v>
      </c>
      <c r="Y67" s="1871">
        <f t="shared" si="16"/>
        <v>1.0000042704018448</v>
      </c>
      <c r="Z67" s="1694">
        <f t="shared" si="21"/>
        <v>0</v>
      </c>
      <c r="AA67" s="1872">
        <f t="shared" si="17"/>
        <v>0</v>
      </c>
      <c r="AB67" s="1873">
        <f t="shared" si="18"/>
        <v>0</v>
      </c>
      <c r="AC67" s="1418">
        <f t="shared" si="3"/>
        <v>-1.0000000000047748E-3</v>
      </c>
      <c r="AD67" s="1418">
        <f t="shared" si="4"/>
        <v>0</v>
      </c>
      <c r="AE67" s="1418">
        <v>234.17099999999999</v>
      </c>
      <c r="AF67" s="1418">
        <f t="shared" si="5"/>
        <v>1.0000000000047748E-3</v>
      </c>
      <c r="AG67" s="1418">
        <v>8.26</v>
      </c>
      <c r="AH67" s="1418">
        <f t="shared" si="6"/>
        <v>0</v>
      </c>
      <c r="AI67" s="1429"/>
      <c r="AO67" s="2505">
        <v>234.17099999999999</v>
      </c>
      <c r="AP67" s="1418">
        <f t="shared" si="14"/>
        <v>0</v>
      </c>
      <c r="AQ67" s="1418">
        <f t="shared" si="7"/>
        <v>1.0000000000047748E-3</v>
      </c>
    </row>
    <row r="68" spans="1:43" s="1410" customFormat="1" ht="15.75">
      <c r="A68" s="2102"/>
      <c r="B68" s="1268" t="s">
        <v>2275</v>
      </c>
      <c r="C68" s="1241" t="s">
        <v>2880</v>
      </c>
      <c r="D68" s="1245" t="s">
        <v>37</v>
      </c>
      <c r="E68" s="1413">
        <v>7.8</v>
      </c>
      <c r="F68" s="1555">
        <v>7.26</v>
      </c>
      <c r="G68" s="1480">
        <v>7.94</v>
      </c>
      <c r="H68" s="1414">
        <v>8.26</v>
      </c>
      <c r="I68" s="1477">
        <f t="shared" si="0"/>
        <v>56.63</v>
      </c>
      <c r="J68" s="1477">
        <f t="shared" si="1"/>
        <v>61.93</v>
      </c>
      <c r="K68" s="1477">
        <v>0</v>
      </c>
      <c r="L68" s="1477">
        <f t="shared" si="8"/>
        <v>0</v>
      </c>
      <c r="M68" s="1477">
        <v>7.8</v>
      </c>
      <c r="N68" s="1477">
        <f t="shared" si="9"/>
        <v>7.8</v>
      </c>
      <c r="O68" s="1477">
        <f t="shared" si="10"/>
        <v>0</v>
      </c>
      <c r="P68" s="1477">
        <f t="shared" si="11"/>
        <v>61.93</v>
      </c>
      <c r="Q68" s="1477">
        <f t="shared" si="12"/>
        <v>64.430000000000007</v>
      </c>
      <c r="R68" s="1576">
        <f t="shared" si="13"/>
        <v>64.430000000000007</v>
      </c>
      <c r="S68" s="1869">
        <v>7.8</v>
      </c>
      <c r="T68" s="1866">
        <v>64.427999999999997</v>
      </c>
      <c r="U68" s="2439"/>
      <c r="V68" s="1866">
        <f t="shared" si="19"/>
        <v>0</v>
      </c>
      <c r="W68" s="1869">
        <f t="shared" si="20"/>
        <v>7.8</v>
      </c>
      <c r="X68" s="1870">
        <f t="shared" si="15"/>
        <v>64.427999999999997</v>
      </c>
      <c r="Y68" s="1871">
        <f t="shared" si="16"/>
        <v>0.99996895855967705</v>
      </c>
      <c r="Z68" s="1694">
        <f t="shared" si="21"/>
        <v>0</v>
      </c>
      <c r="AA68" s="1872">
        <f t="shared" si="17"/>
        <v>0</v>
      </c>
      <c r="AB68" s="1873">
        <f t="shared" si="18"/>
        <v>0</v>
      </c>
      <c r="AC68" s="1418">
        <f t="shared" si="3"/>
        <v>2.0000000000095497E-3</v>
      </c>
      <c r="AD68" s="1418">
        <f t="shared" si="4"/>
        <v>0</v>
      </c>
      <c r="AE68" s="1418">
        <v>64.427999999999997</v>
      </c>
      <c r="AF68" s="1418">
        <f t="shared" si="5"/>
        <v>-2.0000000000095497E-3</v>
      </c>
      <c r="AG68" s="1418">
        <v>8.26</v>
      </c>
      <c r="AH68" s="1418">
        <f t="shared" si="6"/>
        <v>0</v>
      </c>
      <c r="AI68" s="1428"/>
      <c r="AO68" s="2504">
        <v>64.427999999999997</v>
      </c>
      <c r="AP68" s="1418">
        <f t="shared" si="14"/>
        <v>0</v>
      </c>
      <c r="AQ68" s="1418">
        <f t="shared" si="7"/>
        <v>-2.0000000000095497E-3</v>
      </c>
    </row>
    <row r="69" spans="1:43" s="1410" customFormat="1" ht="15.75">
      <c r="A69" s="2102"/>
      <c r="B69" s="1268" t="s">
        <v>2276</v>
      </c>
      <c r="C69" s="1241" t="s">
        <v>2881</v>
      </c>
      <c r="D69" s="1245" t="s">
        <v>37</v>
      </c>
      <c r="E69" s="1413">
        <v>5.2</v>
      </c>
      <c r="F69" s="1555">
        <v>7.26</v>
      </c>
      <c r="G69" s="1480">
        <v>7.94</v>
      </c>
      <c r="H69" s="1414">
        <v>8.26</v>
      </c>
      <c r="I69" s="1477">
        <f t="shared" si="0"/>
        <v>37.75</v>
      </c>
      <c r="J69" s="1477">
        <f t="shared" si="1"/>
        <v>41.29</v>
      </c>
      <c r="K69" s="1477">
        <v>0</v>
      </c>
      <c r="L69" s="1477">
        <f t="shared" si="8"/>
        <v>0</v>
      </c>
      <c r="M69" s="1477">
        <v>5.2</v>
      </c>
      <c r="N69" s="1477">
        <f t="shared" si="9"/>
        <v>5.2</v>
      </c>
      <c r="O69" s="1477">
        <f t="shared" si="10"/>
        <v>0</v>
      </c>
      <c r="P69" s="1477">
        <f t="shared" si="11"/>
        <v>41.29</v>
      </c>
      <c r="Q69" s="1477">
        <f t="shared" si="12"/>
        <v>42.95</v>
      </c>
      <c r="R69" s="1576">
        <f t="shared" si="13"/>
        <v>42.95</v>
      </c>
      <c r="S69" s="1869">
        <v>5.2</v>
      </c>
      <c r="T69" s="1866">
        <v>42.951999999999998</v>
      </c>
      <c r="U69" s="2439"/>
      <c r="V69" s="1866">
        <f t="shared" si="19"/>
        <v>0</v>
      </c>
      <c r="W69" s="1869">
        <f t="shared" si="20"/>
        <v>5.2</v>
      </c>
      <c r="X69" s="1870">
        <f t="shared" si="15"/>
        <v>42.951999999999998</v>
      </c>
      <c r="Y69" s="1871">
        <f t="shared" si="16"/>
        <v>1.000046565774156</v>
      </c>
      <c r="Z69" s="1694">
        <f t="shared" si="21"/>
        <v>0</v>
      </c>
      <c r="AA69" s="1872">
        <f t="shared" si="17"/>
        <v>0</v>
      </c>
      <c r="AB69" s="1873">
        <f t="shared" si="18"/>
        <v>0</v>
      </c>
      <c r="AC69" s="1418">
        <f t="shared" si="3"/>
        <v>-1.9999999999953388E-3</v>
      </c>
      <c r="AD69" s="1418">
        <f t="shared" si="4"/>
        <v>0</v>
      </c>
      <c r="AE69" s="1418">
        <v>42.951999999999998</v>
      </c>
      <c r="AF69" s="1418">
        <f t="shared" si="5"/>
        <v>1.9999999999953388E-3</v>
      </c>
      <c r="AG69" s="1418">
        <v>8.26</v>
      </c>
      <c r="AH69" s="1418">
        <f t="shared" si="6"/>
        <v>0</v>
      </c>
      <c r="AI69" s="1428"/>
      <c r="AO69" s="2504">
        <v>42.951999999999998</v>
      </c>
      <c r="AP69" s="1418">
        <f t="shared" si="14"/>
        <v>0</v>
      </c>
      <c r="AQ69" s="1418">
        <f t="shared" si="7"/>
        <v>1.9999999999953388E-3</v>
      </c>
    </row>
    <row r="70" spans="1:43" s="1410" customFormat="1" ht="15.75">
      <c r="A70" s="2102"/>
      <c r="B70" s="1268" t="s">
        <v>2277</v>
      </c>
      <c r="C70" s="1241" t="s">
        <v>2882</v>
      </c>
      <c r="D70" s="1245" t="s">
        <v>37</v>
      </c>
      <c r="E70" s="1413">
        <v>43.95</v>
      </c>
      <c r="F70" s="1555">
        <v>161.32</v>
      </c>
      <c r="G70" s="1480">
        <v>161.72999999999999</v>
      </c>
      <c r="H70" s="1414">
        <v>161.91</v>
      </c>
      <c r="I70" s="1477">
        <f t="shared" si="0"/>
        <v>7090.01</v>
      </c>
      <c r="J70" s="1477">
        <f t="shared" si="1"/>
        <v>7108.03</v>
      </c>
      <c r="K70" s="1477">
        <v>0</v>
      </c>
      <c r="L70" s="1477">
        <f t="shared" si="8"/>
        <v>0</v>
      </c>
      <c r="M70" s="1477">
        <v>43.95</v>
      </c>
      <c r="N70" s="1477">
        <f t="shared" si="9"/>
        <v>43.95</v>
      </c>
      <c r="O70" s="1477">
        <f t="shared" si="10"/>
        <v>0</v>
      </c>
      <c r="P70" s="1477">
        <f t="shared" si="11"/>
        <v>7108.03</v>
      </c>
      <c r="Q70" s="1477">
        <f t="shared" si="12"/>
        <v>7115.94</v>
      </c>
      <c r="R70" s="1576">
        <f t="shared" si="13"/>
        <v>7115.94</v>
      </c>
      <c r="S70" s="1869">
        <v>43.949999999999996</v>
      </c>
      <c r="T70" s="1866">
        <v>7115.9444999999996</v>
      </c>
      <c r="U70" s="2439"/>
      <c r="V70" s="1866">
        <f t="shared" si="19"/>
        <v>0</v>
      </c>
      <c r="W70" s="1869">
        <f t="shared" si="20"/>
        <v>43.949999999999996</v>
      </c>
      <c r="X70" s="1870">
        <f t="shared" si="15"/>
        <v>7115.9444999999996</v>
      </c>
      <c r="Y70" s="1871">
        <f t="shared" si="16"/>
        <v>1.0000006323830724</v>
      </c>
      <c r="Z70" s="1694">
        <f t="shared" si="21"/>
        <v>0</v>
      </c>
      <c r="AA70" s="1872">
        <f t="shared" si="17"/>
        <v>0</v>
      </c>
      <c r="AB70" s="1873">
        <f t="shared" si="18"/>
        <v>0</v>
      </c>
      <c r="AC70" s="1418">
        <f t="shared" si="3"/>
        <v>-4.500000000007276E-3</v>
      </c>
      <c r="AD70" s="1418">
        <f t="shared" si="4"/>
        <v>7.1054273576010019E-15</v>
      </c>
      <c r="AE70" s="1418">
        <v>7115.9445000000005</v>
      </c>
      <c r="AF70" s="1418">
        <f t="shared" si="5"/>
        <v>4.5000000009167707E-3</v>
      </c>
      <c r="AG70" s="1418">
        <v>161.91</v>
      </c>
      <c r="AH70" s="1418">
        <f t="shared" si="6"/>
        <v>0</v>
      </c>
      <c r="AI70" s="1428"/>
      <c r="AO70" s="2504">
        <v>7115.9444999999996</v>
      </c>
      <c r="AP70" s="1418">
        <f t="shared" si="14"/>
        <v>0</v>
      </c>
      <c r="AQ70" s="1418">
        <f t="shared" si="7"/>
        <v>4.500000000007276E-3</v>
      </c>
    </row>
    <row r="71" spans="1:43" s="1231" customFormat="1" ht="15.75">
      <c r="A71" s="2103" t="s">
        <v>3619</v>
      </c>
      <c r="B71" s="1534">
        <v>1.06</v>
      </c>
      <c r="C71" s="1264" t="s">
        <v>2883</v>
      </c>
      <c r="D71" s="1265"/>
      <c r="E71" s="1535"/>
      <c r="F71" s="1267"/>
      <c r="G71" s="1480"/>
      <c r="H71" s="1267"/>
      <c r="I71" s="1477">
        <f t="shared" si="0"/>
        <v>0</v>
      </c>
      <c r="J71" s="1477">
        <f t="shared" si="1"/>
        <v>0</v>
      </c>
      <c r="K71" s="1477"/>
      <c r="L71" s="1477">
        <f t="shared" si="8"/>
        <v>0</v>
      </c>
      <c r="M71" s="1477"/>
      <c r="N71" s="1477">
        <f t="shared" si="9"/>
        <v>0</v>
      </c>
      <c r="O71" s="1477">
        <f t="shared" si="10"/>
        <v>0</v>
      </c>
      <c r="P71" s="1477">
        <f t="shared" si="11"/>
        <v>0</v>
      </c>
      <c r="Q71" s="1477">
        <f t="shared" si="12"/>
        <v>0</v>
      </c>
      <c r="R71" s="1576">
        <f t="shared" si="13"/>
        <v>0</v>
      </c>
      <c r="S71" s="2452"/>
      <c r="T71" s="1866"/>
      <c r="U71" s="2453"/>
      <c r="V71" s="1866"/>
      <c r="W71" s="2452"/>
      <c r="X71" s="1870"/>
      <c r="Y71" s="1871" t="str">
        <f t="shared" si="16"/>
        <v/>
      </c>
      <c r="Z71" s="1694"/>
      <c r="AA71" s="1872">
        <f t="shared" si="17"/>
        <v>0</v>
      </c>
      <c r="AB71" s="1873" t="str">
        <f t="shared" si="18"/>
        <v/>
      </c>
      <c r="AC71" s="1418">
        <f t="shared" si="3"/>
        <v>0</v>
      </c>
      <c r="AD71" s="1418">
        <f t="shared" si="4"/>
        <v>0</v>
      </c>
      <c r="AE71" s="1230"/>
      <c r="AF71" s="1230">
        <f t="shared" si="5"/>
        <v>0</v>
      </c>
      <c r="AG71" s="1230"/>
      <c r="AH71" s="1418">
        <f t="shared" si="6"/>
        <v>0</v>
      </c>
      <c r="AI71" s="1346"/>
      <c r="AO71" s="1736"/>
      <c r="AP71" s="1418">
        <f t="shared" si="14"/>
        <v>0</v>
      </c>
      <c r="AQ71" s="1418">
        <f t="shared" si="7"/>
        <v>0</v>
      </c>
    </row>
    <row r="72" spans="1:43" s="1410" customFormat="1" ht="15.75">
      <c r="A72" s="2102" t="s">
        <v>3619</v>
      </c>
      <c r="B72" s="1268" t="s">
        <v>2278</v>
      </c>
      <c r="C72" s="1241" t="s">
        <v>2884</v>
      </c>
      <c r="D72" s="1245" t="s">
        <v>40</v>
      </c>
      <c r="E72" s="1413">
        <v>1947.04</v>
      </c>
      <c r="F72" s="1555">
        <v>3.86</v>
      </c>
      <c r="G72" s="1480">
        <v>4</v>
      </c>
      <c r="H72" s="1414">
        <v>4.05</v>
      </c>
      <c r="I72" s="1477">
        <f t="shared" si="0"/>
        <v>7515.57</v>
      </c>
      <c r="J72" s="1477">
        <f t="shared" si="1"/>
        <v>7788.16</v>
      </c>
      <c r="K72" s="1477">
        <v>1500.25</v>
      </c>
      <c r="L72" s="1477">
        <f t="shared" si="8"/>
        <v>1500.25</v>
      </c>
      <c r="M72" s="1477">
        <v>446.78999999999996</v>
      </c>
      <c r="N72" s="1477">
        <f t="shared" si="9"/>
        <v>446.79</v>
      </c>
      <c r="O72" s="1477">
        <f t="shared" si="10"/>
        <v>6001</v>
      </c>
      <c r="P72" s="1477">
        <f t="shared" si="11"/>
        <v>1787.16</v>
      </c>
      <c r="Q72" s="1477">
        <f t="shared" si="12"/>
        <v>1809.5</v>
      </c>
      <c r="R72" s="1576">
        <f t="shared" si="13"/>
        <v>7810.5</v>
      </c>
      <c r="S72" s="1869">
        <v>1947.04</v>
      </c>
      <c r="T72" s="1866">
        <v>7810.4994999999999</v>
      </c>
      <c r="U72" s="2439"/>
      <c r="V72" s="1866">
        <f>+U72*H72</f>
        <v>0</v>
      </c>
      <c r="W72" s="1869">
        <f>S72+U72</f>
        <v>1947.04</v>
      </c>
      <c r="X72" s="1870">
        <f t="shared" si="15"/>
        <v>7810.4994999999999</v>
      </c>
      <c r="Y72" s="1871">
        <f t="shared" si="16"/>
        <v>0.99999993598361181</v>
      </c>
      <c r="Z72" s="1694">
        <f>+E72-W72</f>
        <v>0</v>
      </c>
      <c r="AA72" s="1872">
        <f t="shared" si="17"/>
        <v>0</v>
      </c>
      <c r="AB72" s="1873">
        <f t="shared" si="18"/>
        <v>0</v>
      </c>
      <c r="AC72" s="1418">
        <f t="shared" si="3"/>
        <v>5.0000000010186341E-4</v>
      </c>
      <c r="AD72" s="1418">
        <f t="shared" si="4"/>
        <v>0</v>
      </c>
      <c r="AE72" s="1418">
        <v>7810.4994999999999</v>
      </c>
      <c r="AF72" s="1418">
        <f t="shared" si="5"/>
        <v>-5.0000000010186341E-4</v>
      </c>
      <c r="AG72" s="1418">
        <v>4.05</v>
      </c>
      <c r="AH72" s="1418">
        <f t="shared" si="6"/>
        <v>0</v>
      </c>
      <c r="AI72" s="1428"/>
      <c r="AO72" s="2504">
        <v>7810.4994999999999</v>
      </c>
      <c r="AP72" s="1418">
        <f t="shared" si="14"/>
        <v>0</v>
      </c>
      <c r="AQ72" s="1418">
        <f t="shared" si="7"/>
        <v>-5.0000000010186341E-4</v>
      </c>
    </row>
    <row r="73" spans="1:43" s="1229" customFormat="1" ht="15.75">
      <c r="A73" s="2104" t="s">
        <v>3619</v>
      </c>
      <c r="B73" s="1263" t="s">
        <v>2279</v>
      </c>
      <c r="C73" s="1264" t="s">
        <v>2885</v>
      </c>
      <c r="D73" s="1265"/>
      <c r="E73" s="1266"/>
      <c r="F73" s="1267"/>
      <c r="G73" s="1480"/>
      <c r="H73" s="1267"/>
      <c r="I73" s="1477">
        <f t="shared" si="0"/>
        <v>0</v>
      </c>
      <c r="J73" s="1477">
        <f t="shared" si="1"/>
        <v>0</v>
      </c>
      <c r="K73" s="1477"/>
      <c r="L73" s="1477">
        <f t="shared" si="8"/>
        <v>0</v>
      </c>
      <c r="M73" s="1477"/>
      <c r="N73" s="1477">
        <f t="shared" si="9"/>
        <v>0</v>
      </c>
      <c r="O73" s="1477">
        <f t="shared" si="10"/>
        <v>0</v>
      </c>
      <c r="P73" s="1477">
        <f t="shared" si="11"/>
        <v>0</v>
      </c>
      <c r="Q73" s="1477">
        <f t="shared" si="12"/>
        <v>0</v>
      </c>
      <c r="R73" s="1576">
        <f t="shared" si="13"/>
        <v>0</v>
      </c>
      <c r="S73" s="2452"/>
      <c r="T73" s="1866"/>
      <c r="U73" s="2453"/>
      <c r="V73" s="1866"/>
      <c r="W73" s="2452"/>
      <c r="X73" s="1870"/>
      <c r="Y73" s="1871" t="str">
        <f t="shared" si="16"/>
        <v/>
      </c>
      <c r="Z73" s="1694"/>
      <c r="AA73" s="1872">
        <f t="shared" si="17"/>
        <v>0</v>
      </c>
      <c r="AB73" s="1873" t="str">
        <f t="shared" si="18"/>
        <v/>
      </c>
      <c r="AC73" s="1418">
        <f t="shared" si="3"/>
        <v>0</v>
      </c>
      <c r="AD73" s="1418">
        <f t="shared" si="4"/>
        <v>0</v>
      </c>
      <c r="AE73" s="1230"/>
      <c r="AF73" s="1230">
        <f t="shared" si="5"/>
        <v>0</v>
      </c>
      <c r="AG73" s="1230"/>
      <c r="AH73" s="1418">
        <f t="shared" si="6"/>
        <v>0</v>
      </c>
      <c r="AI73" s="1347"/>
      <c r="AO73" s="2508"/>
      <c r="AP73" s="1418">
        <f t="shared" si="14"/>
        <v>0</v>
      </c>
      <c r="AQ73" s="1418">
        <f t="shared" si="7"/>
        <v>0</v>
      </c>
    </row>
    <row r="74" spans="1:43" s="1410" customFormat="1" ht="27.6" customHeight="1">
      <c r="A74" s="2102"/>
      <c r="B74" s="1268" t="s">
        <v>2280</v>
      </c>
      <c r="C74" s="2498" t="s">
        <v>3597</v>
      </c>
      <c r="D74" s="1245" t="s">
        <v>41</v>
      </c>
      <c r="E74" s="1413">
        <v>1</v>
      </c>
      <c r="F74" s="1555">
        <v>20355</v>
      </c>
      <c r="G74" s="1480">
        <v>20355</v>
      </c>
      <c r="H74" s="1414">
        <v>20355</v>
      </c>
      <c r="I74" s="1477">
        <f t="shared" si="0"/>
        <v>20355</v>
      </c>
      <c r="J74" s="1477">
        <f t="shared" si="1"/>
        <v>20355</v>
      </c>
      <c r="K74" s="1477">
        <v>1</v>
      </c>
      <c r="L74" s="1477">
        <f t="shared" si="8"/>
        <v>1</v>
      </c>
      <c r="M74" s="1477">
        <v>0</v>
      </c>
      <c r="N74" s="1477">
        <f t="shared" si="9"/>
        <v>0</v>
      </c>
      <c r="O74" s="1477">
        <f t="shared" si="10"/>
        <v>20355</v>
      </c>
      <c r="P74" s="1477">
        <f t="shared" si="11"/>
        <v>0</v>
      </c>
      <c r="Q74" s="1477">
        <f t="shared" si="12"/>
        <v>0</v>
      </c>
      <c r="R74" s="1576">
        <f t="shared" si="13"/>
        <v>20355</v>
      </c>
      <c r="S74" s="1869">
        <v>1</v>
      </c>
      <c r="T74" s="1866">
        <v>20355</v>
      </c>
      <c r="U74" s="2439"/>
      <c r="V74" s="1866">
        <f t="shared" ref="V74:V79" si="22">+U74*H74</f>
        <v>0</v>
      </c>
      <c r="W74" s="1869">
        <f t="shared" ref="W74:W79" si="23">S74+U74</f>
        <v>1</v>
      </c>
      <c r="X74" s="1870">
        <f t="shared" si="15"/>
        <v>20355</v>
      </c>
      <c r="Y74" s="1871">
        <f t="shared" si="16"/>
        <v>1</v>
      </c>
      <c r="Z74" s="1694">
        <f t="shared" ref="Z74:Z79" si="24">+E74-W74</f>
        <v>0</v>
      </c>
      <c r="AA74" s="1872">
        <f t="shared" si="17"/>
        <v>0</v>
      </c>
      <c r="AB74" s="1873">
        <f t="shared" si="18"/>
        <v>0</v>
      </c>
      <c r="AC74" s="1418">
        <f t="shared" si="3"/>
        <v>0</v>
      </c>
      <c r="AD74" s="1418">
        <f t="shared" si="4"/>
        <v>0</v>
      </c>
      <c r="AE74" s="1418">
        <v>20355</v>
      </c>
      <c r="AF74" s="1418">
        <f t="shared" si="5"/>
        <v>0</v>
      </c>
      <c r="AG74" s="1418">
        <v>20355</v>
      </c>
      <c r="AH74" s="1418">
        <f t="shared" si="6"/>
        <v>0</v>
      </c>
      <c r="AI74" s="1428"/>
      <c r="AO74" s="2504">
        <v>20355</v>
      </c>
      <c r="AP74" s="1418">
        <f t="shared" si="14"/>
        <v>0</v>
      </c>
      <c r="AQ74" s="1418">
        <f t="shared" si="7"/>
        <v>0</v>
      </c>
    </row>
    <row r="75" spans="1:43" s="1410" customFormat="1" ht="15.75">
      <c r="A75" s="2102" t="s">
        <v>3619</v>
      </c>
      <c r="B75" s="1268" t="s">
        <v>2281</v>
      </c>
      <c r="C75" s="1241" t="s">
        <v>2886</v>
      </c>
      <c r="D75" s="1245" t="s">
        <v>36</v>
      </c>
      <c r="E75" s="1413">
        <v>30</v>
      </c>
      <c r="F75" s="1555">
        <v>1323.38</v>
      </c>
      <c r="G75" s="1480">
        <v>1323.38</v>
      </c>
      <c r="H75" s="1414">
        <v>1323.38</v>
      </c>
      <c r="I75" s="1477">
        <f t="shared" si="0"/>
        <v>39701.4</v>
      </c>
      <c r="J75" s="1477">
        <f t="shared" si="1"/>
        <v>39701.4</v>
      </c>
      <c r="K75" s="1477">
        <v>29.999225770375858</v>
      </c>
      <c r="L75" s="1477">
        <f t="shared" si="8"/>
        <v>30</v>
      </c>
      <c r="M75" s="1477">
        <v>7.7422962414175345E-4</v>
      </c>
      <c r="N75" s="1477">
        <f t="shared" si="9"/>
        <v>0</v>
      </c>
      <c r="O75" s="1477">
        <f t="shared" si="10"/>
        <v>39701.4</v>
      </c>
      <c r="P75" s="1477">
        <f t="shared" si="11"/>
        <v>0</v>
      </c>
      <c r="Q75" s="1477">
        <f t="shared" si="12"/>
        <v>0</v>
      </c>
      <c r="R75" s="1576">
        <f t="shared" si="13"/>
        <v>39701.4</v>
      </c>
      <c r="S75" s="1869">
        <v>30</v>
      </c>
      <c r="T75" s="1866">
        <v>39701.4</v>
      </c>
      <c r="U75" s="2439"/>
      <c r="V75" s="1866">
        <f t="shared" si="22"/>
        <v>0</v>
      </c>
      <c r="W75" s="1869">
        <f t="shared" si="23"/>
        <v>30</v>
      </c>
      <c r="X75" s="1870">
        <f t="shared" si="15"/>
        <v>39701.4</v>
      </c>
      <c r="Y75" s="1871">
        <f t="shared" si="16"/>
        <v>1</v>
      </c>
      <c r="Z75" s="1694">
        <f t="shared" si="24"/>
        <v>0</v>
      </c>
      <c r="AA75" s="1872">
        <f t="shared" si="17"/>
        <v>0</v>
      </c>
      <c r="AB75" s="1873">
        <f t="shared" si="18"/>
        <v>0</v>
      </c>
      <c r="AC75" s="1418">
        <f t="shared" si="3"/>
        <v>0</v>
      </c>
      <c r="AD75" s="1418">
        <f t="shared" si="4"/>
        <v>0</v>
      </c>
      <c r="AE75" s="1418">
        <v>39701.4</v>
      </c>
      <c r="AF75" s="1418">
        <f t="shared" si="5"/>
        <v>0</v>
      </c>
      <c r="AG75" s="1418">
        <v>1323.38</v>
      </c>
      <c r="AH75" s="1418">
        <f t="shared" si="6"/>
        <v>0</v>
      </c>
      <c r="AI75" s="1428"/>
      <c r="AO75" s="2504">
        <v>39701.4</v>
      </c>
      <c r="AP75" s="1418">
        <f t="shared" si="14"/>
        <v>0</v>
      </c>
      <c r="AQ75" s="1418">
        <f t="shared" si="7"/>
        <v>0</v>
      </c>
    </row>
    <row r="76" spans="1:43" s="1410" customFormat="1" ht="15.75">
      <c r="A76" s="2102" t="s">
        <v>3619</v>
      </c>
      <c r="B76" s="1268" t="s">
        <v>2282</v>
      </c>
      <c r="C76" s="1241" t="s">
        <v>2887</v>
      </c>
      <c r="D76" s="1245" t="s">
        <v>41</v>
      </c>
      <c r="E76" s="1413">
        <v>1</v>
      </c>
      <c r="F76" s="1555">
        <v>9560.4500000000007</v>
      </c>
      <c r="G76" s="1480">
        <v>9560.4500000000007</v>
      </c>
      <c r="H76" s="1414">
        <v>9560.4500000000007</v>
      </c>
      <c r="I76" s="1477">
        <f t="shared" si="0"/>
        <v>9560.4500000000007</v>
      </c>
      <c r="J76" s="1477">
        <f t="shared" si="1"/>
        <v>9560.4500000000007</v>
      </c>
      <c r="K76" s="1477">
        <v>0.57999999999999996</v>
      </c>
      <c r="L76" s="1477">
        <f t="shared" si="8"/>
        <v>0.58000000000000007</v>
      </c>
      <c r="M76" s="1477">
        <v>0.42000000000000004</v>
      </c>
      <c r="N76" s="1477">
        <f t="shared" si="9"/>
        <v>0.42</v>
      </c>
      <c r="O76" s="1477">
        <f t="shared" si="10"/>
        <v>5545.06</v>
      </c>
      <c r="P76" s="1477">
        <f t="shared" si="11"/>
        <v>4015.39</v>
      </c>
      <c r="Q76" s="1477">
        <f t="shared" si="12"/>
        <v>4015.39</v>
      </c>
      <c r="R76" s="1576">
        <f t="shared" si="13"/>
        <v>9560.4500000000007</v>
      </c>
      <c r="S76" s="1869">
        <v>1</v>
      </c>
      <c r="T76" s="1866">
        <v>9560.4500000000007</v>
      </c>
      <c r="U76" s="2439"/>
      <c r="V76" s="1866">
        <f t="shared" si="22"/>
        <v>0</v>
      </c>
      <c r="W76" s="1869">
        <f t="shared" si="23"/>
        <v>1</v>
      </c>
      <c r="X76" s="1870">
        <f t="shared" si="15"/>
        <v>9560.4500000000007</v>
      </c>
      <c r="Y76" s="1871">
        <f t="shared" si="16"/>
        <v>1</v>
      </c>
      <c r="Z76" s="1694">
        <f t="shared" si="24"/>
        <v>0</v>
      </c>
      <c r="AA76" s="1872">
        <f t="shared" si="17"/>
        <v>0</v>
      </c>
      <c r="AB76" s="1873">
        <f t="shared" si="18"/>
        <v>0</v>
      </c>
      <c r="AC76" s="1418">
        <f t="shared" si="3"/>
        <v>0</v>
      </c>
      <c r="AD76" s="1418">
        <f t="shared" si="4"/>
        <v>0</v>
      </c>
      <c r="AE76" s="1418">
        <v>9560.4500000000007</v>
      </c>
      <c r="AF76" s="1418">
        <f t="shared" si="5"/>
        <v>0</v>
      </c>
      <c r="AG76" s="1418">
        <v>9560.4500000000007</v>
      </c>
      <c r="AH76" s="1418">
        <f t="shared" si="6"/>
        <v>0</v>
      </c>
      <c r="AI76" s="1428"/>
      <c r="AO76" s="2504">
        <v>9560.4500000000007</v>
      </c>
      <c r="AP76" s="1418">
        <f t="shared" si="14"/>
        <v>0</v>
      </c>
      <c r="AQ76" s="1418">
        <f t="shared" si="7"/>
        <v>0</v>
      </c>
    </row>
    <row r="77" spans="1:43" s="1410" customFormat="1" ht="15.75">
      <c r="A77" s="2102"/>
      <c r="B77" s="1268" t="s">
        <v>2283</v>
      </c>
      <c r="C77" s="1241" t="s">
        <v>2888</v>
      </c>
      <c r="D77" s="1245" t="s">
        <v>41</v>
      </c>
      <c r="E77" s="1413">
        <v>1</v>
      </c>
      <c r="F77" s="1555">
        <v>7236.32</v>
      </c>
      <c r="G77" s="1480">
        <v>7236.32</v>
      </c>
      <c r="H77" s="1414">
        <v>7236.32</v>
      </c>
      <c r="I77" s="1477">
        <f t="shared" si="0"/>
        <v>7236.32</v>
      </c>
      <c r="J77" s="1477">
        <f t="shared" si="1"/>
        <v>7236.32</v>
      </c>
      <c r="K77" s="1477">
        <v>0.50000000000000011</v>
      </c>
      <c r="L77" s="1477">
        <f t="shared" si="8"/>
        <v>0.5</v>
      </c>
      <c r="M77" s="1477">
        <v>0.49999999999999989</v>
      </c>
      <c r="N77" s="1477">
        <f t="shared" si="9"/>
        <v>0.5</v>
      </c>
      <c r="O77" s="1477">
        <f t="shared" si="10"/>
        <v>3618.16</v>
      </c>
      <c r="P77" s="1477">
        <f t="shared" si="11"/>
        <v>3618.16</v>
      </c>
      <c r="Q77" s="1477">
        <f t="shared" si="12"/>
        <v>3618.16</v>
      </c>
      <c r="R77" s="1576">
        <f t="shared" si="13"/>
        <v>7236.32</v>
      </c>
      <c r="S77" s="1869">
        <v>1</v>
      </c>
      <c r="T77" s="1866">
        <v>7236.32</v>
      </c>
      <c r="U77" s="2439"/>
      <c r="V77" s="1866">
        <f t="shared" si="22"/>
        <v>0</v>
      </c>
      <c r="W77" s="1869">
        <f t="shared" si="23"/>
        <v>1</v>
      </c>
      <c r="X77" s="1870">
        <f t="shared" si="15"/>
        <v>7236.32</v>
      </c>
      <c r="Y77" s="1871">
        <f t="shared" si="16"/>
        <v>1</v>
      </c>
      <c r="Z77" s="1694">
        <f t="shared" si="24"/>
        <v>0</v>
      </c>
      <c r="AA77" s="1872">
        <f t="shared" si="17"/>
        <v>0</v>
      </c>
      <c r="AB77" s="1873">
        <f t="shared" si="18"/>
        <v>0</v>
      </c>
      <c r="AC77" s="1418">
        <f t="shared" si="3"/>
        <v>0</v>
      </c>
      <c r="AD77" s="1418">
        <f t="shared" si="4"/>
        <v>0</v>
      </c>
      <c r="AE77" s="1418">
        <v>7236.32</v>
      </c>
      <c r="AF77" s="1418">
        <f t="shared" si="5"/>
        <v>0</v>
      </c>
      <c r="AG77" s="1418">
        <v>7236.32</v>
      </c>
      <c r="AH77" s="1418">
        <f t="shared" si="6"/>
        <v>0</v>
      </c>
      <c r="AI77" s="1428"/>
      <c r="AO77" s="2504">
        <v>7236.32</v>
      </c>
      <c r="AP77" s="1418">
        <f t="shared" si="14"/>
        <v>0</v>
      </c>
      <c r="AQ77" s="1418">
        <f t="shared" si="7"/>
        <v>0</v>
      </c>
    </row>
    <row r="78" spans="1:43" s="1409" customFormat="1" ht="15.75">
      <c r="A78" s="2101"/>
      <c r="B78" s="1268" t="s">
        <v>2284</v>
      </c>
      <c r="C78" s="1241" t="s">
        <v>2889</v>
      </c>
      <c r="D78" s="1245" t="s">
        <v>41</v>
      </c>
      <c r="E78" s="1413">
        <v>1</v>
      </c>
      <c r="F78" s="1555">
        <v>22605.439999999999</v>
      </c>
      <c r="G78" s="1480">
        <v>22605.439999999999</v>
      </c>
      <c r="H78" s="1414">
        <v>22605.439999999999</v>
      </c>
      <c r="I78" s="1477">
        <f t="shared" si="0"/>
        <v>22605.439999999999</v>
      </c>
      <c r="J78" s="1477">
        <f t="shared" si="1"/>
        <v>22605.439999999999</v>
      </c>
      <c r="K78" s="1477">
        <v>0.53782036536338163</v>
      </c>
      <c r="L78" s="1477">
        <f t="shared" si="8"/>
        <v>0.54</v>
      </c>
      <c r="M78" s="1477">
        <v>0.46217963463661837</v>
      </c>
      <c r="N78" s="1477">
        <f t="shared" si="9"/>
        <v>0.46</v>
      </c>
      <c r="O78" s="1477">
        <f t="shared" si="10"/>
        <v>12206.94</v>
      </c>
      <c r="P78" s="1477">
        <f t="shared" si="11"/>
        <v>10398.5</v>
      </c>
      <c r="Q78" s="1477">
        <f t="shared" si="12"/>
        <v>10398.5</v>
      </c>
      <c r="R78" s="1576">
        <f t="shared" si="13"/>
        <v>22605.440000000002</v>
      </c>
      <c r="S78" s="1869">
        <v>1</v>
      </c>
      <c r="T78" s="1866">
        <v>22605.439999999999</v>
      </c>
      <c r="U78" s="2439"/>
      <c r="V78" s="1866">
        <f t="shared" si="22"/>
        <v>0</v>
      </c>
      <c r="W78" s="1869">
        <f t="shared" si="23"/>
        <v>1</v>
      </c>
      <c r="X78" s="1870">
        <f t="shared" si="15"/>
        <v>22605.439999999999</v>
      </c>
      <c r="Y78" s="1871">
        <f t="shared" si="16"/>
        <v>0.99999999999999989</v>
      </c>
      <c r="Z78" s="1694">
        <f t="shared" si="24"/>
        <v>0</v>
      </c>
      <c r="AA78" s="1872">
        <f t="shared" si="17"/>
        <v>0</v>
      </c>
      <c r="AB78" s="1873">
        <f t="shared" si="18"/>
        <v>0</v>
      </c>
      <c r="AC78" s="1418">
        <f t="shared" si="3"/>
        <v>3.637978807091713E-12</v>
      </c>
      <c r="AD78" s="1418">
        <f t="shared" si="4"/>
        <v>0</v>
      </c>
      <c r="AE78" s="1418">
        <v>22605.439999999999</v>
      </c>
      <c r="AF78" s="1418">
        <f t="shared" si="5"/>
        <v>0</v>
      </c>
      <c r="AG78" s="1418">
        <v>22605.439999999999</v>
      </c>
      <c r="AH78" s="1418">
        <f t="shared" si="6"/>
        <v>0</v>
      </c>
      <c r="AI78" s="1429"/>
      <c r="AO78" s="2505">
        <v>22605.439999999999</v>
      </c>
      <c r="AP78" s="1418">
        <f t="shared" si="14"/>
        <v>0</v>
      </c>
      <c r="AQ78" s="1418">
        <f t="shared" si="7"/>
        <v>0</v>
      </c>
    </row>
    <row r="79" spans="1:43" s="1409" customFormat="1" ht="15.75">
      <c r="A79" s="2101"/>
      <c r="B79" s="1268" t="s">
        <v>2285</v>
      </c>
      <c r="C79" s="1241" t="s">
        <v>2890</v>
      </c>
      <c r="D79" s="1245" t="s">
        <v>41</v>
      </c>
      <c r="E79" s="1413">
        <v>1</v>
      </c>
      <c r="F79" s="1555">
        <v>11439.96</v>
      </c>
      <c r="G79" s="1480">
        <v>11439.96</v>
      </c>
      <c r="H79" s="1414">
        <v>11439.96</v>
      </c>
      <c r="I79" s="1477">
        <f t="shared" si="0"/>
        <v>11439.96</v>
      </c>
      <c r="J79" s="1477">
        <f t="shared" si="1"/>
        <v>11439.96</v>
      </c>
      <c r="K79" s="1477">
        <v>0.55000000000000004</v>
      </c>
      <c r="L79" s="1477">
        <f t="shared" si="8"/>
        <v>0.55000000000000004</v>
      </c>
      <c r="M79" s="1477">
        <v>0.44999999999999996</v>
      </c>
      <c r="N79" s="1477">
        <f t="shared" si="9"/>
        <v>0.45</v>
      </c>
      <c r="O79" s="1477">
        <f t="shared" si="10"/>
        <v>6291.98</v>
      </c>
      <c r="P79" s="1477">
        <f t="shared" si="11"/>
        <v>5147.9799999999996</v>
      </c>
      <c r="Q79" s="1477">
        <f t="shared" si="12"/>
        <v>5147.9799999999996</v>
      </c>
      <c r="R79" s="1576">
        <f t="shared" si="13"/>
        <v>11439.96</v>
      </c>
      <c r="S79" s="1869">
        <v>1</v>
      </c>
      <c r="T79" s="1866">
        <v>11439.96</v>
      </c>
      <c r="U79" s="2439"/>
      <c r="V79" s="1866">
        <f t="shared" si="22"/>
        <v>0</v>
      </c>
      <c r="W79" s="1869">
        <f t="shared" si="23"/>
        <v>1</v>
      </c>
      <c r="X79" s="1870">
        <f t="shared" si="15"/>
        <v>11439.96</v>
      </c>
      <c r="Y79" s="1871">
        <f t="shared" si="16"/>
        <v>1</v>
      </c>
      <c r="Z79" s="1694">
        <f t="shared" si="24"/>
        <v>0</v>
      </c>
      <c r="AA79" s="1872">
        <f t="shared" si="17"/>
        <v>0</v>
      </c>
      <c r="AB79" s="1873">
        <f t="shared" si="18"/>
        <v>0</v>
      </c>
      <c r="AC79" s="1418">
        <f t="shared" si="3"/>
        <v>0</v>
      </c>
      <c r="AD79" s="1418">
        <f t="shared" si="4"/>
        <v>0</v>
      </c>
      <c r="AE79" s="1418">
        <v>11439.96</v>
      </c>
      <c r="AF79" s="1418">
        <f t="shared" si="5"/>
        <v>0</v>
      </c>
      <c r="AG79" s="1418">
        <v>11439.96</v>
      </c>
      <c r="AH79" s="1418">
        <f t="shared" si="6"/>
        <v>0</v>
      </c>
      <c r="AI79" s="1429"/>
      <c r="AO79" s="2505">
        <v>11439.96</v>
      </c>
      <c r="AP79" s="1418">
        <f t="shared" si="14"/>
        <v>0</v>
      </c>
      <c r="AQ79" s="1418">
        <f t="shared" si="7"/>
        <v>0</v>
      </c>
    </row>
    <row r="80" spans="1:43" s="2383" customFormat="1" ht="15.75">
      <c r="A80" s="2373" t="s">
        <v>3619</v>
      </c>
      <c r="B80" s="2374" t="s">
        <v>42</v>
      </c>
      <c r="C80" s="2375" t="s">
        <v>2891</v>
      </c>
      <c r="D80" s="2376"/>
      <c r="E80" s="2377"/>
      <c r="F80" s="2378"/>
      <c r="G80" s="2379"/>
      <c r="H80" s="2378"/>
      <c r="I80" s="2380">
        <f t="shared" ref="I80:I143" si="25">ROUND(E80*F80,2)</f>
        <v>0</v>
      </c>
      <c r="J80" s="2380">
        <f t="shared" ref="J80:J143" si="26">ROUND(E80*G80,2)</f>
        <v>0</v>
      </c>
      <c r="K80" s="2380"/>
      <c r="L80" s="2380">
        <f t="shared" si="8"/>
        <v>0</v>
      </c>
      <c r="M80" s="2380"/>
      <c r="N80" s="2380">
        <f t="shared" si="9"/>
        <v>0</v>
      </c>
      <c r="O80" s="2380">
        <f t="shared" si="10"/>
        <v>0</v>
      </c>
      <c r="P80" s="2380">
        <f t="shared" si="11"/>
        <v>0</v>
      </c>
      <c r="Q80" s="2380">
        <f t="shared" si="12"/>
        <v>0</v>
      </c>
      <c r="R80" s="2380">
        <f t="shared" si="13"/>
        <v>0</v>
      </c>
      <c r="S80" s="2454"/>
      <c r="T80" s="2455"/>
      <c r="U80" s="2456"/>
      <c r="V80" s="2455"/>
      <c r="W80" s="2454"/>
      <c r="X80" s="2457"/>
      <c r="Y80" s="2458" t="str">
        <f t="shared" si="16"/>
        <v/>
      </c>
      <c r="Z80" s="2459"/>
      <c r="AA80" s="2460">
        <f t="shared" si="17"/>
        <v>0</v>
      </c>
      <c r="AB80" s="2461" t="str">
        <f t="shared" si="18"/>
        <v/>
      </c>
      <c r="AC80" s="2370">
        <f t="shared" ref="AC80:AC143" si="27">+R80-X80-AA80</f>
        <v>0</v>
      </c>
      <c r="AD80" s="2370">
        <f t="shared" ref="AD80:AD143" si="28">+E80-W80-Z80</f>
        <v>0</v>
      </c>
      <c r="AE80" s="2381"/>
      <c r="AF80" s="2381">
        <f t="shared" ref="AF80:AF143" si="29">+AE80-R80</f>
        <v>0</v>
      </c>
      <c r="AG80" s="2381"/>
      <c r="AH80" s="2370">
        <f t="shared" ref="AH80:AH143" si="30">+AG80-H80</f>
        <v>0</v>
      </c>
      <c r="AI80" s="2382"/>
      <c r="AO80" s="2509"/>
      <c r="AP80" s="1418">
        <f t="shared" si="14"/>
        <v>0</v>
      </c>
      <c r="AQ80" s="2370">
        <f t="shared" ref="AQ80:AQ143" si="31">+T80+V80+AA80-R80</f>
        <v>0</v>
      </c>
    </row>
    <row r="81" spans="1:43" s="1231" customFormat="1" ht="15.75">
      <c r="A81" s="2103" t="s">
        <v>3619</v>
      </c>
      <c r="B81" s="1263" t="s">
        <v>43</v>
      </c>
      <c r="C81" s="1264" t="s">
        <v>2892</v>
      </c>
      <c r="D81" s="1265"/>
      <c r="E81" s="1266"/>
      <c r="F81" s="1267"/>
      <c r="G81" s="1480"/>
      <c r="H81" s="1267"/>
      <c r="I81" s="1477">
        <f t="shared" si="25"/>
        <v>0</v>
      </c>
      <c r="J81" s="1477">
        <f t="shared" si="26"/>
        <v>0</v>
      </c>
      <c r="K81" s="1477"/>
      <c r="L81" s="1477">
        <f t="shared" ref="L81:L144" si="32">E81-N81</f>
        <v>0</v>
      </c>
      <c r="M81" s="1477"/>
      <c r="N81" s="1477">
        <f t="shared" ref="N81:N144" si="33">ROUND(M81,2)</f>
        <v>0</v>
      </c>
      <c r="O81" s="1477">
        <f t="shared" ref="O81:O144" si="34">ROUND(L81*G81,2)</f>
        <v>0</v>
      </c>
      <c r="P81" s="1477">
        <f t="shared" ref="P81:P144" si="35">ROUND(N81*G81,2)</f>
        <v>0</v>
      </c>
      <c r="Q81" s="1477">
        <f t="shared" ref="Q81:Q144" si="36">ROUND(N81*H81,2)</f>
        <v>0</v>
      </c>
      <c r="R81" s="1576">
        <f t="shared" ref="R81:R144" si="37">O81+Q81</f>
        <v>0</v>
      </c>
      <c r="S81" s="2452"/>
      <c r="T81" s="1866"/>
      <c r="U81" s="2453"/>
      <c r="V81" s="1866"/>
      <c r="W81" s="2452"/>
      <c r="X81" s="1870"/>
      <c r="Y81" s="1871" t="str">
        <f t="shared" si="16"/>
        <v/>
      </c>
      <c r="Z81" s="1694"/>
      <c r="AA81" s="1872">
        <f t="shared" si="17"/>
        <v>0</v>
      </c>
      <c r="AB81" s="1873" t="str">
        <f t="shared" si="18"/>
        <v/>
      </c>
      <c r="AC81" s="1418">
        <f t="shared" si="27"/>
        <v>0</v>
      </c>
      <c r="AD81" s="1418">
        <f t="shared" si="28"/>
        <v>0</v>
      </c>
      <c r="AE81" s="1230"/>
      <c r="AF81" s="1230">
        <f t="shared" si="29"/>
        <v>0</v>
      </c>
      <c r="AG81" s="1230"/>
      <c r="AH81" s="1418">
        <f t="shared" si="30"/>
        <v>0</v>
      </c>
      <c r="AI81" s="1346"/>
      <c r="AO81" s="1736"/>
      <c r="AP81" s="1418">
        <f t="shared" ref="AP81:AP144" si="38">+AO81-X81</f>
        <v>0</v>
      </c>
      <c r="AQ81" s="1418">
        <f t="shared" si="31"/>
        <v>0</v>
      </c>
    </row>
    <row r="82" spans="1:43" s="1410" customFormat="1" ht="15.75">
      <c r="A82" s="2102" t="s">
        <v>3619</v>
      </c>
      <c r="B82" s="1537" t="s">
        <v>53</v>
      </c>
      <c r="C82" s="1538" t="s">
        <v>2893</v>
      </c>
      <c r="D82" s="1539" t="s">
        <v>40</v>
      </c>
      <c r="E82" s="1540">
        <v>3673.7</v>
      </c>
      <c r="F82" s="1555">
        <v>5.03</v>
      </c>
      <c r="G82" s="1480">
        <v>5.41</v>
      </c>
      <c r="H82" s="1541">
        <v>5.6</v>
      </c>
      <c r="I82" s="1477">
        <f t="shared" si="25"/>
        <v>18478.71</v>
      </c>
      <c r="J82" s="1477">
        <f t="shared" si="26"/>
        <v>19874.72</v>
      </c>
      <c r="K82" s="1477">
        <v>3673.7000000000003</v>
      </c>
      <c r="L82" s="1477">
        <f t="shared" si="32"/>
        <v>3673.7</v>
      </c>
      <c r="M82" s="1477">
        <v>0</v>
      </c>
      <c r="N82" s="1477">
        <f t="shared" si="33"/>
        <v>0</v>
      </c>
      <c r="O82" s="1477">
        <f t="shared" si="34"/>
        <v>19874.72</v>
      </c>
      <c r="P82" s="1477">
        <f t="shared" si="35"/>
        <v>0</v>
      </c>
      <c r="Q82" s="1477">
        <f t="shared" si="36"/>
        <v>0</v>
      </c>
      <c r="R82" s="1576">
        <f t="shared" si="37"/>
        <v>19874.72</v>
      </c>
      <c r="S82" s="1869">
        <v>3673.7</v>
      </c>
      <c r="T82" s="1866">
        <v>19874.717000000001</v>
      </c>
      <c r="U82" s="2462"/>
      <c r="V82" s="1866">
        <f t="shared" ref="V82:V145" si="39">+U82*H82</f>
        <v>0</v>
      </c>
      <c r="W82" s="1869">
        <f t="shared" ref="W82:W87" si="40">S82+U82</f>
        <v>3673.7</v>
      </c>
      <c r="X82" s="1870">
        <f t="shared" ref="X82:X144" si="41">+V82+T82</f>
        <v>19874.717000000001</v>
      </c>
      <c r="Y82" s="1871">
        <f t="shared" ref="Y82:Y145" si="42">+IF(D82=0,"",X82/R82)</f>
        <v>0.99999984905447725</v>
      </c>
      <c r="Z82" s="1694">
        <f t="shared" ref="Z82:Z87" si="43">+E82-W82</f>
        <v>0</v>
      </c>
      <c r="AA82" s="1872">
        <f t="shared" ref="AA82:AA145" si="44">+Z82*H82</f>
        <v>0</v>
      </c>
      <c r="AB82" s="1873">
        <f t="shared" ref="AB82:AB145" si="45">+IF(R82=0,"",AA82/R82)</f>
        <v>0</v>
      </c>
      <c r="AC82" s="1418">
        <f t="shared" si="27"/>
        <v>3.0000000006111804E-3</v>
      </c>
      <c r="AD82" s="1418">
        <f t="shared" si="28"/>
        <v>0</v>
      </c>
      <c r="AE82" s="1418">
        <v>19874.717000000001</v>
      </c>
      <c r="AF82" s="1418">
        <f t="shared" si="29"/>
        <v>-3.0000000006111804E-3</v>
      </c>
      <c r="AG82" s="1418">
        <v>5.41</v>
      </c>
      <c r="AH82" s="1418">
        <f t="shared" si="30"/>
        <v>-0.1899999999999995</v>
      </c>
      <c r="AI82" s="1428" t="s">
        <v>3666</v>
      </c>
      <c r="AO82" s="2504">
        <v>19874.717000000001</v>
      </c>
      <c r="AP82" s="1418">
        <f t="shared" si="38"/>
        <v>0</v>
      </c>
      <c r="AQ82" s="1418">
        <f t="shared" si="31"/>
        <v>-3.0000000006111804E-3</v>
      </c>
    </row>
    <row r="83" spans="1:43" s="1409" customFormat="1" ht="15.75">
      <c r="A83" s="2101" t="s">
        <v>3619</v>
      </c>
      <c r="B83" s="1537" t="s">
        <v>563</v>
      </c>
      <c r="C83" s="1538" t="s">
        <v>2894</v>
      </c>
      <c r="D83" s="1539" t="s">
        <v>37</v>
      </c>
      <c r="E83" s="1540">
        <v>1143.4000000000001</v>
      </c>
      <c r="F83" s="1555">
        <v>6.5</v>
      </c>
      <c r="G83" s="1480">
        <v>7.01</v>
      </c>
      <c r="H83" s="1541">
        <v>7.27</v>
      </c>
      <c r="I83" s="1477">
        <f t="shared" si="25"/>
        <v>7432.1</v>
      </c>
      <c r="J83" s="1477">
        <f t="shared" si="26"/>
        <v>8015.23</v>
      </c>
      <c r="K83" s="1477">
        <v>505.435</v>
      </c>
      <c r="L83" s="1477">
        <f t="shared" si="32"/>
        <v>505.43000000000006</v>
      </c>
      <c r="M83" s="1477">
        <v>637.96500000000015</v>
      </c>
      <c r="N83" s="1477">
        <f t="shared" si="33"/>
        <v>637.97</v>
      </c>
      <c r="O83" s="1477">
        <f t="shared" si="34"/>
        <v>3543.06</v>
      </c>
      <c r="P83" s="1477">
        <f t="shared" si="35"/>
        <v>4472.17</v>
      </c>
      <c r="Q83" s="1477">
        <f t="shared" si="36"/>
        <v>4638.04</v>
      </c>
      <c r="R83" s="1576">
        <f t="shared" si="37"/>
        <v>8181.1</v>
      </c>
      <c r="S83" s="1869">
        <v>1143.4000000000001</v>
      </c>
      <c r="T83" s="1866">
        <v>8181.1049000000003</v>
      </c>
      <c r="U83" s="2462"/>
      <c r="V83" s="1866">
        <f t="shared" si="39"/>
        <v>0</v>
      </c>
      <c r="W83" s="1869">
        <f t="shared" si="40"/>
        <v>1143.4000000000001</v>
      </c>
      <c r="X83" s="1870">
        <f t="shared" si="41"/>
        <v>8181.1049000000003</v>
      </c>
      <c r="Y83" s="1871">
        <f t="shared" si="42"/>
        <v>1.0000005989414626</v>
      </c>
      <c r="Z83" s="1694">
        <f t="shared" si="43"/>
        <v>0</v>
      </c>
      <c r="AA83" s="1872">
        <f t="shared" si="44"/>
        <v>0</v>
      </c>
      <c r="AB83" s="1873">
        <f t="shared" si="45"/>
        <v>0</v>
      </c>
      <c r="AC83" s="1418">
        <f t="shared" si="27"/>
        <v>-4.8999999999068677E-3</v>
      </c>
      <c r="AD83" s="1418">
        <f t="shared" si="28"/>
        <v>0</v>
      </c>
      <c r="AE83" s="1418">
        <v>8181.1049000000003</v>
      </c>
      <c r="AF83" s="1418">
        <f t="shared" si="29"/>
        <v>4.8999999999068677E-3</v>
      </c>
      <c r="AG83" s="1418">
        <v>7.27</v>
      </c>
      <c r="AH83" s="1418">
        <f t="shared" si="30"/>
        <v>0</v>
      </c>
      <c r="AI83" s="1428" t="s">
        <v>3666</v>
      </c>
      <c r="AO83" s="2505">
        <v>8181.1049000000003</v>
      </c>
      <c r="AP83" s="1418">
        <f t="shared" si="38"/>
        <v>0</v>
      </c>
      <c r="AQ83" s="1418">
        <f t="shared" si="31"/>
        <v>4.8999999999068677E-3</v>
      </c>
    </row>
    <row r="84" spans="1:43" s="1423" customFormat="1" ht="15.75">
      <c r="A84" s="2228"/>
      <c r="B84" s="2235" t="s">
        <v>570</v>
      </c>
      <c r="C84" s="2236" t="s">
        <v>2895</v>
      </c>
      <c r="D84" s="2237" t="s">
        <v>40</v>
      </c>
      <c r="E84" s="2256">
        <v>5598.73</v>
      </c>
      <c r="F84" s="2224">
        <v>42.73</v>
      </c>
      <c r="G84" s="2225">
        <v>46.72</v>
      </c>
      <c r="H84" s="2257">
        <v>48.65</v>
      </c>
      <c r="I84" s="2227">
        <f t="shared" si="25"/>
        <v>239233.73</v>
      </c>
      <c r="J84" s="2227">
        <f t="shared" si="26"/>
        <v>261572.67</v>
      </c>
      <c r="K84" s="2227">
        <v>1338.1363200000001</v>
      </c>
      <c r="L84" s="2227">
        <f t="shared" si="32"/>
        <v>1338.1399999999994</v>
      </c>
      <c r="M84" s="2227">
        <v>4260.5936799999999</v>
      </c>
      <c r="N84" s="2227">
        <f t="shared" si="33"/>
        <v>4260.59</v>
      </c>
      <c r="O84" s="2227">
        <f t="shared" si="34"/>
        <v>62517.9</v>
      </c>
      <c r="P84" s="2227">
        <f t="shared" si="35"/>
        <v>199054.76</v>
      </c>
      <c r="Q84" s="2227">
        <f t="shared" si="36"/>
        <v>207277.7</v>
      </c>
      <c r="R84" s="1576">
        <f t="shared" si="37"/>
        <v>269795.60000000003</v>
      </c>
      <c r="S84" s="1865">
        <v>3986.6120099999998</v>
      </c>
      <c r="T84" s="2446">
        <v>191366.07118889998</v>
      </c>
      <c r="U84" s="2462">
        <v>3.8</v>
      </c>
      <c r="V84" s="2446">
        <f t="shared" si="39"/>
        <v>184.86999999999998</v>
      </c>
      <c r="W84" s="1865">
        <f t="shared" si="40"/>
        <v>3990.41201</v>
      </c>
      <c r="X84" s="2447">
        <f t="shared" si="41"/>
        <v>191550.94118889997</v>
      </c>
      <c r="Y84" s="2448">
        <f t="shared" si="42"/>
        <v>0.70998541558461281</v>
      </c>
      <c r="Z84" s="2449">
        <f t="shared" si="43"/>
        <v>1608.3179899999996</v>
      </c>
      <c r="AA84" s="2450">
        <f t="shared" si="44"/>
        <v>78244.67021349998</v>
      </c>
      <c r="AB84" s="2451">
        <f t="shared" si="45"/>
        <v>0.29001462667849282</v>
      </c>
      <c r="AC84" s="1630">
        <f t="shared" si="27"/>
        <v>-1.1402399919461459E-2</v>
      </c>
      <c r="AD84" s="1630">
        <f t="shared" si="28"/>
        <v>0</v>
      </c>
      <c r="AE84" s="1630">
        <v>269795.61140239995</v>
      </c>
      <c r="AF84" s="1630">
        <f t="shared" si="29"/>
        <v>1.1402399919461459E-2</v>
      </c>
      <c r="AG84" s="1630">
        <v>48.65</v>
      </c>
      <c r="AH84" s="1630">
        <f t="shared" si="30"/>
        <v>0</v>
      </c>
      <c r="AI84" s="1629"/>
      <c r="AO84" s="2507">
        <v>189773.27018889997</v>
      </c>
      <c r="AP84" s="1418">
        <f t="shared" si="38"/>
        <v>-1777.6710000000021</v>
      </c>
      <c r="AQ84" s="1630">
        <f t="shared" si="31"/>
        <v>1.1402399919461459E-2</v>
      </c>
    </row>
    <row r="85" spans="1:43" s="1410" customFormat="1" ht="15.75">
      <c r="A85" s="2102"/>
      <c r="B85" s="1268" t="s">
        <v>599</v>
      </c>
      <c r="C85" s="1241" t="s">
        <v>2896</v>
      </c>
      <c r="D85" s="1245" t="s">
        <v>40</v>
      </c>
      <c r="E85" s="1413">
        <v>2848.05</v>
      </c>
      <c r="F85" s="1555">
        <v>18.309999999999999</v>
      </c>
      <c r="G85" s="1480">
        <v>20.02</v>
      </c>
      <c r="H85" s="1414">
        <v>20.85</v>
      </c>
      <c r="I85" s="1477">
        <f t="shared" si="25"/>
        <v>52147.8</v>
      </c>
      <c r="J85" s="1477">
        <f t="shared" si="26"/>
        <v>57017.96</v>
      </c>
      <c r="K85" s="1477">
        <v>2464.85365</v>
      </c>
      <c r="L85" s="1477">
        <f t="shared" si="32"/>
        <v>2464.8500000000004</v>
      </c>
      <c r="M85" s="1477">
        <v>383.19635000000017</v>
      </c>
      <c r="N85" s="1477">
        <f t="shared" si="33"/>
        <v>383.2</v>
      </c>
      <c r="O85" s="1477">
        <f t="shared" si="34"/>
        <v>49346.3</v>
      </c>
      <c r="P85" s="1477">
        <f t="shared" si="35"/>
        <v>7671.66</v>
      </c>
      <c r="Q85" s="1477">
        <f t="shared" si="36"/>
        <v>7989.72</v>
      </c>
      <c r="R85" s="1576">
        <f t="shared" si="37"/>
        <v>57336.020000000004</v>
      </c>
      <c r="S85" s="1869">
        <v>2848.05</v>
      </c>
      <c r="T85" s="1866">
        <v>57336.023105000007</v>
      </c>
      <c r="U85" s="2462"/>
      <c r="V85" s="1866">
        <f t="shared" si="39"/>
        <v>0</v>
      </c>
      <c r="W85" s="1869">
        <f t="shared" si="40"/>
        <v>2848.05</v>
      </c>
      <c r="X85" s="1870">
        <f>+V85+T85</f>
        <v>57336.023105000007</v>
      </c>
      <c r="Y85" s="1871">
        <f t="shared" si="42"/>
        <v>1.0000000541544392</v>
      </c>
      <c r="Z85" s="1694">
        <f t="shared" si="43"/>
        <v>0</v>
      </c>
      <c r="AA85" s="1872">
        <f t="shared" si="44"/>
        <v>0</v>
      </c>
      <c r="AB85" s="1873">
        <f t="shared" si="45"/>
        <v>0</v>
      </c>
      <c r="AC85" s="1418">
        <f t="shared" si="27"/>
        <v>-3.1050000034156255E-3</v>
      </c>
      <c r="AD85" s="1418">
        <f t="shared" si="28"/>
        <v>0</v>
      </c>
      <c r="AE85" s="1418">
        <v>57218.193105000006</v>
      </c>
      <c r="AF85" s="1418">
        <f t="shared" si="29"/>
        <v>-117.82689499999833</v>
      </c>
      <c r="AG85" s="1418">
        <v>20.85</v>
      </c>
      <c r="AH85" s="1418">
        <f t="shared" si="30"/>
        <v>0</v>
      </c>
      <c r="AI85" s="1428"/>
      <c r="AJ85" s="2091" t="e">
        <f>+E85-#REF!</f>
        <v>#REF!</v>
      </c>
      <c r="AO85" s="2504">
        <v>57336.023105000007</v>
      </c>
      <c r="AP85" s="1418">
        <f t="shared" si="38"/>
        <v>0</v>
      </c>
      <c r="AQ85" s="1418">
        <f t="shared" si="31"/>
        <v>3.1050000034156255E-3</v>
      </c>
    </row>
    <row r="86" spans="1:43" s="1410" customFormat="1" ht="15.75">
      <c r="A86" s="2102" t="s">
        <v>3619</v>
      </c>
      <c r="B86" s="1268" t="s">
        <v>601</v>
      </c>
      <c r="C86" s="1241" t="s">
        <v>2897</v>
      </c>
      <c r="D86" s="1245" t="s">
        <v>40</v>
      </c>
      <c r="E86" s="1413">
        <v>4172.43</v>
      </c>
      <c r="F86" s="1555">
        <v>16.03</v>
      </c>
      <c r="G86" s="1480">
        <v>17.52</v>
      </c>
      <c r="H86" s="1414">
        <v>18.239999999999998</v>
      </c>
      <c r="I86" s="1477">
        <f t="shared" si="25"/>
        <v>66884.05</v>
      </c>
      <c r="J86" s="1477">
        <f t="shared" si="26"/>
        <v>73100.97</v>
      </c>
      <c r="K86" s="1477">
        <v>1887.1397600000005</v>
      </c>
      <c r="L86" s="1477">
        <f t="shared" si="32"/>
        <v>1887.1400000000003</v>
      </c>
      <c r="M86" s="1477">
        <v>2285.2902399999998</v>
      </c>
      <c r="N86" s="1477">
        <f t="shared" si="33"/>
        <v>2285.29</v>
      </c>
      <c r="O86" s="1477">
        <f t="shared" si="34"/>
        <v>33062.69</v>
      </c>
      <c r="P86" s="1477">
        <f t="shared" si="35"/>
        <v>40038.28</v>
      </c>
      <c r="Q86" s="1477">
        <f t="shared" si="36"/>
        <v>41683.69</v>
      </c>
      <c r="R86" s="1576">
        <f t="shared" si="37"/>
        <v>74746.38</v>
      </c>
      <c r="S86" s="1869">
        <v>4172.43</v>
      </c>
      <c r="T86" s="1866">
        <v>74746.382572799994</v>
      </c>
      <c r="U86" s="2439"/>
      <c r="V86" s="1866">
        <f t="shared" si="39"/>
        <v>0</v>
      </c>
      <c r="W86" s="1869">
        <f t="shared" si="40"/>
        <v>4172.43</v>
      </c>
      <c r="X86" s="1870">
        <f t="shared" si="41"/>
        <v>74746.382572799994</v>
      </c>
      <c r="Y86" s="1871">
        <f t="shared" si="42"/>
        <v>1.0000000344203959</v>
      </c>
      <c r="Z86" s="1694">
        <f t="shared" si="43"/>
        <v>0</v>
      </c>
      <c r="AA86" s="1872">
        <f t="shared" si="44"/>
        <v>0</v>
      </c>
      <c r="AB86" s="1873">
        <f t="shared" si="45"/>
        <v>0</v>
      </c>
      <c r="AC86" s="1418">
        <f t="shared" si="27"/>
        <v>-2.5727999891387299E-3</v>
      </c>
      <c r="AD86" s="1418">
        <f t="shared" si="28"/>
        <v>0</v>
      </c>
      <c r="AE86" s="1418">
        <v>74746.382572800008</v>
      </c>
      <c r="AF86" s="1418">
        <f t="shared" si="29"/>
        <v>2.5728000036906451E-3</v>
      </c>
      <c r="AG86" s="1418">
        <v>18.239999999999998</v>
      </c>
      <c r="AH86" s="1418">
        <f t="shared" si="30"/>
        <v>0</v>
      </c>
      <c r="AI86" s="1428"/>
      <c r="AO86" s="2504">
        <v>74746.382572799994</v>
      </c>
      <c r="AP86" s="1418">
        <f t="shared" si="38"/>
        <v>0</v>
      </c>
      <c r="AQ86" s="1418">
        <f t="shared" si="31"/>
        <v>2.5727999891387299E-3</v>
      </c>
    </row>
    <row r="87" spans="1:43" s="1409" customFormat="1" ht="15.75">
      <c r="A87" s="2101" t="s">
        <v>3619</v>
      </c>
      <c r="B87" s="1268" t="s">
        <v>2286</v>
      </c>
      <c r="C87" s="1241" t="s">
        <v>2898</v>
      </c>
      <c r="D87" s="1245" t="s">
        <v>40</v>
      </c>
      <c r="E87" s="1413">
        <v>4257.37</v>
      </c>
      <c r="F87" s="1555">
        <v>3.86</v>
      </c>
      <c r="G87" s="1480">
        <v>4</v>
      </c>
      <c r="H87" s="1414">
        <v>4.05</v>
      </c>
      <c r="I87" s="1477">
        <f t="shared" si="25"/>
        <v>16433.45</v>
      </c>
      <c r="J87" s="1477">
        <f t="shared" si="26"/>
        <v>17029.48</v>
      </c>
      <c r="K87" s="1477">
        <v>4257.37</v>
      </c>
      <c r="L87" s="1477">
        <f t="shared" si="32"/>
        <v>4257.37</v>
      </c>
      <c r="M87" s="1477">
        <v>0</v>
      </c>
      <c r="N87" s="1477">
        <f t="shared" si="33"/>
        <v>0</v>
      </c>
      <c r="O87" s="1477">
        <f t="shared" si="34"/>
        <v>17029.48</v>
      </c>
      <c r="P87" s="1477">
        <f t="shared" si="35"/>
        <v>0</v>
      </c>
      <c r="Q87" s="1477">
        <f t="shared" si="36"/>
        <v>0</v>
      </c>
      <c r="R87" s="1576">
        <f t="shared" si="37"/>
        <v>17029.48</v>
      </c>
      <c r="S87" s="1869">
        <v>4257.37</v>
      </c>
      <c r="T87" s="1866">
        <v>17029.48</v>
      </c>
      <c r="U87" s="2439"/>
      <c r="V87" s="1866">
        <f t="shared" si="39"/>
        <v>0</v>
      </c>
      <c r="W87" s="1869">
        <f t="shared" si="40"/>
        <v>4257.37</v>
      </c>
      <c r="X87" s="1870">
        <f t="shared" si="41"/>
        <v>17029.48</v>
      </c>
      <c r="Y87" s="1871">
        <f t="shared" si="42"/>
        <v>1</v>
      </c>
      <c r="Z87" s="1694">
        <f t="shared" si="43"/>
        <v>0</v>
      </c>
      <c r="AA87" s="1872">
        <f t="shared" si="44"/>
        <v>0</v>
      </c>
      <c r="AB87" s="1873">
        <f t="shared" si="45"/>
        <v>0</v>
      </c>
      <c r="AC87" s="1418">
        <f t="shared" si="27"/>
        <v>0</v>
      </c>
      <c r="AD87" s="1418">
        <f t="shared" si="28"/>
        <v>0</v>
      </c>
      <c r="AE87" s="1418">
        <v>17029.48</v>
      </c>
      <c r="AF87" s="1418">
        <f t="shared" si="29"/>
        <v>0</v>
      </c>
      <c r="AG87" s="1418">
        <v>4</v>
      </c>
      <c r="AH87" s="1418">
        <f t="shared" si="30"/>
        <v>-4.9999999999999822E-2</v>
      </c>
      <c r="AI87" s="1429"/>
      <c r="AO87" s="2505">
        <v>17029.48</v>
      </c>
      <c r="AP87" s="1418">
        <f t="shared" si="38"/>
        <v>0</v>
      </c>
      <c r="AQ87" s="1418">
        <f t="shared" si="31"/>
        <v>0</v>
      </c>
    </row>
    <row r="88" spans="1:43" s="1231" customFormat="1" ht="15.75">
      <c r="A88" s="2103" t="s">
        <v>3619</v>
      </c>
      <c r="B88" s="1263" t="s">
        <v>44</v>
      </c>
      <c r="C88" s="1264" t="s">
        <v>2899</v>
      </c>
      <c r="D88" s="1265"/>
      <c r="E88" s="1266"/>
      <c r="F88" s="1267"/>
      <c r="G88" s="1480"/>
      <c r="H88" s="1267"/>
      <c r="I88" s="1477">
        <f t="shared" si="25"/>
        <v>0</v>
      </c>
      <c r="J88" s="1477">
        <f t="shared" si="26"/>
        <v>0</v>
      </c>
      <c r="K88" s="1477"/>
      <c r="L88" s="1477">
        <f t="shared" si="32"/>
        <v>0</v>
      </c>
      <c r="M88" s="1477"/>
      <c r="N88" s="1477">
        <f t="shared" si="33"/>
        <v>0</v>
      </c>
      <c r="O88" s="1477">
        <f t="shared" si="34"/>
        <v>0</v>
      </c>
      <c r="P88" s="1477">
        <f t="shared" si="35"/>
        <v>0</v>
      </c>
      <c r="Q88" s="1477">
        <f t="shared" si="36"/>
        <v>0</v>
      </c>
      <c r="R88" s="1576"/>
      <c r="S88" s="2452"/>
      <c r="T88" s="1866"/>
      <c r="U88" s="2453"/>
      <c r="V88" s="1866"/>
      <c r="W88" s="2452"/>
      <c r="X88" s="1870"/>
      <c r="Y88" s="1871"/>
      <c r="Z88" s="1694"/>
      <c r="AA88" s="1872"/>
      <c r="AB88" s="1873" t="str">
        <f t="shared" si="45"/>
        <v/>
      </c>
      <c r="AC88" s="1418">
        <f t="shared" si="27"/>
        <v>0</v>
      </c>
      <c r="AD88" s="1418">
        <f t="shared" si="28"/>
        <v>0</v>
      </c>
      <c r="AE88" s="1230"/>
      <c r="AF88" s="1230">
        <f t="shared" si="29"/>
        <v>0</v>
      </c>
      <c r="AG88" s="1230"/>
      <c r="AH88" s="1418">
        <f t="shared" si="30"/>
        <v>0</v>
      </c>
      <c r="AI88" s="1346"/>
      <c r="AO88" s="1736"/>
      <c r="AP88" s="1418">
        <f t="shared" si="38"/>
        <v>0</v>
      </c>
      <c r="AQ88" s="1418">
        <f t="shared" si="31"/>
        <v>0</v>
      </c>
    </row>
    <row r="89" spans="1:43" s="1410" customFormat="1" ht="15.75">
      <c r="A89" s="2102"/>
      <c r="B89" s="1272" t="s">
        <v>54</v>
      </c>
      <c r="C89" s="1262" t="s">
        <v>2900</v>
      </c>
      <c r="D89" s="1273"/>
      <c r="E89" s="1415"/>
      <c r="F89" s="1267"/>
      <c r="G89" s="1480"/>
      <c r="H89" s="1416"/>
      <c r="I89" s="1477">
        <f t="shared" si="25"/>
        <v>0</v>
      </c>
      <c r="J89" s="1477">
        <f t="shared" si="26"/>
        <v>0</v>
      </c>
      <c r="K89" s="1477"/>
      <c r="L89" s="1477">
        <f t="shared" si="32"/>
        <v>0</v>
      </c>
      <c r="M89" s="1477"/>
      <c r="N89" s="1477">
        <f t="shared" si="33"/>
        <v>0</v>
      </c>
      <c r="O89" s="1477">
        <f t="shared" si="34"/>
        <v>0</v>
      </c>
      <c r="P89" s="1477">
        <f t="shared" si="35"/>
        <v>0</v>
      </c>
      <c r="Q89" s="1477">
        <f t="shared" si="36"/>
        <v>0</v>
      </c>
      <c r="R89" s="1576"/>
      <c r="S89" s="1869"/>
      <c r="T89" s="1866"/>
      <c r="U89" s="2439"/>
      <c r="V89" s="1866"/>
      <c r="W89" s="1869"/>
      <c r="X89" s="1870"/>
      <c r="Y89" s="1871"/>
      <c r="Z89" s="1694"/>
      <c r="AA89" s="1872"/>
      <c r="AB89" s="1873" t="str">
        <f t="shared" si="45"/>
        <v/>
      </c>
      <c r="AC89" s="1418">
        <f t="shared" si="27"/>
        <v>0</v>
      </c>
      <c r="AD89" s="1418">
        <f t="shared" si="28"/>
        <v>0</v>
      </c>
      <c r="AE89" s="1418"/>
      <c r="AF89" s="1418">
        <f t="shared" si="29"/>
        <v>0</v>
      </c>
      <c r="AG89" s="1418"/>
      <c r="AH89" s="1418">
        <f t="shared" si="30"/>
        <v>0</v>
      </c>
      <c r="AI89" s="1428"/>
      <c r="AO89" s="2504"/>
      <c r="AP89" s="1418">
        <f t="shared" si="38"/>
        <v>0</v>
      </c>
      <c r="AQ89" s="1418">
        <f t="shared" si="31"/>
        <v>0</v>
      </c>
    </row>
    <row r="90" spans="1:43" s="1423" customFormat="1" ht="15.75">
      <c r="A90" s="2228"/>
      <c r="B90" s="2130" t="s">
        <v>604</v>
      </c>
      <c r="C90" s="2131" t="s">
        <v>2901</v>
      </c>
      <c r="D90" s="2222" t="s">
        <v>37</v>
      </c>
      <c r="E90" s="2223">
        <v>2306.1</v>
      </c>
      <c r="F90" s="2224">
        <v>32.85</v>
      </c>
      <c r="G90" s="2225">
        <v>34.24</v>
      </c>
      <c r="H90" s="2226">
        <v>34.96</v>
      </c>
      <c r="I90" s="2227">
        <f t="shared" si="25"/>
        <v>75755.39</v>
      </c>
      <c r="J90" s="2227">
        <f t="shared" si="26"/>
        <v>78960.86</v>
      </c>
      <c r="K90" s="2227">
        <v>1135.4480000000001</v>
      </c>
      <c r="L90" s="2227">
        <f t="shared" si="32"/>
        <v>1135.4499999999998</v>
      </c>
      <c r="M90" s="2227">
        <v>1170.6519999999998</v>
      </c>
      <c r="N90" s="2227">
        <f t="shared" si="33"/>
        <v>1170.6500000000001</v>
      </c>
      <c r="O90" s="2227">
        <f t="shared" si="34"/>
        <v>38877.81</v>
      </c>
      <c r="P90" s="2227">
        <f t="shared" si="35"/>
        <v>40083.06</v>
      </c>
      <c r="Q90" s="2227">
        <f t="shared" si="36"/>
        <v>40925.919999999998</v>
      </c>
      <c r="R90" s="1576">
        <f t="shared" si="37"/>
        <v>79803.73</v>
      </c>
      <c r="S90" s="1865">
        <v>2306.1</v>
      </c>
      <c r="T90" s="2446">
        <v>79803.733439999996</v>
      </c>
      <c r="U90" s="2462"/>
      <c r="V90" s="2446">
        <f t="shared" si="39"/>
        <v>0</v>
      </c>
      <c r="W90" s="1865">
        <f>S90+U90</f>
        <v>2306.1</v>
      </c>
      <c r="X90" s="2447">
        <f t="shared" si="41"/>
        <v>79803.733439999996</v>
      </c>
      <c r="Y90" s="2448">
        <f t="shared" si="42"/>
        <v>1.0000000431057545</v>
      </c>
      <c r="Z90" s="2449">
        <f>+E90-W90</f>
        <v>0</v>
      </c>
      <c r="AA90" s="2450">
        <f t="shared" si="44"/>
        <v>0</v>
      </c>
      <c r="AB90" s="2451">
        <f t="shared" si="45"/>
        <v>0</v>
      </c>
      <c r="AC90" s="1630">
        <f t="shared" si="27"/>
        <v>-3.4400000004097819E-3</v>
      </c>
      <c r="AD90" s="1630">
        <f t="shared" si="28"/>
        <v>0</v>
      </c>
      <c r="AE90" s="1630">
        <v>79803.733439999996</v>
      </c>
      <c r="AF90" s="1630">
        <f t="shared" si="29"/>
        <v>3.4400000004097819E-3</v>
      </c>
      <c r="AG90" s="1630">
        <v>34.96</v>
      </c>
      <c r="AH90" s="1630">
        <f t="shared" si="30"/>
        <v>0</v>
      </c>
      <c r="AI90" s="1629"/>
      <c r="AO90" s="2507">
        <v>79803.733439999996</v>
      </c>
      <c r="AP90" s="1418">
        <f t="shared" si="38"/>
        <v>0</v>
      </c>
      <c r="AQ90" s="1630">
        <f t="shared" si="31"/>
        <v>3.4400000004097819E-3</v>
      </c>
    </row>
    <row r="91" spans="1:43" s="1410" customFormat="1" ht="15.75">
      <c r="A91" s="2102"/>
      <c r="B91" s="1272" t="s">
        <v>55</v>
      </c>
      <c r="C91" s="1262" t="s">
        <v>2902</v>
      </c>
      <c r="D91" s="1273"/>
      <c r="E91" s="1415"/>
      <c r="F91" s="1267"/>
      <c r="G91" s="1480"/>
      <c r="H91" s="1416"/>
      <c r="I91" s="1477">
        <f t="shared" si="25"/>
        <v>0</v>
      </c>
      <c r="J91" s="1477">
        <f t="shared" si="26"/>
        <v>0</v>
      </c>
      <c r="K91" s="1477"/>
      <c r="L91" s="1477">
        <f t="shared" si="32"/>
        <v>0</v>
      </c>
      <c r="M91" s="1477"/>
      <c r="N91" s="1477">
        <f t="shared" si="33"/>
        <v>0</v>
      </c>
      <c r="O91" s="1477">
        <f t="shared" si="34"/>
        <v>0</v>
      </c>
      <c r="P91" s="1477">
        <f t="shared" si="35"/>
        <v>0</v>
      </c>
      <c r="Q91" s="1477">
        <f t="shared" si="36"/>
        <v>0</v>
      </c>
      <c r="R91" s="1576">
        <f t="shared" si="37"/>
        <v>0</v>
      </c>
      <c r="S91" s="1869"/>
      <c r="T91" s="1866"/>
      <c r="U91" s="2462"/>
      <c r="V91" s="1866">
        <f t="shared" si="39"/>
        <v>0</v>
      </c>
      <c r="W91" s="1869"/>
      <c r="X91" s="1870"/>
      <c r="Y91" s="1871" t="str">
        <f t="shared" si="42"/>
        <v/>
      </c>
      <c r="Z91" s="1694"/>
      <c r="AA91" s="1872">
        <f t="shared" si="44"/>
        <v>0</v>
      </c>
      <c r="AB91" s="1873" t="str">
        <f t="shared" si="45"/>
        <v/>
      </c>
      <c r="AC91" s="1418">
        <f t="shared" si="27"/>
        <v>0</v>
      </c>
      <c r="AD91" s="1418">
        <f t="shared" si="28"/>
        <v>0</v>
      </c>
      <c r="AE91" s="1418"/>
      <c r="AF91" s="1418">
        <f t="shared" si="29"/>
        <v>0</v>
      </c>
      <c r="AG91" s="1418"/>
      <c r="AH91" s="1418">
        <f t="shared" si="30"/>
        <v>0</v>
      </c>
      <c r="AI91" s="1428"/>
      <c r="AO91" s="2504"/>
      <c r="AP91" s="1418">
        <f t="shared" si="38"/>
        <v>0</v>
      </c>
      <c r="AQ91" s="1418">
        <f t="shared" si="31"/>
        <v>0</v>
      </c>
    </row>
    <row r="92" spans="1:43" s="1409" customFormat="1" ht="15.75">
      <c r="A92" s="2101"/>
      <c r="B92" s="1268" t="s">
        <v>610</v>
      </c>
      <c r="C92" s="1241" t="s">
        <v>2903</v>
      </c>
      <c r="D92" s="1245" t="s">
        <v>40</v>
      </c>
      <c r="E92" s="1413">
        <v>75.040000000000006</v>
      </c>
      <c r="F92" s="1555">
        <v>211.14</v>
      </c>
      <c r="G92" s="1480">
        <v>217.04</v>
      </c>
      <c r="H92" s="1414">
        <v>220.01</v>
      </c>
      <c r="I92" s="1477">
        <f t="shared" si="25"/>
        <v>15843.95</v>
      </c>
      <c r="J92" s="1477">
        <f t="shared" si="26"/>
        <v>16286.68</v>
      </c>
      <c r="K92" s="1477">
        <v>75.040000000000006</v>
      </c>
      <c r="L92" s="1477">
        <f t="shared" si="32"/>
        <v>75.040000000000006</v>
      </c>
      <c r="M92" s="1477">
        <v>0</v>
      </c>
      <c r="N92" s="1477">
        <f t="shared" si="33"/>
        <v>0</v>
      </c>
      <c r="O92" s="1477">
        <f t="shared" si="34"/>
        <v>16286.68</v>
      </c>
      <c r="P92" s="1477">
        <f t="shared" si="35"/>
        <v>0</v>
      </c>
      <c r="Q92" s="1477">
        <f t="shared" si="36"/>
        <v>0</v>
      </c>
      <c r="R92" s="1576">
        <f t="shared" si="37"/>
        <v>16286.68</v>
      </c>
      <c r="S92" s="1869">
        <v>75.040000000000006</v>
      </c>
      <c r="T92" s="1866">
        <v>16286.6816</v>
      </c>
      <c r="U92" s="2462"/>
      <c r="V92" s="1866">
        <f t="shared" si="39"/>
        <v>0</v>
      </c>
      <c r="W92" s="1869">
        <f>S92+U92</f>
        <v>75.040000000000006</v>
      </c>
      <c r="X92" s="1870">
        <f t="shared" si="41"/>
        <v>16286.6816</v>
      </c>
      <c r="Y92" s="1871">
        <f t="shared" si="42"/>
        <v>1.0000000982397885</v>
      </c>
      <c r="Z92" s="1694">
        <f>+E92-W92</f>
        <v>0</v>
      </c>
      <c r="AA92" s="1872">
        <f t="shared" si="44"/>
        <v>0</v>
      </c>
      <c r="AB92" s="1873">
        <f t="shared" si="45"/>
        <v>0</v>
      </c>
      <c r="AC92" s="1418">
        <f t="shared" si="27"/>
        <v>-1.5999999995983671E-3</v>
      </c>
      <c r="AD92" s="1418">
        <f t="shared" si="28"/>
        <v>0</v>
      </c>
      <c r="AE92" s="1418">
        <v>16286.6816</v>
      </c>
      <c r="AF92" s="1418">
        <f t="shared" si="29"/>
        <v>1.5999999995983671E-3</v>
      </c>
      <c r="AG92" s="1418">
        <v>217.04</v>
      </c>
      <c r="AH92" s="1418">
        <f t="shared" si="30"/>
        <v>-2.9699999999999989</v>
      </c>
      <c r="AI92" s="1429"/>
      <c r="AO92" s="2505">
        <v>16286.6816</v>
      </c>
      <c r="AP92" s="1418">
        <f t="shared" si="38"/>
        <v>0</v>
      </c>
      <c r="AQ92" s="1418">
        <f t="shared" si="31"/>
        <v>1.5999999995983671E-3</v>
      </c>
    </row>
    <row r="93" spans="1:43" s="1409" customFormat="1" ht="15.75">
      <c r="A93" s="2101"/>
      <c r="B93" s="1272" t="s">
        <v>615</v>
      </c>
      <c r="C93" s="1262" t="s">
        <v>2904</v>
      </c>
      <c r="D93" s="1273"/>
      <c r="E93" s="1415"/>
      <c r="F93" s="1267"/>
      <c r="G93" s="1480"/>
      <c r="H93" s="1416"/>
      <c r="I93" s="1477">
        <f t="shared" si="25"/>
        <v>0</v>
      </c>
      <c r="J93" s="1477">
        <f t="shared" si="26"/>
        <v>0</v>
      </c>
      <c r="K93" s="1477"/>
      <c r="L93" s="1477">
        <f t="shared" si="32"/>
        <v>0</v>
      </c>
      <c r="M93" s="1477"/>
      <c r="N93" s="1477">
        <f t="shared" si="33"/>
        <v>0</v>
      </c>
      <c r="O93" s="1477">
        <f t="shared" si="34"/>
        <v>0</v>
      </c>
      <c r="P93" s="1477">
        <f t="shared" si="35"/>
        <v>0</v>
      </c>
      <c r="Q93" s="1477">
        <f t="shared" si="36"/>
        <v>0</v>
      </c>
      <c r="R93" s="1576">
        <f t="shared" si="37"/>
        <v>0</v>
      </c>
      <c r="S93" s="1869"/>
      <c r="T93" s="1866"/>
      <c r="U93" s="2462"/>
      <c r="V93" s="1866">
        <f t="shared" si="39"/>
        <v>0</v>
      </c>
      <c r="W93" s="1869"/>
      <c r="X93" s="1870"/>
      <c r="Y93" s="1871" t="str">
        <f t="shared" si="42"/>
        <v/>
      </c>
      <c r="Z93" s="1694"/>
      <c r="AA93" s="1872">
        <f t="shared" si="44"/>
        <v>0</v>
      </c>
      <c r="AB93" s="1873" t="str">
        <f t="shared" si="45"/>
        <v/>
      </c>
      <c r="AC93" s="1418">
        <f t="shared" si="27"/>
        <v>0</v>
      </c>
      <c r="AD93" s="1418">
        <f t="shared" si="28"/>
        <v>0</v>
      </c>
      <c r="AE93" s="1418"/>
      <c r="AF93" s="1418">
        <f t="shared" si="29"/>
        <v>0</v>
      </c>
      <c r="AG93" s="1418"/>
      <c r="AH93" s="1418">
        <f t="shared" si="30"/>
        <v>0</v>
      </c>
      <c r="AI93" s="1429"/>
      <c r="AO93" s="2505"/>
      <c r="AP93" s="1418">
        <f t="shared" si="38"/>
        <v>0</v>
      </c>
      <c r="AQ93" s="1418">
        <f t="shared" si="31"/>
        <v>0</v>
      </c>
    </row>
    <row r="94" spans="1:43" s="1410" customFormat="1" ht="15.75">
      <c r="A94" s="2102"/>
      <c r="B94" s="1268" t="s">
        <v>616</v>
      </c>
      <c r="C94" s="1241" t="s">
        <v>2905</v>
      </c>
      <c r="D94" s="1245" t="s">
        <v>40</v>
      </c>
      <c r="E94" s="1413">
        <v>132.47</v>
      </c>
      <c r="F94" s="1555">
        <v>233.35</v>
      </c>
      <c r="G94" s="1480">
        <v>240.43</v>
      </c>
      <c r="H94" s="1414">
        <v>244.09</v>
      </c>
      <c r="I94" s="1477">
        <f t="shared" si="25"/>
        <v>30911.87</v>
      </c>
      <c r="J94" s="1477">
        <f t="shared" si="26"/>
        <v>31849.759999999998</v>
      </c>
      <c r="K94" s="1477">
        <v>75.529899999999998</v>
      </c>
      <c r="L94" s="1477">
        <f t="shared" si="32"/>
        <v>75.53</v>
      </c>
      <c r="M94" s="1477">
        <v>56.940100000000001</v>
      </c>
      <c r="N94" s="1477">
        <f t="shared" si="33"/>
        <v>56.94</v>
      </c>
      <c r="O94" s="1477">
        <f t="shared" si="34"/>
        <v>18159.68</v>
      </c>
      <c r="P94" s="1477">
        <f t="shared" si="35"/>
        <v>13690.08</v>
      </c>
      <c r="Q94" s="1477">
        <f t="shared" si="36"/>
        <v>13898.48</v>
      </c>
      <c r="R94" s="1576">
        <f t="shared" si="37"/>
        <v>32058.16</v>
      </c>
      <c r="S94" s="1869">
        <v>132.47</v>
      </c>
      <c r="T94" s="1866">
        <v>32058.162866000002</v>
      </c>
      <c r="U94" s="2462"/>
      <c r="V94" s="1866">
        <f t="shared" si="39"/>
        <v>0</v>
      </c>
      <c r="W94" s="1869">
        <f>S94+U94</f>
        <v>132.47</v>
      </c>
      <c r="X94" s="1870">
        <f t="shared" si="41"/>
        <v>32058.162866000002</v>
      </c>
      <c r="Y94" s="1871">
        <f t="shared" si="42"/>
        <v>1.0000000894000156</v>
      </c>
      <c r="Z94" s="1694">
        <f>+E94-W94</f>
        <v>0</v>
      </c>
      <c r="AA94" s="1872">
        <f t="shared" si="44"/>
        <v>0</v>
      </c>
      <c r="AB94" s="1873">
        <f t="shared" si="45"/>
        <v>0</v>
      </c>
      <c r="AC94" s="1418">
        <f t="shared" si="27"/>
        <v>-2.8660000025411136E-3</v>
      </c>
      <c r="AD94" s="1418">
        <f t="shared" si="28"/>
        <v>0</v>
      </c>
      <c r="AE94" s="1418">
        <v>32058.162866000002</v>
      </c>
      <c r="AF94" s="1418">
        <f t="shared" si="29"/>
        <v>2.8660000025411136E-3</v>
      </c>
      <c r="AG94" s="1418">
        <v>244.09</v>
      </c>
      <c r="AH94" s="1418">
        <f t="shared" si="30"/>
        <v>0</v>
      </c>
      <c r="AI94" s="1428" t="s">
        <v>3666</v>
      </c>
      <c r="AO94" s="2504">
        <v>32058.162866000002</v>
      </c>
      <c r="AP94" s="1418">
        <f t="shared" si="38"/>
        <v>0</v>
      </c>
      <c r="AQ94" s="1418">
        <f t="shared" si="31"/>
        <v>2.8660000025411136E-3</v>
      </c>
    </row>
    <row r="95" spans="1:43" s="1409" customFormat="1" ht="15.75">
      <c r="A95" s="2101"/>
      <c r="B95" s="1268" t="s">
        <v>619</v>
      </c>
      <c r="C95" s="1241" t="s">
        <v>2906</v>
      </c>
      <c r="D95" s="1245" t="s">
        <v>37</v>
      </c>
      <c r="E95" s="1413">
        <v>709.34</v>
      </c>
      <c r="F95" s="1555">
        <v>83.41</v>
      </c>
      <c r="G95" s="1480">
        <v>87.35</v>
      </c>
      <c r="H95" s="1414">
        <v>89.51</v>
      </c>
      <c r="I95" s="1477">
        <f t="shared" si="25"/>
        <v>59166.05</v>
      </c>
      <c r="J95" s="1477">
        <f t="shared" si="26"/>
        <v>61960.85</v>
      </c>
      <c r="K95" s="1477">
        <v>347.517</v>
      </c>
      <c r="L95" s="1477">
        <f t="shared" si="32"/>
        <v>347.52000000000004</v>
      </c>
      <c r="M95" s="1477">
        <v>361.82300000000004</v>
      </c>
      <c r="N95" s="1477">
        <f t="shared" si="33"/>
        <v>361.82</v>
      </c>
      <c r="O95" s="1477">
        <f t="shared" si="34"/>
        <v>30355.87</v>
      </c>
      <c r="P95" s="1477">
        <f t="shared" si="35"/>
        <v>31604.98</v>
      </c>
      <c r="Q95" s="1477">
        <f t="shared" si="36"/>
        <v>32386.51</v>
      </c>
      <c r="R95" s="1576">
        <f t="shared" si="37"/>
        <v>62742.38</v>
      </c>
      <c r="S95" s="1869">
        <v>709.34</v>
      </c>
      <c r="T95" s="1866">
        <v>62742.386680000003</v>
      </c>
      <c r="U95" s="2462"/>
      <c r="V95" s="1866">
        <f t="shared" si="39"/>
        <v>0</v>
      </c>
      <c r="W95" s="1869">
        <f>S95+U95</f>
        <v>709.34</v>
      </c>
      <c r="X95" s="1870">
        <f t="shared" si="41"/>
        <v>62742.386680000003</v>
      </c>
      <c r="Y95" s="1871">
        <f t="shared" si="42"/>
        <v>1.000000106467112</v>
      </c>
      <c r="Z95" s="1694">
        <f>+E95-W95</f>
        <v>0</v>
      </c>
      <c r="AA95" s="1872">
        <f t="shared" si="44"/>
        <v>0</v>
      </c>
      <c r="AB95" s="1873">
        <f t="shared" si="45"/>
        <v>0</v>
      </c>
      <c r="AC95" s="1418">
        <f t="shared" si="27"/>
        <v>-6.6800000058719888E-3</v>
      </c>
      <c r="AD95" s="1418">
        <f t="shared" si="28"/>
        <v>0</v>
      </c>
      <c r="AE95" s="1418">
        <v>62742.386680000003</v>
      </c>
      <c r="AF95" s="1418">
        <f t="shared" si="29"/>
        <v>6.6800000058719888E-3</v>
      </c>
      <c r="AG95" s="1418">
        <v>89.51</v>
      </c>
      <c r="AH95" s="1418">
        <f t="shared" si="30"/>
        <v>0</v>
      </c>
      <c r="AI95" s="1429"/>
      <c r="AO95" s="2505">
        <v>62742.386680000003</v>
      </c>
      <c r="AP95" s="1418">
        <f t="shared" si="38"/>
        <v>0</v>
      </c>
      <c r="AQ95" s="1418">
        <f t="shared" si="31"/>
        <v>6.6800000058719888E-3</v>
      </c>
    </row>
    <row r="96" spans="1:43" s="1410" customFormat="1" ht="15.75">
      <c r="A96" s="2102"/>
      <c r="B96" s="1272" t="s">
        <v>644</v>
      </c>
      <c r="C96" s="1262" t="s">
        <v>2907</v>
      </c>
      <c r="D96" s="1273"/>
      <c r="E96" s="1415"/>
      <c r="F96" s="1267"/>
      <c r="G96" s="1480"/>
      <c r="H96" s="1416"/>
      <c r="I96" s="1477">
        <f t="shared" si="25"/>
        <v>0</v>
      </c>
      <c r="J96" s="1477">
        <f t="shared" si="26"/>
        <v>0</v>
      </c>
      <c r="K96" s="1477"/>
      <c r="L96" s="1477">
        <f t="shared" si="32"/>
        <v>0</v>
      </c>
      <c r="M96" s="1477"/>
      <c r="N96" s="1477">
        <f t="shared" si="33"/>
        <v>0</v>
      </c>
      <c r="O96" s="1477">
        <f t="shared" si="34"/>
        <v>0</v>
      </c>
      <c r="P96" s="1477">
        <f t="shared" si="35"/>
        <v>0</v>
      </c>
      <c r="Q96" s="1477">
        <f t="shared" si="36"/>
        <v>0</v>
      </c>
      <c r="R96" s="1576">
        <f t="shared" si="37"/>
        <v>0</v>
      </c>
      <c r="S96" s="1869"/>
      <c r="T96" s="1866"/>
      <c r="U96" s="2462"/>
      <c r="V96" s="1866">
        <f t="shared" si="39"/>
        <v>0</v>
      </c>
      <c r="W96" s="1869"/>
      <c r="X96" s="1870"/>
      <c r="Y96" s="1871" t="str">
        <f t="shared" si="42"/>
        <v/>
      </c>
      <c r="Z96" s="1694"/>
      <c r="AA96" s="1872">
        <f t="shared" si="44"/>
        <v>0</v>
      </c>
      <c r="AB96" s="1873" t="str">
        <f t="shared" si="45"/>
        <v/>
      </c>
      <c r="AC96" s="1418">
        <f t="shared" si="27"/>
        <v>0</v>
      </c>
      <c r="AD96" s="1418">
        <f t="shared" si="28"/>
        <v>0</v>
      </c>
      <c r="AE96" s="1418"/>
      <c r="AF96" s="1418">
        <f t="shared" si="29"/>
        <v>0</v>
      </c>
      <c r="AG96" s="1418"/>
      <c r="AH96" s="1418">
        <f t="shared" si="30"/>
        <v>0</v>
      </c>
      <c r="AI96" s="1428"/>
      <c r="AO96" s="2504"/>
      <c r="AP96" s="1418">
        <f t="shared" si="38"/>
        <v>0</v>
      </c>
      <c r="AQ96" s="1418">
        <f t="shared" si="31"/>
        <v>0</v>
      </c>
    </row>
    <row r="97" spans="1:43" s="1409" customFormat="1" ht="15.75">
      <c r="A97" s="2101"/>
      <c r="B97" s="1268" t="s">
        <v>645</v>
      </c>
      <c r="C97" s="1241" t="s">
        <v>2908</v>
      </c>
      <c r="D97" s="1245" t="s">
        <v>40</v>
      </c>
      <c r="E97" s="1413">
        <v>32.590000000000003</v>
      </c>
      <c r="F97" s="1555">
        <v>390.75</v>
      </c>
      <c r="G97" s="1480">
        <v>402.12</v>
      </c>
      <c r="H97" s="1414">
        <v>407.84</v>
      </c>
      <c r="I97" s="1477">
        <f t="shared" si="25"/>
        <v>12734.54</v>
      </c>
      <c r="J97" s="1477">
        <f t="shared" si="26"/>
        <v>13105.09</v>
      </c>
      <c r="K97" s="1477">
        <v>11.917475</v>
      </c>
      <c r="L97" s="1477">
        <f t="shared" si="32"/>
        <v>11.920000000000002</v>
      </c>
      <c r="M97" s="1477">
        <v>20.672525000000004</v>
      </c>
      <c r="N97" s="1477">
        <f t="shared" si="33"/>
        <v>20.67</v>
      </c>
      <c r="O97" s="1477">
        <f t="shared" si="34"/>
        <v>4793.2700000000004</v>
      </c>
      <c r="P97" s="1477">
        <f t="shared" si="35"/>
        <v>8311.82</v>
      </c>
      <c r="Q97" s="1477">
        <f t="shared" si="36"/>
        <v>8430.0499999999993</v>
      </c>
      <c r="R97" s="1576">
        <f t="shared" si="37"/>
        <v>13223.32</v>
      </c>
      <c r="S97" s="1869">
        <v>32.590000000000003</v>
      </c>
      <c r="T97" s="1866">
        <v>13223.337643000003</v>
      </c>
      <c r="U97" s="2462"/>
      <c r="V97" s="1866">
        <f t="shared" si="39"/>
        <v>0</v>
      </c>
      <c r="W97" s="1869">
        <f>S97+U97</f>
        <v>32.590000000000003</v>
      </c>
      <c r="X97" s="1870">
        <f t="shared" si="41"/>
        <v>13223.337643000003</v>
      </c>
      <c r="Y97" s="1871">
        <f t="shared" si="42"/>
        <v>1.000001334233763</v>
      </c>
      <c r="Z97" s="1694">
        <f>+E97-W97</f>
        <v>0</v>
      </c>
      <c r="AA97" s="1872">
        <f t="shared" si="44"/>
        <v>0</v>
      </c>
      <c r="AB97" s="1873">
        <f t="shared" si="45"/>
        <v>0</v>
      </c>
      <c r="AC97" s="1418">
        <f t="shared" si="27"/>
        <v>-1.7643000002863118E-2</v>
      </c>
      <c r="AD97" s="1418">
        <f t="shared" si="28"/>
        <v>0</v>
      </c>
      <c r="AE97" s="1418">
        <v>13223.337643000003</v>
      </c>
      <c r="AF97" s="1418">
        <f t="shared" si="29"/>
        <v>1.7643000002863118E-2</v>
      </c>
      <c r="AG97" s="1418">
        <v>407.84</v>
      </c>
      <c r="AH97" s="1418">
        <f t="shared" si="30"/>
        <v>0</v>
      </c>
      <c r="AI97" s="1429"/>
      <c r="AO97" s="2505">
        <v>13223.337643000003</v>
      </c>
      <c r="AP97" s="1418">
        <f t="shared" si="38"/>
        <v>0</v>
      </c>
      <c r="AQ97" s="1418">
        <f t="shared" si="31"/>
        <v>1.7643000002863118E-2</v>
      </c>
    </row>
    <row r="98" spans="1:43" s="1423" customFormat="1" ht="15.75">
      <c r="A98" s="2228"/>
      <c r="B98" s="2130" t="s">
        <v>2287</v>
      </c>
      <c r="C98" s="2131" t="s">
        <v>2909</v>
      </c>
      <c r="D98" s="2222" t="s">
        <v>37</v>
      </c>
      <c r="E98" s="2223">
        <v>354.37</v>
      </c>
      <c r="F98" s="2224">
        <v>58.44</v>
      </c>
      <c r="G98" s="2225">
        <v>60.7</v>
      </c>
      <c r="H98" s="2226">
        <v>61.92</v>
      </c>
      <c r="I98" s="2227">
        <f t="shared" si="25"/>
        <v>20709.38</v>
      </c>
      <c r="J98" s="2227">
        <f t="shared" si="26"/>
        <v>21510.26</v>
      </c>
      <c r="K98" s="2227">
        <v>59.865000000000002</v>
      </c>
      <c r="L98" s="2227">
        <f t="shared" si="32"/>
        <v>59.860000000000014</v>
      </c>
      <c r="M98" s="2227">
        <v>294.505</v>
      </c>
      <c r="N98" s="2227">
        <f t="shared" si="33"/>
        <v>294.51</v>
      </c>
      <c r="O98" s="2227">
        <f t="shared" si="34"/>
        <v>3633.5</v>
      </c>
      <c r="P98" s="2227">
        <f t="shared" si="35"/>
        <v>17876.759999999998</v>
      </c>
      <c r="Q98" s="2227">
        <f t="shared" si="36"/>
        <v>18236.060000000001</v>
      </c>
      <c r="R98" s="1576">
        <f t="shared" si="37"/>
        <v>21869.56</v>
      </c>
      <c r="S98" s="1865">
        <v>219.76499999999999</v>
      </c>
      <c r="T98" s="2446">
        <v>13534.813499999997</v>
      </c>
      <c r="U98" s="2462"/>
      <c r="V98" s="2446">
        <f t="shared" si="39"/>
        <v>0</v>
      </c>
      <c r="W98" s="1865">
        <f>S98+U98</f>
        <v>219.76499999999999</v>
      </c>
      <c r="X98" s="2447">
        <f t="shared" si="41"/>
        <v>13534.813499999997</v>
      </c>
      <c r="Y98" s="2448">
        <f t="shared" si="42"/>
        <v>0.61888824009262167</v>
      </c>
      <c r="Z98" s="2449">
        <f>+E98-W98</f>
        <v>134.60500000000002</v>
      </c>
      <c r="AA98" s="2450">
        <f t="shared" si="44"/>
        <v>8334.7416000000012</v>
      </c>
      <c r="AB98" s="2451">
        <f t="shared" si="45"/>
        <v>0.38111153585165869</v>
      </c>
      <c r="AC98" s="1630">
        <f t="shared" si="27"/>
        <v>4.9000000035448465E-3</v>
      </c>
      <c r="AD98" s="1630">
        <f t="shared" si="28"/>
        <v>0</v>
      </c>
      <c r="AE98" s="1630">
        <v>21869.555099999998</v>
      </c>
      <c r="AF98" s="1630">
        <f t="shared" si="29"/>
        <v>-4.9000000035448465E-3</v>
      </c>
      <c r="AG98" s="1630">
        <v>61.92</v>
      </c>
      <c r="AH98" s="1630">
        <f t="shared" si="30"/>
        <v>0</v>
      </c>
      <c r="AI98" s="1629"/>
      <c r="AO98" s="2507">
        <v>13534.813499999997</v>
      </c>
      <c r="AP98" s="1418">
        <f t="shared" si="38"/>
        <v>0</v>
      </c>
      <c r="AQ98" s="1630">
        <f t="shared" si="31"/>
        <v>-4.9000000035448465E-3</v>
      </c>
    </row>
    <row r="99" spans="1:43" s="1631" customFormat="1" ht="15.75">
      <c r="A99" s="2221" t="s">
        <v>3619</v>
      </c>
      <c r="B99" s="2229" t="s">
        <v>646</v>
      </c>
      <c r="C99" s="2230" t="s">
        <v>2910</v>
      </c>
      <c r="D99" s="2231"/>
      <c r="E99" s="2232"/>
      <c r="F99" s="2233"/>
      <c r="G99" s="2225"/>
      <c r="H99" s="2234"/>
      <c r="I99" s="2227">
        <f t="shared" si="25"/>
        <v>0</v>
      </c>
      <c r="J99" s="2227">
        <f t="shared" si="26"/>
        <v>0</v>
      </c>
      <c r="K99" s="2227"/>
      <c r="L99" s="2227">
        <f t="shared" si="32"/>
        <v>0</v>
      </c>
      <c r="M99" s="2227"/>
      <c r="N99" s="2227">
        <f t="shared" si="33"/>
        <v>0</v>
      </c>
      <c r="O99" s="2227">
        <f t="shared" si="34"/>
        <v>0</v>
      </c>
      <c r="P99" s="2227">
        <f t="shared" si="35"/>
        <v>0</v>
      </c>
      <c r="Q99" s="2227">
        <f t="shared" si="36"/>
        <v>0</v>
      </c>
      <c r="R99" s="1576"/>
      <c r="S99" s="1865"/>
      <c r="T99" s="2446"/>
      <c r="U99" s="2462"/>
      <c r="V99" s="2446"/>
      <c r="W99" s="1865"/>
      <c r="X99" s="2447"/>
      <c r="Y99" s="2448"/>
      <c r="Z99" s="2449"/>
      <c r="AA99" s="2450"/>
      <c r="AB99" s="2451" t="str">
        <f t="shared" si="45"/>
        <v/>
      </c>
      <c r="AC99" s="1630">
        <f t="shared" si="27"/>
        <v>0</v>
      </c>
      <c r="AD99" s="1630">
        <f t="shared" si="28"/>
        <v>0</v>
      </c>
      <c r="AE99" s="1630"/>
      <c r="AF99" s="1630">
        <f t="shared" si="29"/>
        <v>0</v>
      </c>
      <c r="AG99" s="1630"/>
      <c r="AH99" s="1630">
        <f t="shared" si="30"/>
        <v>0</v>
      </c>
      <c r="AI99" s="2199"/>
      <c r="AO99" s="2506"/>
      <c r="AP99" s="1418">
        <f t="shared" si="38"/>
        <v>0</v>
      </c>
      <c r="AQ99" s="1630">
        <f t="shared" si="31"/>
        <v>0</v>
      </c>
    </row>
    <row r="100" spans="1:43" s="1423" customFormat="1" ht="15.75">
      <c r="A100" s="2228" t="s">
        <v>3619</v>
      </c>
      <c r="B100" s="2130" t="s">
        <v>647</v>
      </c>
      <c r="C100" s="2131" t="s">
        <v>2911</v>
      </c>
      <c r="D100" s="2222" t="s">
        <v>40</v>
      </c>
      <c r="E100" s="2223">
        <v>522.16</v>
      </c>
      <c r="F100" s="2224">
        <v>323.43</v>
      </c>
      <c r="G100" s="2225">
        <v>338.18</v>
      </c>
      <c r="H100" s="2226">
        <v>345.77</v>
      </c>
      <c r="I100" s="2227">
        <f t="shared" si="25"/>
        <v>168882.21</v>
      </c>
      <c r="J100" s="2227">
        <f t="shared" si="26"/>
        <v>176584.07</v>
      </c>
      <c r="K100" s="2227">
        <v>157.31495999999999</v>
      </c>
      <c r="L100" s="2227">
        <f t="shared" si="32"/>
        <v>157.30999999999995</v>
      </c>
      <c r="M100" s="2227">
        <v>364.84503999999998</v>
      </c>
      <c r="N100" s="2227">
        <f t="shared" si="33"/>
        <v>364.85</v>
      </c>
      <c r="O100" s="2227">
        <f t="shared" si="34"/>
        <v>53199.1</v>
      </c>
      <c r="P100" s="2227">
        <f t="shared" si="35"/>
        <v>123384.97</v>
      </c>
      <c r="Q100" s="2227">
        <f t="shared" si="36"/>
        <v>126154.18</v>
      </c>
      <c r="R100" s="1576">
        <f t="shared" si="37"/>
        <v>179353.28</v>
      </c>
      <c r="S100" s="1865">
        <v>187.00855999999999</v>
      </c>
      <c r="T100" s="2446">
        <v>63467.929244799998</v>
      </c>
      <c r="U100" s="2462"/>
      <c r="V100" s="2446">
        <f t="shared" si="39"/>
        <v>0</v>
      </c>
      <c r="W100" s="1865">
        <f>S100+U100</f>
        <v>187.00855999999999</v>
      </c>
      <c r="X100" s="2447">
        <f t="shared" si="41"/>
        <v>63467.929244799998</v>
      </c>
      <c r="Y100" s="2448">
        <f t="shared" si="42"/>
        <v>0.3538710261936665</v>
      </c>
      <c r="Z100" s="2449">
        <f>+E100-W100</f>
        <v>335.15143999999998</v>
      </c>
      <c r="AA100" s="2450">
        <f t="shared" si="44"/>
        <v>115885.31340879999</v>
      </c>
      <c r="AB100" s="2451">
        <f t="shared" si="45"/>
        <v>0.64612876557819288</v>
      </c>
      <c r="AC100" s="1630">
        <f t="shared" si="27"/>
        <v>3.7346400000387803E-2</v>
      </c>
      <c r="AD100" s="1630">
        <f t="shared" si="28"/>
        <v>0</v>
      </c>
      <c r="AE100" s="1630">
        <v>179353.2426536</v>
      </c>
      <c r="AF100" s="1630">
        <f t="shared" si="29"/>
        <v>-3.7346400000387803E-2</v>
      </c>
      <c r="AG100" s="1630">
        <v>345.77</v>
      </c>
      <c r="AH100" s="1630">
        <f t="shared" si="30"/>
        <v>0</v>
      </c>
      <c r="AI100" s="1629"/>
      <c r="AO100" s="2507">
        <v>63467.929244799998</v>
      </c>
      <c r="AP100" s="1418">
        <f t="shared" si="38"/>
        <v>0</v>
      </c>
      <c r="AQ100" s="1630">
        <f t="shared" si="31"/>
        <v>-3.7346400000387803E-2</v>
      </c>
    </row>
    <row r="101" spans="1:43" s="1423" customFormat="1" ht="15.75">
      <c r="A101" s="2228" t="s">
        <v>3619</v>
      </c>
      <c r="B101" s="2130" t="s">
        <v>648</v>
      </c>
      <c r="C101" s="2131" t="s">
        <v>2912</v>
      </c>
      <c r="D101" s="2222" t="s">
        <v>37</v>
      </c>
      <c r="E101" s="2223">
        <v>1282.24</v>
      </c>
      <c r="F101" s="2224">
        <v>58.82</v>
      </c>
      <c r="G101" s="2225">
        <v>61.44</v>
      </c>
      <c r="H101" s="2226">
        <v>62.87</v>
      </c>
      <c r="I101" s="2227">
        <f t="shared" si="25"/>
        <v>75421.36</v>
      </c>
      <c r="J101" s="2227">
        <f t="shared" si="26"/>
        <v>78780.83</v>
      </c>
      <c r="K101" s="2227">
        <v>244.83599999999998</v>
      </c>
      <c r="L101" s="2227">
        <f t="shared" si="32"/>
        <v>244.83999999999992</v>
      </c>
      <c r="M101" s="2227">
        <v>1037.404</v>
      </c>
      <c r="N101" s="2227">
        <f t="shared" si="33"/>
        <v>1037.4000000000001</v>
      </c>
      <c r="O101" s="2227">
        <f t="shared" si="34"/>
        <v>15042.97</v>
      </c>
      <c r="P101" s="2227">
        <f t="shared" si="35"/>
        <v>63737.86</v>
      </c>
      <c r="Q101" s="2227">
        <f t="shared" si="36"/>
        <v>65221.34</v>
      </c>
      <c r="R101" s="1576">
        <f t="shared" si="37"/>
        <v>80264.31</v>
      </c>
      <c r="S101" s="1865">
        <v>355.06399999999996</v>
      </c>
      <c r="T101" s="2446">
        <v>21972.7582</v>
      </c>
      <c r="U101" s="2462"/>
      <c r="V101" s="2446">
        <f t="shared" si="39"/>
        <v>0</v>
      </c>
      <c r="W101" s="1865">
        <f>S101+U101</f>
        <v>355.06399999999996</v>
      </c>
      <c r="X101" s="2447">
        <f t="shared" si="41"/>
        <v>21972.7582</v>
      </c>
      <c r="Y101" s="2448">
        <f t="shared" si="42"/>
        <v>0.2737550251163936</v>
      </c>
      <c r="Z101" s="2449">
        <f>+E101-W101</f>
        <v>927.17600000000004</v>
      </c>
      <c r="AA101" s="2450">
        <f t="shared" si="44"/>
        <v>58291.555119999997</v>
      </c>
      <c r="AB101" s="2451">
        <f t="shared" si="45"/>
        <v>0.72624501624694715</v>
      </c>
      <c r="AC101" s="1630">
        <f t="shared" si="27"/>
        <v>-3.3199999961652793E-3</v>
      </c>
      <c r="AD101" s="1630">
        <f t="shared" si="28"/>
        <v>0</v>
      </c>
      <c r="AE101" s="1630">
        <v>80264.313320000001</v>
      </c>
      <c r="AF101" s="1630">
        <f t="shared" si="29"/>
        <v>3.3200000034412369E-3</v>
      </c>
      <c r="AG101" s="1630">
        <v>62.87</v>
      </c>
      <c r="AH101" s="1630">
        <f t="shared" si="30"/>
        <v>0</v>
      </c>
      <c r="AI101" s="1629"/>
      <c r="AO101" s="2507">
        <v>21972.7582</v>
      </c>
      <c r="AP101" s="1418">
        <f t="shared" si="38"/>
        <v>0</v>
      </c>
      <c r="AQ101" s="1630">
        <f t="shared" si="31"/>
        <v>3.3200000034412369E-3</v>
      </c>
    </row>
    <row r="102" spans="1:43" s="1409" customFormat="1" ht="15.75">
      <c r="A102" s="2101" t="s">
        <v>3619</v>
      </c>
      <c r="B102" s="1268" t="s">
        <v>2288</v>
      </c>
      <c r="C102" s="1241" t="s">
        <v>2913</v>
      </c>
      <c r="D102" s="1245" t="s">
        <v>38</v>
      </c>
      <c r="E102" s="1413">
        <v>123.76</v>
      </c>
      <c r="F102" s="1555">
        <v>67.8</v>
      </c>
      <c r="G102" s="1480">
        <v>68.72</v>
      </c>
      <c r="H102" s="1414">
        <v>69.17</v>
      </c>
      <c r="I102" s="1477">
        <f t="shared" si="25"/>
        <v>8390.93</v>
      </c>
      <c r="J102" s="1477">
        <f t="shared" si="26"/>
        <v>8504.7900000000009</v>
      </c>
      <c r="K102" s="1477">
        <v>30.400000000000002</v>
      </c>
      <c r="L102" s="1477">
        <f t="shared" si="32"/>
        <v>30.400000000000006</v>
      </c>
      <c r="M102" s="1477">
        <v>93.36</v>
      </c>
      <c r="N102" s="1477">
        <f t="shared" si="33"/>
        <v>93.36</v>
      </c>
      <c r="O102" s="1477">
        <f t="shared" si="34"/>
        <v>2089.09</v>
      </c>
      <c r="P102" s="1477">
        <f t="shared" si="35"/>
        <v>6415.7</v>
      </c>
      <c r="Q102" s="1477">
        <f t="shared" si="36"/>
        <v>6457.71</v>
      </c>
      <c r="R102" s="1576">
        <f t="shared" si="37"/>
        <v>8546.7999999999993</v>
      </c>
      <c r="S102" s="1869">
        <v>123.76</v>
      </c>
      <c r="T102" s="1866">
        <v>8546.7992000000013</v>
      </c>
      <c r="U102" s="2462"/>
      <c r="V102" s="1866">
        <f t="shared" si="39"/>
        <v>0</v>
      </c>
      <c r="W102" s="1869">
        <f>S102+U102</f>
        <v>123.76</v>
      </c>
      <c r="X102" s="1870">
        <f t="shared" si="41"/>
        <v>8546.7992000000013</v>
      </c>
      <c r="Y102" s="1871">
        <f t="shared" si="42"/>
        <v>0.9999999063977163</v>
      </c>
      <c r="Z102" s="1694">
        <f>+E102-W102</f>
        <v>0</v>
      </c>
      <c r="AA102" s="1872">
        <f t="shared" si="44"/>
        <v>0</v>
      </c>
      <c r="AB102" s="1873">
        <f t="shared" si="45"/>
        <v>0</v>
      </c>
      <c r="AC102" s="1418">
        <f t="shared" si="27"/>
        <v>7.9999999798019417E-4</v>
      </c>
      <c r="AD102" s="1418">
        <f t="shared" si="28"/>
        <v>0</v>
      </c>
      <c r="AE102" s="1418">
        <v>8546.7991999999995</v>
      </c>
      <c r="AF102" s="1418">
        <f t="shared" si="29"/>
        <v>-7.9999999979918357E-4</v>
      </c>
      <c r="AG102" s="1418">
        <v>69.17</v>
      </c>
      <c r="AH102" s="1418">
        <f t="shared" si="30"/>
        <v>0</v>
      </c>
      <c r="AI102" s="1429"/>
      <c r="AO102" s="2505">
        <v>8546.7992000000013</v>
      </c>
      <c r="AP102" s="1418">
        <f t="shared" si="38"/>
        <v>0</v>
      </c>
      <c r="AQ102" s="1418">
        <f t="shared" si="31"/>
        <v>-7.9999999798019417E-4</v>
      </c>
    </row>
    <row r="103" spans="1:43" s="1410" customFormat="1" ht="15.75">
      <c r="A103" s="2102" t="s">
        <v>3619</v>
      </c>
      <c r="B103" s="1268" t="s">
        <v>2289</v>
      </c>
      <c r="C103" s="1241" t="s">
        <v>2914</v>
      </c>
      <c r="D103" s="1245" t="s">
        <v>40</v>
      </c>
      <c r="E103" s="1413">
        <v>154.32</v>
      </c>
      <c r="F103" s="1555">
        <v>89.61</v>
      </c>
      <c r="G103" s="1480">
        <v>91.41</v>
      </c>
      <c r="H103" s="1414">
        <v>92.34</v>
      </c>
      <c r="I103" s="1477">
        <f t="shared" si="25"/>
        <v>13828.62</v>
      </c>
      <c r="J103" s="1477">
        <f t="shared" si="26"/>
        <v>14106.39</v>
      </c>
      <c r="K103" s="1477">
        <v>24.378</v>
      </c>
      <c r="L103" s="1477">
        <f t="shared" si="32"/>
        <v>24.379999999999995</v>
      </c>
      <c r="M103" s="1477">
        <v>129.94200000000001</v>
      </c>
      <c r="N103" s="1477">
        <f t="shared" si="33"/>
        <v>129.94</v>
      </c>
      <c r="O103" s="1477">
        <f t="shared" si="34"/>
        <v>2228.58</v>
      </c>
      <c r="P103" s="1477">
        <f t="shared" si="35"/>
        <v>11877.82</v>
      </c>
      <c r="Q103" s="1477">
        <f t="shared" si="36"/>
        <v>11998.66</v>
      </c>
      <c r="R103" s="1576">
        <f t="shared" si="37"/>
        <v>14227.24</v>
      </c>
      <c r="S103" s="1869">
        <v>154.32</v>
      </c>
      <c r="T103" s="1866">
        <v>14227.23726</v>
      </c>
      <c r="U103" s="2462"/>
      <c r="V103" s="1866">
        <f t="shared" si="39"/>
        <v>0</v>
      </c>
      <c r="W103" s="1869">
        <f>S103+U103</f>
        <v>154.32</v>
      </c>
      <c r="X103" s="1870">
        <f t="shared" si="41"/>
        <v>14227.23726</v>
      </c>
      <c r="Y103" s="1871">
        <f t="shared" si="42"/>
        <v>0.99999980741169758</v>
      </c>
      <c r="Z103" s="1694">
        <f>+E103-W103</f>
        <v>0</v>
      </c>
      <c r="AA103" s="1872">
        <f t="shared" si="44"/>
        <v>0</v>
      </c>
      <c r="AB103" s="1873">
        <f t="shared" si="45"/>
        <v>0</v>
      </c>
      <c r="AC103" s="1418">
        <f t="shared" si="27"/>
        <v>2.7399999999033753E-3</v>
      </c>
      <c r="AD103" s="1418">
        <f t="shared" si="28"/>
        <v>0</v>
      </c>
      <c r="AE103" s="1418">
        <v>14227.237260000002</v>
      </c>
      <c r="AF103" s="1418">
        <f t="shared" si="29"/>
        <v>-2.7399999980843859E-3</v>
      </c>
      <c r="AG103" s="1418">
        <v>92.34</v>
      </c>
      <c r="AH103" s="1418">
        <f t="shared" si="30"/>
        <v>0</v>
      </c>
      <c r="AI103" s="1428"/>
      <c r="AO103" s="2504">
        <v>14227.23726</v>
      </c>
      <c r="AP103" s="1418">
        <f t="shared" si="38"/>
        <v>0</v>
      </c>
      <c r="AQ103" s="1418">
        <f t="shared" si="31"/>
        <v>-2.7399999999033753E-3</v>
      </c>
    </row>
    <row r="104" spans="1:43" s="1409" customFormat="1" ht="15.75">
      <c r="A104" s="2101"/>
      <c r="B104" s="1272" t="s">
        <v>275</v>
      </c>
      <c r="C104" s="1262" t="s">
        <v>2915</v>
      </c>
      <c r="D104" s="1273"/>
      <c r="E104" s="1415"/>
      <c r="F104" s="1267"/>
      <c r="G104" s="1480"/>
      <c r="H104" s="1416"/>
      <c r="I104" s="1477">
        <f t="shared" si="25"/>
        <v>0</v>
      </c>
      <c r="J104" s="1477">
        <f t="shared" si="26"/>
        <v>0</v>
      </c>
      <c r="K104" s="1477"/>
      <c r="L104" s="1477">
        <f t="shared" si="32"/>
        <v>0</v>
      </c>
      <c r="M104" s="1477"/>
      <c r="N104" s="1477">
        <f t="shared" si="33"/>
        <v>0</v>
      </c>
      <c r="O104" s="1477">
        <f t="shared" si="34"/>
        <v>0</v>
      </c>
      <c r="P104" s="1477">
        <f t="shared" si="35"/>
        <v>0</v>
      </c>
      <c r="Q104" s="1477">
        <f t="shared" si="36"/>
        <v>0</v>
      </c>
      <c r="R104" s="1576">
        <f t="shared" si="37"/>
        <v>0</v>
      </c>
      <c r="S104" s="1869"/>
      <c r="T104" s="1866"/>
      <c r="U104" s="2462"/>
      <c r="V104" s="1866">
        <f t="shared" si="39"/>
        <v>0</v>
      </c>
      <c r="W104" s="1869"/>
      <c r="X104" s="1870"/>
      <c r="Y104" s="1871" t="str">
        <f t="shared" si="42"/>
        <v/>
      </c>
      <c r="Z104" s="1694"/>
      <c r="AA104" s="1872">
        <f t="shared" si="44"/>
        <v>0</v>
      </c>
      <c r="AB104" s="1873" t="str">
        <f t="shared" si="45"/>
        <v/>
      </c>
      <c r="AC104" s="1418">
        <f t="shared" si="27"/>
        <v>0</v>
      </c>
      <c r="AD104" s="1418">
        <f t="shared" si="28"/>
        <v>0</v>
      </c>
      <c r="AE104" s="1418"/>
      <c r="AF104" s="1418">
        <f t="shared" si="29"/>
        <v>0</v>
      </c>
      <c r="AG104" s="1418"/>
      <c r="AH104" s="1418">
        <f t="shared" si="30"/>
        <v>0</v>
      </c>
      <c r="AI104" s="1429"/>
      <c r="AO104" s="2505"/>
      <c r="AP104" s="1418">
        <f t="shared" si="38"/>
        <v>0</v>
      </c>
      <c r="AQ104" s="1418">
        <f t="shared" si="31"/>
        <v>0</v>
      </c>
    </row>
    <row r="105" spans="1:43" s="1410" customFormat="1" ht="15.75">
      <c r="A105" s="2102"/>
      <c r="B105" s="1268" t="s">
        <v>2290</v>
      </c>
      <c r="C105" s="1241" t="s">
        <v>2916</v>
      </c>
      <c r="D105" s="1245" t="s">
        <v>40</v>
      </c>
      <c r="E105" s="1413">
        <v>121.29</v>
      </c>
      <c r="F105" s="1555">
        <v>323.43</v>
      </c>
      <c r="G105" s="1480">
        <v>338.18</v>
      </c>
      <c r="H105" s="1414">
        <v>345.77</v>
      </c>
      <c r="I105" s="1477">
        <f t="shared" si="25"/>
        <v>39228.82</v>
      </c>
      <c r="J105" s="1477">
        <f t="shared" si="26"/>
        <v>41017.85</v>
      </c>
      <c r="K105" s="1477">
        <v>0</v>
      </c>
      <c r="L105" s="1477">
        <f t="shared" si="32"/>
        <v>0</v>
      </c>
      <c r="M105" s="1477">
        <v>121.29</v>
      </c>
      <c r="N105" s="1477">
        <f t="shared" si="33"/>
        <v>121.29</v>
      </c>
      <c r="O105" s="1477">
        <f t="shared" si="34"/>
        <v>0</v>
      </c>
      <c r="P105" s="1477">
        <f t="shared" si="35"/>
        <v>41017.85</v>
      </c>
      <c r="Q105" s="1477">
        <f t="shared" si="36"/>
        <v>41938.44</v>
      </c>
      <c r="R105" s="1576">
        <f t="shared" si="37"/>
        <v>41938.44</v>
      </c>
      <c r="S105" s="1869">
        <v>0</v>
      </c>
      <c r="T105" s="1866">
        <v>0</v>
      </c>
      <c r="U105" s="2462"/>
      <c r="V105" s="1866">
        <f t="shared" si="39"/>
        <v>0</v>
      </c>
      <c r="W105" s="1869">
        <f>S105+U105</f>
        <v>0</v>
      </c>
      <c r="X105" s="1870">
        <f t="shared" si="41"/>
        <v>0</v>
      </c>
      <c r="Y105" s="1871">
        <f t="shared" si="42"/>
        <v>0</v>
      </c>
      <c r="Z105" s="1694">
        <f>+E105-W105</f>
        <v>121.29</v>
      </c>
      <c r="AA105" s="1872">
        <f t="shared" si="44"/>
        <v>41938.443299999999</v>
      </c>
      <c r="AB105" s="1873">
        <f t="shared" si="45"/>
        <v>1.0000000786867609</v>
      </c>
      <c r="AC105" s="1418">
        <f t="shared" si="27"/>
        <v>-3.2999999966705218E-3</v>
      </c>
      <c r="AD105" s="1418">
        <f t="shared" si="28"/>
        <v>0</v>
      </c>
      <c r="AE105" s="1418">
        <v>41938.443299999999</v>
      </c>
      <c r="AF105" s="1418">
        <f t="shared" si="29"/>
        <v>3.2999999966705218E-3</v>
      </c>
      <c r="AG105" s="1418">
        <v>345.77</v>
      </c>
      <c r="AH105" s="1418">
        <f t="shared" si="30"/>
        <v>0</v>
      </c>
      <c r="AI105" s="1428"/>
      <c r="AO105" s="2504">
        <v>0</v>
      </c>
      <c r="AP105" s="1418">
        <f t="shared" si="38"/>
        <v>0</v>
      </c>
      <c r="AQ105" s="1418">
        <f t="shared" si="31"/>
        <v>3.2999999966705218E-3</v>
      </c>
    </row>
    <row r="106" spans="1:43" s="1409" customFormat="1" ht="15.75">
      <c r="A106" s="2101"/>
      <c r="B106" s="1268" t="s">
        <v>2291</v>
      </c>
      <c r="C106" s="1241" t="s">
        <v>2917</v>
      </c>
      <c r="D106" s="1245" t="s">
        <v>37</v>
      </c>
      <c r="E106" s="1413">
        <v>293.72000000000003</v>
      </c>
      <c r="F106" s="1555">
        <v>53.42</v>
      </c>
      <c r="G106" s="1480">
        <v>55.52</v>
      </c>
      <c r="H106" s="1414">
        <v>56.66</v>
      </c>
      <c r="I106" s="1477">
        <f t="shared" si="25"/>
        <v>15690.52</v>
      </c>
      <c r="J106" s="1477">
        <f t="shared" si="26"/>
        <v>16307.33</v>
      </c>
      <c r="K106" s="1477">
        <v>0</v>
      </c>
      <c r="L106" s="1477">
        <f t="shared" si="32"/>
        <v>0</v>
      </c>
      <c r="M106" s="1477">
        <v>293.72000000000003</v>
      </c>
      <c r="N106" s="1477">
        <f t="shared" si="33"/>
        <v>293.72000000000003</v>
      </c>
      <c r="O106" s="1477">
        <f t="shared" si="34"/>
        <v>0</v>
      </c>
      <c r="P106" s="1477">
        <f t="shared" si="35"/>
        <v>16307.33</v>
      </c>
      <c r="Q106" s="1477">
        <f t="shared" si="36"/>
        <v>16642.18</v>
      </c>
      <c r="R106" s="1576">
        <f t="shared" si="37"/>
        <v>16642.18</v>
      </c>
      <c r="S106" s="1869">
        <v>0</v>
      </c>
      <c r="T106" s="1866">
        <v>0</v>
      </c>
      <c r="U106" s="2439"/>
      <c r="V106" s="1866">
        <f t="shared" si="39"/>
        <v>0</v>
      </c>
      <c r="W106" s="1869">
        <f>S106+U106</f>
        <v>0</v>
      </c>
      <c r="X106" s="1870">
        <f t="shared" si="41"/>
        <v>0</v>
      </c>
      <c r="Y106" s="1871">
        <f t="shared" si="42"/>
        <v>0</v>
      </c>
      <c r="Z106" s="1694">
        <f>+E106-W106</f>
        <v>293.72000000000003</v>
      </c>
      <c r="AA106" s="1872">
        <f t="shared" si="44"/>
        <v>16642.175200000001</v>
      </c>
      <c r="AB106" s="1873">
        <f t="shared" si="45"/>
        <v>0.9999997115762479</v>
      </c>
      <c r="AC106" s="1418">
        <f t="shared" si="27"/>
        <v>4.7999999987951014E-3</v>
      </c>
      <c r="AD106" s="1418">
        <f t="shared" si="28"/>
        <v>0</v>
      </c>
      <c r="AE106" s="1418">
        <v>16642.175200000001</v>
      </c>
      <c r="AF106" s="1418">
        <f t="shared" si="29"/>
        <v>-4.7999999987951014E-3</v>
      </c>
      <c r="AG106" s="1418">
        <v>56.66</v>
      </c>
      <c r="AH106" s="1418">
        <f t="shared" si="30"/>
        <v>0</v>
      </c>
      <c r="AI106" s="1429"/>
      <c r="AO106" s="2505">
        <v>0</v>
      </c>
      <c r="AP106" s="1418">
        <f t="shared" si="38"/>
        <v>0</v>
      </c>
      <c r="AQ106" s="1418">
        <f t="shared" si="31"/>
        <v>-4.7999999987951014E-3</v>
      </c>
    </row>
    <row r="107" spans="1:43" s="1410" customFormat="1" ht="15.75">
      <c r="A107" s="2102"/>
      <c r="B107" s="1272" t="s">
        <v>321</v>
      </c>
      <c r="C107" s="1262" t="s">
        <v>2918</v>
      </c>
      <c r="D107" s="1273"/>
      <c r="E107" s="1415"/>
      <c r="F107" s="1267"/>
      <c r="G107" s="1480"/>
      <c r="H107" s="1416"/>
      <c r="I107" s="1477">
        <f t="shared" si="25"/>
        <v>0</v>
      </c>
      <c r="J107" s="1477">
        <f t="shared" si="26"/>
        <v>0</v>
      </c>
      <c r="K107" s="1477"/>
      <c r="L107" s="1477">
        <f t="shared" si="32"/>
        <v>0</v>
      </c>
      <c r="M107" s="1477"/>
      <c r="N107" s="1477">
        <f t="shared" si="33"/>
        <v>0</v>
      </c>
      <c r="O107" s="1477">
        <f t="shared" si="34"/>
        <v>0</v>
      </c>
      <c r="P107" s="1477">
        <f t="shared" si="35"/>
        <v>0</v>
      </c>
      <c r="Q107" s="1477">
        <f t="shared" si="36"/>
        <v>0</v>
      </c>
      <c r="R107" s="1576">
        <f t="shared" si="37"/>
        <v>0</v>
      </c>
      <c r="S107" s="1869"/>
      <c r="T107" s="1866"/>
      <c r="U107" s="2439"/>
      <c r="V107" s="1866">
        <f t="shared" si="39"/>
        <v>0</v>
      </c>
      <c r="W107" s="1869"/>
      <c r="X107" s="1870"/>
      <c r="Y107" s="1871" t="str">
        <f t="shared" si="42"/>
        <v/>
      </c>
      <c r="Z107" s="1694"/>
      <c r="AA107" s="1872">
        <f t="shared" si="44"/>
        <v>0</v>
      </c>
      <c r="AB107" s="1873" t="str">
        <f t="shared" si="45"/>
        <v/>
      </c>
      <c r="AC107" s="1418">
        <f t="shared" si="27"/>
        <v>0</v>
      </c>
      <c r="AD107" s="1418">
        <f t="shared" si="28"/>
        <v>0</v>
      </c>
      <c r="AE107" s="1418"/>
      <c r="AF107" s="1418">
        <f t="shared" si="29"/>
        <v>0</v>
      </c>
      <c r="AG107" s="1418"/>
      <c r="AH107" s="1418">
        <f t="shared" si="30"/>
        <v>0</v>
      </c>
      <c r="AI107" s="1428"/>
      <c r="AO107" s="2504"/>
      <c r="AP107" s="1418">
        <f t="shared" si="38"/>
        <v>0</v>
      </c>
      <c r="AQ107" s="1418">
        <f t="shared" si="31"/>
        <v>0</v>
      </c>
    </row>
    <row r="108" spans="1:43" s="1410" customFormat="1" ht="15.75">
      <c r="A108" s="2102"/>
      <c r="B108" s="1268" t="s">
        <v>2292</v>
      </c>
      <c r="C108" s="1241" t="s">
        <v>2919</v>
      </c>
      <c r="D108" s="1245" t="s">
        <v>40</v>
      </c>
      <c r="E108" s="1413">
        <v>3.26</v>
      </c>
      <c r="F108" s="1555">
        <v>323.43</v>
      </c>
      <c r="G108" s="1480">
        <v>338.18</v>
      </c>
      <c r="H108" s="1414">
        <v>345.77</v>
      </c>
      <c r="I108" s="1477">
        <f t="shared" si="25"/>
        <v>1054.3800000000001</v>
      </c>
      <c r="J108" s="1477">
        <f t="shared" si="26"/>
        <v>1102.47</v>
      </c>
      <c r="K108" s="1477">
        <v>0</v>
      </c>
      <c r="L108" s="1477">
        <f t="shared" si="32"/>
        <v>0</v>
      </c>
      <c r="M108" s="1477">
        <v>3.26</v>
      </c>
      <c r="N108" s="1477">
        <f t="shared" si="33"/>
        <v>3.26</v>
      </c>
      <c r="O108" s="1477">
        <f t="shared" si="34"/>
        <v>0</v>
      </c>
      <c r="P108" s="1477">
        <f t="shared" si="35"/>
        <v>1102.47</v>
      </c>
      <c r="Q108" s="1477">
        <f t="shared" si="36"/>
        <v>1127.21</v>
      </c>
      <c r="R108" s="1576">
        <f t="shared" si="37"/>
        <v>1127.21</v>
      </c>
      <c r="S108" s="1869">
        <v>0</v>
      </c>
      <c r="T108" s="1866">
        <v>0</v>
      </c>
      <c r="U108" s="2439"/>
      <c r="V108" s="1866">
        <f t="shared" si="39"/>
        <v>0</v>
      </c>
      <c r="W108" s="1869">
        <f>S108+U108</f>
        <v>0</v>
      </c>
      <c r="X108" s="1870">
        <f t="shared" si="41"/>
        <v>0</v>
      </c>
      <c r="Y108" s="1871">
        <f t="shared" si="42"/>
        <v>0</v>
      </c>
      <c r="Z108" s="1694">
        <f>+E108-W108</f>
        <v>3.26</v>
      </c>
      <c r="AA108" s="1872">
        <f t="shared" si="44"/>
        <v>1127.2101999999998</v>
      </c>
      <c r="AB108" s="1873">
        <f t="shared" si="45"/>
        <v>1.0000001774292278</v>
      </c>
      <c r="AC108" s="1418">
        <f t="shared" si="27"/>
        <v>-1.9999999972242222E-4</v>
      </c>
      <c r="AD108" s="1418">
        <f t="shared" si="28"/>
        <v>0</v>
      </c>
      <c r="AE108" s="1418">
        <v>1127.2101999999998</v>
      </c>
      <c r="AF108" s="1418">
        <f t="shared" si="29"/>
        <v>1.9999999972242222E-4</v>
      </c>
      <c r="AG108" s="1418">
        <v>345.77</v>
      </c>
      <c r="AH108" s="1418">
        <f t="shared" si="30"/>
        <v>0</v>
      </c>
      <c r="AI108" s="1428"/>
      <c r="AO108" s="2504">
        <v>0</v>
      </c>
      <c r="AP108" s="1418">
        <f t="shared" si="38"/>
        <v>0</v>
      </c>
      <c r="AQ108" s="1418">
        <f t="shared" si="31"/>
        <v>1.9999999972242222E-4</v>
      </c>
    </row>
    <row r="109" spans="1:43" s="1410" customFormat="1" ht="15.75">
      <c r="A109" s="2102"/>
      <c r="B109" s="1268" t="s">
        <v>2293</v>
      </c>
      <c r="C109" s="1241" t="s">
        <v>2920</v>
      </c>
      <c r="D109" s="1245" t="s">
        <v>37</v>
      </c>
      <c r="E109" s="1413">
        <v>11.04</v>
      </c>
      <c r="F109" s="1555">
        <v>53.42</v>
      </c>
      <c r="G109" s="1480">
        <v>55.52</v>
      </c>
      <c r="H109" s="1414">
        <v>56.66</v>
      </c>
      <c r="I109" s="1477">
        <f t="shared" si="25"/>
        <v>589.76</v>
      </c>
      <c r="J109" s="1477">
        <f t="shared" si="26"/>
        <v>612.94000000000005</v>
      </c>
      <c r="K109" s="1477">
        <v>0</v>
      </c>
      <c r="L109" s="1477">
        <f t="shared" si="32"/>
        <v>0</v>
      </c>
      <c r="M109" s="1477">
        <v>11.04</v>
      </c>
      <c r="N109" s="1477">
        <f t="shared" si="33"/>
        <v>11.04</v>
      </c>
      <c r="O109" s="1477">
        <f t="shared" si="34"/>
        <v>0</v>
      </c>
      <c r="P109" s="1477">
        <f t="shared" si="35"/>
        <v>612.94000000000005</v>
      </c>
      <c r="Q109" s="1477">
        <f t="shared" si="36"/>
        <v>625.53</v>
      </c>
      <c r="R109" s="1576">
        <f t="shared" si="37"/>
        <v>625.53</v>
      </c>
      <c r="S109" s="1869">
        <v>0</v>
      </c>
      <c r="T109" s="1866">
        <v>0</v>
      </c>
      <c r="U109" s="2439"/>
      <c r="V109" s="1866">
        <f t="shared" si="39"/>
        <v>0</v>
      </c>
      <c r="W109" s="1869">
        <f>S109+U109</f>
        <v>0</v>
      </c>
      <c r="X109" s="1870">
        <f t="shared" si="41"/>
        <v>0</v>
      </c>
      <c r="Y109" s="1871">
        <f t="shared" si="42"/>
        <v>0</v>
      </c>
      <c r="Z109" s="1694">
        <f>+E109-W109</f>
        <v>11.04</v>
      </c>
      <c r="AA109" s="1872">
        <f t="shared" si="44"/>
        <v>625.52639999999997</v>
      </c>
      <c r="AB109" s="1873">
        <f t="shared" si="45"/>
        <v>0.9999942448803415</v>
      </c>
      <c r="AC109" s="1418">
        <f t="shared" si="27"/>
        <v>3.6000000000058208E-3</v>
      </c>
      <c r="AD109" s="1418">
        <f t="shared" si="28"/>
        <v>0</v>
      </c>
      <c r="AE109" s="1418">
        <v>625.52639999999997</v>
      </c>
      <c r="AF109" s="1418">
        <f t="shared" si="29"/>
        <v>-3.6000000000058208E-3</v>
      </c>
      <c r="AG109" s="1418">
        <v>56.66</v>
      </c>
      <c r="AH109" s="1418">
        <f t="shared" si="30"/>
        <v>0</v>
      </c>
      <c r="AI109" s="1428"/>
      <c r="AO109" s="2504">
        <v>0</v>
      </c>
      <c r="AP109" s="1418">
        <f t="shared" si="38"/>
        <v>0</v>
      </c>
      <c r="AQ109" s="1418">
        <f t="shared" si="31"/>
        <v>-3.6000000000058208E-3</v>
      </c>
    </row>
    <row r="110" spans="1:43" s="1410" customFormat="1" ht="15.75">
      <c r="A110" s="2102"/>
      <c r="B110" s="1272" t="s">
        <v>3804</v>
      </c>
      <c r="C110" s="1262" t="s">
        <v>3694</v>
      </c>
      <c r="D110" s="1273"/>
      <c r="E110" s="1415"/>
      <c r="F110" s="1267"/>
      <c r="G110" s="1480"/>
      <c r="H110" s="1416"/>
      <c r="I110" s="1477">
        <f t="shared" si="25"/>
        <v>0</v>
      </c>
      <c r="J110" s="1477">
        <f t="shared" si="26"/>
        <v>0</v>
      </c>
      <c r="K110" s="1477"/>
      <c r="L110" s="1477">
        <f t="shared" si="32"/>
        <v>0</v>
      </c>
      <c r="M110" s="1477"/>
      <c r="N110" s="1477">
        <f t="shared" si="33"/>
        <v>0</v>
      </c>
      <c r="O110" s="1477">
        <f t="shared" si="34"/>
        <v>0</v>
      </c>
      <c r="P110" s="1477">
        <f t="shared" si="35"/>
        <v>0</v>
      </c>
      <c r="Q110" s="1477">
        <f t="shared" si="36"/>
        <v>0</v>
      </c>
      <c r="R110" s="1576">
        <f t="shared" si="37"/>
        <v>0</v>
      </c>
      <c r="S110" s="1869"/>
      <c r="T110" s="1866"/>
      <c r="U110" s="2439"/>
      <c r="V110" s="1866">
        <f t="shared" si="39"/>
        <v>0</v>
      </c>
      <c r="W110" s="1869"/>
      <c r="X110" s="1870"/>
      <c r="Y110" s="1871" t="str">
        <f t="shared" si="42"/>
        <v/>
      </c>
      <c r="Z110" s="1694"/>
      <c r="AA110" s="1872"/>
      <c r="AB110" s="1873" t="str">
        <f t="shared" si="45"/>
        <v/>
      </c>
      <c r="AC110" s="1418">
        <f t="shared" si="27"/>
        <v>0</v>
      </c>
      <c r="AD110" s="1418">
        <f t="shared" si="28"/>
        <v>0</v>
      </c>
      <c r="AE110" s="1418"/>
      <c r="AF110" s="1418">
        <f t="shared" si="29"/>
        <v>0</v>
      </c>
      <c r="AG110" s="1418"/>
      <c r="AH110" s="1418">
        <f t="shared" si="30"/>
        <v>0</v>
      </c>
      <c r="AI110" s="1428"/>
      <c r="AO110" s="2504"/>
      <c r="AP110" s="1418">
        <f t="shared" si="38"/>
        <v>0</v>
      </c>
      <c r="AQ110" s="1418">
        <f t="shared" si="31"/>
        <v>0</v>
      </c>
    </row>
    <row r="111" spans="1:43" s="1409" customFormat="1" ht="15.75">
      <c r="A111" s="2101"/>
      <c r="B111" s="1268" t="s">
        <v>2294</v>
      </c>
      <c r="C111" s="1241" t="s">
        <v>2921</v>
      </c>
      <c r="D111" s="1245" t="s">
        <v>40</v>
      </c>
      <c r="E111" s="1413">
        <v>5.95</v>
      </c>
      <c r="F111" s="1555">
        <v>326.66000000000003</v>
      </c>
      <c r="G111" s="1480">
        <v>341.41</v>
      </c>
      <c r="H111" s="1414">
        <v>349</v>
      </c>
      <c r="I111" s="1477">
        <f t="shared" si="25"/>
        <v>1943.63</v>
      </c>
      <c r="J111" s="1477">
        <f t="shared" si="26"/>
        <v>2031.39</v>
      </c>
      <c r="K111" s="1477">
        <v>0</v>
      </c>
      <c r="L111" s="1477">
        <f t="shared" si="32"/>
        <v>0</v>
      </c>
      <c r="M111" s="1477">
        <v>5.95</v>
      </c>
      <c r="N111" s="1477">
        <f t="shared" si="33"/>
        <v>5.95</v>
      </c>
      <c r="O111" s="1477">
        <f t="shared" si="34"/>
        <v>0</v>
      </c>
      <c r="P111" s="1477">
        <f t="shared" si="35"/>
        <v>2031.39</v>
      </c>
      <c r="Q111" s="1477">
        <f t="shared" si="36"/>
        <v>2076.5500000000002</v>
      </c>
      <c r="R111" s="1576">
        <f t="shared" si="37"/>
        <v>2076.5500000000002</v>
      </c>
      <c r="S111" s="1869">
        <v>0</v>
      </c>
      <c r="T111" s="1866">
        <v>0</v>
      </c>
      <c r="U111" s="2439"/>
      <c r="V111" s="1866">
        <f t="shared" si="39"/>
        <v>0</v>
      </c>
      <c r="W111" s="1869">
        <f>S111+U111</f>
        <v>0</v>
      </c>
      <c r="X111" s="1870">
        <f t="shared" si="41"/>
        <v>0</v>
      </c>
      <c r="Y111" s="1871">
        <f t="shared" si="42"/>
        <v>0</v>
      </c>
      <c r="Z111" s="1694">
        <f t="shared" ref="Z111:Z117" si="46">+E111-W111</f>
        <v>5.95</v>
      </c>
      <c r="AA111" s="1872">
        <f t="shared" si="44"/>
        <v>2076.5500000000002</v>
      </c>
      <c r="AB111" s="1873">
        <f t="shared" si="45"/>
        <v>1</v>
      </c>
      <c r="AC111" s="1418">
        <f t="shared" si="27"/>
        <v>0</v>
      </c>
      <c r="AD111" s="1418">
        <f t="shared" si="28"/>
        <v>0</v>
      </c>
      <c r="AE111" s="1418">
        <v>2076.5500000000002</v>
      </c>
      <c r="AF111" s="1418">
        <f t="shared" si="29"/>
        <v>0</v>
      </c>
      <c r="AG111" s="1418">
        <v>349</v>
      </c>
      <c r="AH111" s="1418">
        <f t="shared" si="30"/>
        <v>0</v>
      </c>
      <c r="AI111" s="1429"/>
      <c r="AO111" s="2505">
        <v>0</v>
      </c>
      <c r="AP111" s="1418">
        <f t="shared" si="38"/>
        <v>0</v>
      </c>
      <c r="AQ111" s="1418">
        <f t="shared" si="31"/>
        <v>0</v>
      </c>
    </row>
    <row r="112" spans="1:43" s="1410" customFormat="1" ht="15.75">
      <c r="A112" s="2102"/>
      <c r="B112" s="1268" t="s">
        <v>2295</v>
      </c>
      <c r="C112" s="1241" t="s">
        <v>2922</v>
      </c>
      <c r="D112" s="1245" t="s">
        <v>37</v>
      </c>
      <c r="E112" s="1413">
        <v>7.52</v>
      </c>
      <c r="F112" s="1555">
        <v>124.37</v>
      </c>
      <c r="G112" s="1480">
        <v>131.33000000000001</v>
      </c>
      <c r="H112" s="1414">
        <v>135.22999999999999</v>
      </c>
      <c r="I112" s="1477">
        <f t="shared" si="25"/>
        <v>935.26</v>
      </c>
      <c r="J112" s="1477">
        <f t="shared" si="26"/>
        <v>987.6</v>
      </c>
      <c r="K112" s="1477">
        <v>0</v>
      </c>
      <c r="L112" s="1477">
        <f t="shared" si="32"/>
        <v>0</v>
      </c>
      <c r="M112" s="1477">
        <v>7.52</v>
      </c>
      <c r="N112" s="1477">
        <f t="shared" si="33"/>
        <v>7.52</v>
      </c>
      <c r="O112" s="1477">
        <f t="shared" si="34"/>
        <v>0</v>
      </c>
      <c r="P112" s="1477">
        <f t="shared" si="35"/>
        <v>987.6</v>
      </c>
      <c r="Q112" s="1477">
        <f t="shared" si="36"/>
        <v>1016.93</v>
      </c>
      <c r="R112" s="1576">
        <f t="shared" si="37"/>
        <v>1016.93</v>
      </c>
      <c r="S112" s="1869">
        <v>0</v>
      </c>
      <c r="T112" s="1866">
        <v>0</v>
      </c>
      <c r="U112" s="2439"/>
      <c r="V112" s="1866">
        <f t="shared" si="39"/>
        <v>0</v>
      </c>
      <c r="W112" s="1869">
        <f>S112+U112</f>
        <v>0</v>
      </c>
      <c r="X112" s="1870">
        <f t="shared" si="41"/>
        <v>0</v>
      </c>
      <c r="Y112" s="1871">
        <f t="shared" si="42"/>
        <v>0</v>
      </c>
      <c r="Z112" s="1694">
        <f t="shared" si="46"/>
        <v>7.52</v>
      </c>
      <c r="AA112" s="1872">
        <f t="shared" si="44"/>
        <v>1016.9295999999998</v>
      </c>
      <c r="AB112" s="1873">
        <f t="shared" si="45"/>
        <v>0.99999960665925858</v>
      </c>
      <c r="AC112" s="1418">
        <f t="shared" si="27"/>
        <v>4.0000000012696546E-4</v>
      </c>
      <c r="AD112" s="1418">
        <f t="shared" si="28"/>
        <v>0</v>
      </c>
      <c r="AE112" s="1418">
        <v>1016.9295999999998</v>
      </c>
      <c r="AF112" s="1418">
        <f t="shared" si="29"/>
        <v>-4.0000000012696546E-4</v>
      </c>
      <c r="AG112" s="1418">
        <v>135.22999999999999</v>
      </c>
      <c r="AH112" s="1418">
        <f t="shared" si="30"/>
        <v>0</v>
      </c>
      <c r="AI112" s="1428"/>
      <c r="AO112" s="2504">
        <v>0</v>
      </c>
      <c r="AP112" s="1418">
        <f t="shared" si="38"/>
        <v>0</v>
      </c>
      <c r="AQ112" s="1418">
        <f t="shared" si="31"/>
        <v>-4.0000000012696546E-4</v>
      </c>
    </row>
    <row r="113" spans="1:43" s="1410" customFormat="1" ht="15.75">
      <c r="A113" s="2102"/>
      <c r="B113" s="1272" t="s">
        <v>2296</v>
      </c>
      <c r="C113" s="1262" t="s">
        <v>2923</v>
      </c>
      <c r="D113" s="1273"/>
      <c r="E113" s="1415"/>
      <c r="F113" s="1267"/>
      <c r="G113" s="1480"/>
      <c r="H113" s="1416"/>
      <c r="I113" s="1477">
        <f t="shared" si="25"/>
        <v>0</v>
      </c>
      <c r="J113" s="1477">
        <f t="shared" si="26"/>
        <v>0</v>
      </c>
      <c r="K113" s="1477"/>
      <c r="L113" s="1477">
        <f t="shared" si="32"/>
        <v>0</v>
      </c>
      <c r="M113" s="1477"/>
      <c r="N113" s="1477">
        <f t="shared" si="33"/>
        <v>0</v>
      </c>
      <c r="O113" s="1477">
        <f t="shared" si="34"/>
        <v>0</v>
      </c>
      <c r="P113" s="1477">
        <f t="shared" si="35"/>
        <v>0</v>
      </c>
      <c r="Q113" s="1477">
        <f t="shared" si="36"/>
        <v>0</v>
      </c>
      <c r="R113" s="1576">
        <f t="shared" si="37"/>
        <v>0</v>
      </c>
      <c r="S113" s="1869"/>
      <c r="T113" s="1866">
        <v>0</v>
      </c>
      <c r="U113" s="2439"/>
      <c r="V113" s="1866">
        <f t="shared" si="39"/>
        <v>0</v>
      </c>
      <c r="W113" s="1869"/>
      <c r="X113" s="1870">
        <f t="shared" si="41"/>
        <v>0</v>
      </c>
      <c r="Y113" s="1871" t="str">
        <f t="shared" si="42"/>
        <v/>
      </c>
      <c r="Z113" s="1694">
        <f t="shared" si="46"/>
        <v>0</v>
      </c>
      <c r="AA113" s="1872">
        <f t="shared" si="44"/>
        <v>0</v>
      </c>
      <c r="AB113" s="1873" t="str">
        <f t="shared" si="45"/>
        <v/>
      </c>
      <c r="AC113" s="1418">
        <f t="shared" si="27"/>
        <v>0</v>
      </c>
      <c r="AD113" s="1418">
        <f t="shared" si="28"/>
        <v>0</v>
      </c>
      <c r="AE113" s="1418"/>
      <c r="AF113" s="1418">
        <f t="shared" si="29"/>
        <v>0</v>
      </c>
      <c r="AG113" s="1418"/>
      <c r="AH113" s="1418">
        <f t="shared" si="30"/>
        <v>0</v>
      </c>
      <c r="AI113" s="1428"/>
      <c r="AO113" s="2504">
        <v>0</v>
      </c>
      <c r="AP113" s="1418">
        <f t="shared" si="38"/>
        <v>0</v>
      </c>
      <c r="AQ113" s="1418">
        <f t="shared" si="31"/>
        <v>0</v>
      </c>
    </row>
    <row r="114" spans="1:43" s="1410" customFormat="1" ht="15.75">
      <c r="A114" s="2102"/>
      <c r="B114" s="1268" t="s">
        <v>2297</v>
      </c>
      <c r="C114" s="1241" t="s">
        <v>2924</v>
      </c>
      <c r="D114" s="1245" t="s">
        <v>40</v>
      </c>
      <c r="E114" s="1413">
        <v>145.55000000000001</v>
      </c>
      <c r="F114" s="1555">
        <v>326.66000000000003</v>
      </c>
      <c r="G114" s="1480">
        <v>341.41</v>
      </c>
      <c r="H114" s="1414">
        <v>349</v>
      </c>
      <c r="I114" s="1477">
        <f t="shared" si="25"/>
        <v>47545.36</v>
      </c>
      <c r="J114" s="1477">
        <f t="shared" si="26"/>
        <v>49692.23</v>
      </c>
      <c r="K114" s="1477">
        <v>0</v>
      </c>
      <c r="L114" s="1477">
        <f t="shared" si="32"/>
        <v>0</v>
      </c>
      <c r="M114" s="1477">
        <v>145.55000000000001</v>
      </c>
      <c r="N114" s="1477">
        <f t="shared" si="33"/>
        <v>145.55000000000001</v>
      </c>
      <c r="O114" s="1477">
        <f t="shared" si="34"/>
        <v>0</v>
      </c>
      <c r="P114" s="1477">
        <f t="shared" si="35"/>
        <v>49692.23</v>
      </c>
      <c r="Q114" s="1477">
        <f t="shared" si="36"/>
        <v>50796.95</v>
      </c>
      <c r="R114" s="1576">
        <f t="shared" si="37"/>
        <v>50796.95</v>
      </c>
      <c r="S114" s="1869">
        <v>0</v>
      </c>
      <c r="T114" s="1866">
        <v>0</v>
      </c>
      <c r="U114" s="2439"/>
      <c r="V114" s="1866">
        <f t="shared" si="39"/>
        <v>0</v>
      </c>
      <c r="W114" s="1869">
        <f>S114+U114</f>
        <v>0</v>
      </c>
      <c r="X114" s="1870">
        <f t="shared" si="41"/>
        <v>0</v>
      </c>
      <c r="Y114" s="1871">
        <f t="shared" si="42"/>
        <v>0</v>
      </c>
      <c r="Z114" s="1694">
        <f t="shared" si="46"/>
        <v>145.55000000000001</v>
      </c>
      <c r="AA114" s="1872">
        <f t="shared" si="44"/>
        <v>50796.950000000004</v>
      </c>
      <c r="AB114" s="1873">
        <f t="shared" si="45"/>
        <v>1.0000000000000002</v>
      </c>
      <c r="AC114" s="1418">
        <f t="shared" si="27"/>
        <v>0</v>
      </c>
      <c r="AD114" s="1418">
        <f t="shared" si="28"/>
        <v>0</v>
      </c>
      <c r="AE114" s="1418">
        <v>50796.950000000004</v>
      </c>
      <c r="AF114" s="1418">
        <f t="shared" si="29"/>
        <v>0</v>
      </c>
      <c r="AG114" s="1418">
        <v>349</v>
      </c>
      <c r="AH114" s="1418">
        <f t="shared" si="30"/>
        <v>0</v>
      </c>
      <c r="AI114" s="1428"/>
      <c r="AO114" s="2504">
        <v>0</v>
      </c>
      <c r="AP114" s="1418">
        <f t="shared" si="38"/>
        <v>0</v>
      </c>
      <c r="AQ114" s="1418">
        <f t="shared" si="31"/>
        <v>0</v>
      </c>
    </row>
    <row r="115" spans="1:43" s="1410" customFormat="1" ht="15.75">
      <c r="A115" s="2102"/>
      <c r="B115" s="1268" t="s">
        <v>2298</v>
      </c>
      <c r="C115" s="1241" t="s">
        <v>2925</v>
      </c>
      <c r="D115" s="1245" t="s">
        <v>37</v>
      </c>
      <c r="E115" s="1413">
        <v>287.45999999999998</v>
      </c>
      <c r="F115" s="1555">
        <v>59.92</v>
      </c>
      <c r="G115" s="1480">
        <v>62.54</v>
      </c>
      <c r="H115" s="1414">
        <v>63.97</v>
      </c>
      <c r="I115" s="1477">
        <f t="shared" si="25"/>
        <v>17224.599999999999</v>
      </c>
      <c r="J115" s="1477">
        <f t="shared" si="26"/>
        <v>17977.75</v>
      </c>
      <c r="K115" s="1477">
        <v>0</v>
      </c>
      <c r="L115" s="1477">
        <f t="shared" si="32"/>
        <v>0</v>
      </c>
      <c r="M115" s="1477">
        <v>287.45999999999998</v>
      </c>
      <c r="N115" s="1477">
        <f t="shared" si="33"/>
        <v>287.45999999999998</v>
      </c>
      <c r="O115" s="1477">
        <f t="shared" si="34"/>
        <v>0</v>
      </c>
      <c r="P115" s="1477">
        <f t="shared" si="35"/>
        <v>17977.75</v>
      </c>
      <c r="Q115" s="1477">
        <f t="shared" si="36"/>
        <v>18388.82</v>
      </c>
      <c r="R115" s="1576">
        <f t="shared" si="37"/>
        <v>18388.82</v>
      </c>
      <c r="S115" s="1869">
        <v>0</v>
      </c>
      <c r="T115" s="1866">
        <v>0</v>
      </c>
      <c r="U115" s="2439"/>
      <c r="V115" s="1866">
        <f t="shared" si="39"/>
        <v>0</v>
      </c>
      <c r="W115" s="1869">
        <f>S115+U115</f>
        <v>0</v>
      </c>
      <c r="X115" s="1870">
        <f t="shared" si="41"/>
        <v>0</v>
      </c>
      <c r="Y115" s="1871">
        <f t="shared" si="42"/>
        <v>0</v>
      </c>
      <c r="Z115" s="1694">
        <f t="shared" si="46"/>
        <v>287.45999999999998</v>
      </c>
      <c r="AA115" s="1872">
        <f t="shared" si="44"/>
        <v>18388.816199999997</v>
      </c>
      <c r="AB115" s="1873">
        <f t="shared" si="45"/>
        <v>0.99999979335270006</v>
      </c>
      <c r="AC115" s="1418">
        <f t="shared" si="27"/>
        <v>3.8000000022293534E-3</v>
      </c>
      <c r="AD115" s="1418">
        <f t="shared" si="28"/>
        <v>0</v>
      </c>
      <c r="AE115" s="1418">
        <v>18388.816199999997</v>
      </c>
      <c r="AF115" s="1418">
        <f t="shared" si="29"/>
        <v>-3.8000000022293534E-3</v>
      </c>
      <c r="AG115" s="1418">
        <v>63.97</v>
      </c>
      <c r="AH115" s="1418">
        <f t="shared" si="30"/>
        <v>0</v>
      </c>
      <c r="AI115" s="1428"/>
      <c r="AO115" s="2504">
        <v>0</v>
      </c>
      <c r="AP115" s="1418">
        <f t="shared" si="38"/>
        <v>0</v>
      </c>
      <c r="AQ115" s="1418">
        <f t="shared" si="31"/>
        <v>-3.8000000022293534E-3</v>
      </c>
    </row>
    <row r="116" spans="1:43" s="1410" customFormat="1" ht="15.75">
      <c r="A116" s="2102" t="s">
        <v>3619</v>
      </c>
      <c r="B116" s="1272" t="s">
        <v>2299</v>
      </c>
      <c r="C116" s="1262" t="s">
        <v>2926</v>
      </c>
      <c r="D116" s="1273"/>
      <c r="E116" s="1415"/>
      <c r="F116" s="1267"/>
      <c r="G116" s="1480"/>
      <c r="H116" s="1416"/>
      <c r="I116" s="1477">
        <f t="shared" si="25"/>
        <v>0</v>
      </c>
      <c r="J116" s="1477">
        <f t="shared" si="26"/>
        <v>0</v>
      </c>
      <c r="K116" s="1477"/>
      <c r="L116" s="1477">
        <f t="shared" si="32"/>
        <v>0</v>
      </c>
      <c r="M116" s="1477"/>
      <c r="N116" s="1477">
        <f t="shared" si="33"/>
        <v>0</v>
      </c>
      <c r="O116" s="1477">
        <f t="shared" si="34"/>
        <v>0</v>
      </c>
      <c r="P116" s="1477">
        <f t="shared" si="35"/>
        <v>0</v>
      </c>
      <c r="Q116" s="1477">
        <f t="shared" si="36"/>
        <v>0</v>
      </c>
      <c r="R116" s="1576">
        <f t="shared" si="37"/>
        <v>0</v>
      </c>
      <c r="S116" s="1869"/>
      <c r="T116" s="1866">
        <v>0</v>
      </c>
      <c r="U116" s="2439"/>
      <c r="V116" s="1866">
        <f t="shared" si="39"/>
        <v>0</v>
      </c>
      <c r="W116" s="1869"/>
      <c r="X116" s="1870">
        <f t="shared" si="41"/>
        <v>0</v>
      </c>
      <c r="Y116" s="1871" t="str">
        <f t="shared" si="42"/>
        <v/>
      </c>
      <c r="Z116" s="1694">
        <f t="shared" si="46"/>
        <v>0</v>
      </c>
      <c r="AA116" s="1872">
        <f t="shared" si="44"/>
        <v>0</v>
      </c>
      <c r="AB116" s="1873" t="str">
        <f t="shared" si="45"/>
        <v/>
      </c>
      <c r="AC116" s="1418">
        <f t="shared" si="27"/>
        <v>0</v>
      </c>
      <c r="AD116" s="1418">
        <f t="shared" si="28"/>
        <v>0</v>
      </c>
      <c r="AE116" s="1418"/>
      <c r="AF116" s="1418">
        <f t="shared" si="29"/>
        <v>0</v>
      </c>
      <c r="AG116" s="1418"/>
      <c r="AH116" s="1418">
        <f t="shared" si="30"/>
        <v>0</v>
      </c>
      <c r="AI116" s="1428"/>
      <c r="AO116" s="2504">
        <v>0</v>
      </c>
      <c r="AP116" s="1418">
        <f t="shared" si="38"/>
        <v>0</v>
      </c>
      <c r="AQ116" s="1418">
        <f t="shared" si="31"/>
        <v>0</v>
      </c>
    </row>
    <row r="117" spans="1:43" s="1423" customFormat="1" ht="15.75">
      <c r="A117" s="2228" t="s">
        <v>3619</v>
      </c>
      <c r="B117" s="2130" t="s">
        <v>2300</v>
      </c>
      <c r="C117" s="2131" t="s">
        <v>2927</v>
      </c>
      <c r="D117" s="2222" t="s">
        <v>37</v>
      </c>
      <c r="E117" s="2223">
        <v>5765.66</v>
      </c>
      <c r="F117" s="2224">
        <v>37.22</v>
      </c>
      <c r="G117" s="2225">
        <v>38.36</v>
      </c>
      <c r="H117" s="2226">
        <v>38.950000000000003</v>
      </c>
      <c r="I117" s="2227">
        <f t="shared" si="25"/>
        <v>214597.87</v>
      </c>
      <c r="J117" s="2227">
        <f t="shared" si="26"/>
        <v>221170.72</v>
      </c>
      <c r="K117" s="2227">
        <v>190.82</v>
      </c>
      <c r="L117" s="2227">
        <f t="shared" si="32"/>
        <v>190.81999999999971</v>
      </c>
      <c r="M117" s="2227">
        <v>5574.84</v>
      </c>
      <c r="N117" s="2227">
        <f t="shared" si="33"/>
        <v>5574.84</v>
      </c>
      <c r="O117" s="2227">
        <f t="shared" si="34"/>
        <v>7319.86</v>
      </c>
      <c r="P117" s="2227">
        <f t="shared" si="35"/>
        <v>213850.86</v>
      </c>
      <c r="Q117" s="2227">
        <f t="shared" si="36"/>
        <v>217140.02</v>
      </c>
      <c r="R117" s="1576">
        <f t="shared" si="37"/>
        <v>224459.87999999998</v>
      </c>
      <c r="S117" s="1865">
        <v>3378.7499999999995</v>
      </c>
      <c r="T117" s="2446">
        <v>131489.72870000001</v>
      </c>
      <c r="U117" s="2439">
        <v>151.13</v>
      </c>
      <c r="V117" s="2446">
        <f t="shared" si="39"/>
        <v>5886.5135</v>
      </c>
      <c r="W117" s="1865">
        <f>S117+U117</f>
        <v>3529.8799999999997</v>
      </c>
      <c r="X117" s="2447">
        <f t="shared" si="41"/>
        <v>137376.24220000001</v>
      </c>
      <c r="Y117" s="2448">
        <f t="shared" si="42"/>
        <v>0.61203027552184397</v>
      </c>
      <c r="Z117" s="2449">
        <f t="shared" si="46"/>
        <v>2235.7800000000002</v>
      </c>
      <c r="AA117" s="2450">
        <f t="shared" si="44"/>
        <v>87083.631000000008</v>
      </c>
      <c r="AB117" s="2451">
        <f t="shared" si="45"/>
        <v>0.38796969418321003</v>
      </c>
      <c r="AC117" s="1630">
        <f t="shared" si="27"/>
        <v>6.7999999591847882E-3</v>
      </c>
      <c r="AD117" s="1630">
        <f t="shared" si="28"/>
        <v>0</v>
      </c>
      <c r="AE117" s="1630">
        <v>224459.87320000003</v>
      </c>
      <c r="AF117" s="1630">
        <f t="shared" si="29"/>
        <v>-6.7999999446328729E-3</v>
      </c>
      <c r="AG117" s="1630">
        <v>38.950000000000003</v>
      </c>
      <c r="AH117" s="1630">
        <f t="shared" si="30"/>
        <v>0</v>
      </c>
      <c r="AI117" s="1629"/>
      <c r="AO117" s="2507">
        <v>123317.62920000001</v>
      </c>
      <c r="AP117" s="1418">
        <f t="shared" si="38"/>
        <v>-14058.612999999998</v>
      </c>
      <c r="AQ117" s="1630">
        <f t="shared" si="31"/>
        <v>-6.7999999446328729E-3</v>
      </c>
    </row>
    <row r="118" spans="1:43" s="1231" customFormat="1" ht="15.75">
      <c r="A118" s="2103" t="s">
        <v>3619</v>
      </c>
      <c r="B118" s="1263" t="s">
        <v>52</v>
      </c>
      <c r="C118" s="1264" t="s">
        <v>2928</v>
      </c>
      <c r="D118" s="1265"/>
      <c r="E118" s="1266"/>
      <c r="F118" s="1267"/>
      <c r="G118" s="1480"/>
      <c r="H118" s="1267"/>
      <c r="I118" s="1477">
        <f t="shared" si="25"/>
        <v>0</v>
      </c>
      <c r="J118" s="1477">
        <f t="shared" si="26"/>
        <v>0</v>
      </c>
      <c r="K118" s="1477"/>
      <c r="L118" s="1477">
        <f t="shared" si="32"/>
        <v>0</v>
      </c>
      <c r="M118" s="1477"/>
      <c r="N118" s="1477">
        <f t="shared" si="33"/>
        <v>0</v>
      </c>
      <c r="O118" s="1477">
        <f t="shared" si="34"/>
        <v>0</v>
      </c>
      <c r="P118" s="1477">
        <f t="shared" si="35"/>
        <v>0</v>
      </c>
      <c r="Q118" s="1477">
        <f t="shared" si="36"/>
        <v>0</v>
      </c>
      <c r="R118" s="1576"/>
      <c r="S118" s="2452"/>
      <c r="T118" s="1866"/>
      <c r="U118" s="2453"/>
      <c r="V118" s="1866"/>
      <c r="W118" s="2452"/>
      <c r="X118" s="1870"/>
      <c r="Y118" s="1871"/>
      <c r="Z118" s="1694"/>
      <c r="AA118" s="1872"/>
      <c r="AB118" s="1873" t="str">
        <f t="shared" si="45"/>
        <v/>
      </c>
      <c r="AC118" s="1418">
        <f t="shared" si="27"/>
        <v>0</v>
      </c>
      <c r="AD118" s="1418">
        <f t="shared" si="28"/>
        <v>0</v>
      </c>
      <c r="AE118" s="1230"/>
      <c r="AF118" s="1230">
        <f t="shared" si="29"/>
        <v>0</v>
      </c>
      <c r="AG118" s="1230"/>
      <c r="AH118" s="1418">
        <f t="shared" si="30"/>
        <v>0</v>
      </c>
      <c r="AI118" s="1346"/>
      <c r="AO118" s="1736"/>
      <c r="AP118" s="1418">
        <f t="shared" si="38"/>
        <v>0</v>
      </c>
      <c r="AQ118" s="1418">
        <f t="shared" si="31"/>
        <v>0</v>
      </c>
    </row>
    <row r="119" spans="1:43" s="1409" customFormat="1" ht="15.75">
      <c r="A119" s="2101"/>
      <c r="B119" s="1272" t="s">
        <v>56</v>
      </c>
      <c r="C119" s="1262" t="s">
        <v>2929</v>
      </c>
      <c r="D119" s="1273"/>
      <c r="E119" s="1415"/>
      <c r="F119" s="1267"/>
      <c r="G119" s="1480"/>
      <c r="H119" s="1416"/>
      <c r="I119" s="1477">
        <f t="shared" si="25"/>
        <v>0</v>
      </c>
      <c r="J119" s="1477">
        <f t="shared" si="26"/>
        <v>0</v>
      </c>
      <c r="K119" s="1477"/>
      <c r="L119" s="1477">
        <f t="shared" si="32"/>
        <v>0</v>
      </c>
      <c r="M119" s="1477"/>
      <c r="N119" s="1477">
        <f t="shared" si="33"/>
        <v>0</v>
      </c>
      <c r="O119" s="1477">
        <f t="shared" si="34"/>
        <v>0</v>
      </c>
      <c r="P119" s="1477">
        <f t="shared" si="35"/>
        <v>0</v>
      </c>
      <c r="Q119" s="1477">
        <f t="shared" si="36"/>
        <v>0</v>
      </c>
      <c r="R119" s="1576"/>
      <c r="S119" s="1869"/>
      <c r="T119" s="1866"/>
      <c r="U119" s="2439"/>
      <c r="V119" s="1866"/>
      <c r="W119" s="1869"/>
      <c r="X119" s="1870"/>
      <c r="Y119" s="1871"/>
      <c r="Z119" s="1694"/>
      <c r="AA119" s="1872"/>
      <c r="AB119" s="1873" t="str">
        <f t="shared" si="45"/>
        <v/>
      </c>
      <c r="AC119" s="1418">
        <f t="shared" si="27"/>
        <v>0</v>
      </c>
      <c r="AD119" s="1418">
        <f t="shared" si="28"/>
        <v>0</v>
      </c>
      <c r="AE119" s="1418"/>
      <c r="AF119" s="1418">
        <f t="shared" si="29"/>
        <v>0</v>
      </c>
      <c r="AG119" s="1418"/>
      <c r="AH119" s="1418">
        <f t="shared" si="30"/>
        <v>0</v>
      </c>
      <c r="AI119" s="1429"/>
      <c r="AO119" s="2505"/>
      <c r="AP119" s="1418">
        <f t="shared" si="38"/>
        <v>0</v>
      </c>
      <c r="AQ119" s="1418">
        <f t="shared" si="31"/>
        <v>0</v>
      </c>
    </row>
    <row r="120" spans="1:43" s="1410" customFormat="1" ht="15.75">
      <c r="A120" s="2102"/>
      <c r="B120" s="1268" t="s">
        <v>649</v>
      </c>
      <c r="C120" s="2131" t="s">
        <v>2930</v>
      </c>
      <c r="D120" s="1245" t="s">
        <v>40</v>
      </c>
      <c r="E120" s="1413">
        <v>919.48</v>
      </c>
      <c r="F120" s="1555">
        <v>434.77</v>
      </c>
      <c r="G120" s="1480">
        <v>435.75</v>
      </c>
      <c r="H120" s="1414">
        <v>436.26</v>
      </c>
      <c r="I120" s="1477">
        <f t="shared" si="25"/>
        <v>399762.32</v>
      </c>
      <c r="J120" s="1477">
        <f t="shared" si="26"/>
        <v>400663.41</v>
      </c>
      <c r="K120" s="1477">
        <v>398.21026999999998</v>
      </c>
      <c r="L120" s="1477">
        <f t="shared" si="32"/>
        <v>398.21000000000004</v>
      </c>
      <c r="M120" s="1477">
        <v>521.26972999999998</v>
      </c>
      <c r="N120" s="1477">
        <f t="shared" si="33"/>
        <v>521.27</v>
      </c>
      <c r="O120" s="1477">
        <f t="shared" si="34"/>
        <v>173520.01</v>
      </c>
      <c r="P120" s="1477">
        <f t="shared" si="35"/>
        <v>227143.4</v>
      </c>
      <c r="Q120" s="1477">
        <f t="shared" si="36"/>
        <v>227409.25</v>
      </c>
      <c r="R120" s="1576">
        <f t="shared" si="37"/>
        <v>400929.26</v>
      </c>
      <c r="S120" s="1869">
        <v>919.48</v>
      </c>
      <c r="T120" s="1866">
        <v>400929.25756229996</v>
      </c>
      <c r="U120" s="2462"/>
      <c r="V120" s="1866">
        <f t="shared" si="39"/>
        <v>0</v>
      </c>
      <c r="W120" s="1869">
        <f>S120+U120</f>
        <v>919.48</v>
      </c>
      <c r="X120" s="1870">
        <f t="shared" si="41"/>
        <v>400929.25756229996</v>
      </c>
      <c r="Y120" s="1871">
        <f t="shared" si="42"/>
        <v>0.99999999391987493</v>
      </c>
      <c r="Z120" s="1694">
        <f>+E120-W120</f>
        <v>0</v>
      </c>
      <c r="AA120" s="1872">
        <f t="shared" si="44"/>
        <v>0</v>
      </c>
      <c r="AB120" s="1873">
        <f t="shared" si="45"/>
        <v>0</v>
      </c>
      <c r="AC120" s="1418">
        <f t="shared" si="27"/>
        <v>2.4377000518143177E-3</v>
      </c>
      <c r="AD120" s="1418">
        <f t="shared" si="28"/>
        <v>0</v>
      </c>
      <c r="AE120" s="1418">
        <v>400929.25756229996</v>
      </c>
      <c r="AF120" s="1418">
        <f t="shared" si="29"/>
        <v>-2.4377000518143177E-3</v>
      </c>
      <c r="AG120" s="1418">
        <v>436.26</v>
      </c>
      <c r="AH120" s="1418">
        <f t="shared" si="30"/>
        <v>0</v>
      </c>
      <c r="AI120" s="1428"/>
      <c r="AO120" s="2504">
        <v>400929.25756229996</v>
      </c>
      <c r="AP120" s="1418">
        <f t="shared" si="38"/>
        <v>0</v>
      </c>
      <c r="AQ120" s="1418">
        <f t="shared" si="31"/>
        <v>-2.4377000518143177E-3</v>
      </c>
    </row>
    <row r="121" spans="1:43" s="1410" customFormat="1" ht="15.75">
      <c r="A121" s="2102"/>
      <c r="B121" s="1268" t="s">
        <v>650</v>
      </c>
      <c r="C121" s="2131" t="s">
        <v>2931</v>
      </c>
      <c r="D121" s="1245" t="s">
        <v>48</v>
      </c>
      <c r="E121" s="1413">
        <v>46543.72</v>
      </c>
      <c r="F121" s="1555">
        <v>4.9400000000000004</v>
      </c>
      <c r="G121" s="1480">
        <v>5.05</v>
      </c>
      <c r="H121" s="1414">
        <v>5.1100000000000003</v>
      </c>
      <c r="I121" s="1477">
        <f t="shared" si="25"/>
        <v>229925.98</v>
      </c>
      <c r="J121" s="1477">
        <f t="shared" si="26"/>
        <v>235045.79</v>
      </c>
      <c r="K121" s="1477">
        <v>19447.650440000001</v>
      </c>
      <c r="L121" s="1477">
        <f t="shared" si="32"/>
        <v>19447.650000000001</v>
      </c>
      <c r="M121" s="1477">
        <v>27096.06956</v>
      </c>
      <c r="N121" s="1477">
        <f t="shared" si="33"/>
        <v>27096.07</v>
      </c>
      <c r="O121" s="1477">
        <f t="shared" si="34"/>
        <v>98210.63</v>
      </c>
      <c r="P121" s="1477">
        <f t="shared" si="35"/>
        <v>136835.15</v>
      </c>
      <c r="Q121" s="1477">
        <f t="shared" si="36"/>
        <v>138460.92000000001</v>
      </c>
      <c r="R121" s="1576">
        <f t="shared" si="37"/>
        <v>236671.55000000002</v>
      </c>
      <c r="S121" s="1869">
        <v>46543.716440000004</v>
      </c>
      <c r="T121" s="1866">
        <v>236671.53198200001</v>
      </c>
      <c r="U121" s="2462"/>
      <c r="V121" s="1866">
        <f t="shared" si="39"/>
        <v>0</v>
      </c>
      <c r="W121" s="1869">
        <f>S121+U121</f>
        <v>46543.716440000004</v>
      </c>
      <c r="X121" s="1870">
        <f t="shared" si="41"/>
        <v>236671.53198200001</v>
      </c>
      <c r="Y121" s="1871">
        <f t="shared" si="42"/>
        <v>0.99999992386917647</v>
      </c>
      <c r="Z121" s="1694">
        <f>+E121-W121</f>
        <v>3.559999997378327E-3</v>
      </c>
      <c r="AA121" s="1872">
        <f t="shared" si="44"/>
        <v>1.8191599986603253E-2</v>
      </c>
      <c r="AB121" s="1873">
        <f t="shared" si="45"/>
        <v>7.6864329432934601E-8</v>
      </c>
      <c r="AC121" s="1418">
        <f t="shared" si="27"/>
        <v>-1.735999841184846E-4</v>
      </c>
      <c r="AD121" s="1418">
        <f t="shared" si="28"/>
        <v>0</v>
      </c>
      <c r="AE121" s="1418">
        <v>236671.55017360003</v>
      </c>
      <c r="AF121" s="1418">
        <f t="shared" si="29"/>
        <v>1.7360001220367849E-4</v>
      </c>
      <c r="AG121" s="1418">
        <v>5.1100000000000003</v>
      </c>
      <c r="AH121" s="1418">
        <f t="shared" si="30"/>
        <v>0</v>
      </c>
      <c r="AI121" s="1428"/>
      <c r="AO121" s="2504">
        <v>236671.53198200001</v>
      </c>
      <c r="AP121" s="1418">
        <f t="shared" si="38"/>
        <v>0</v>
      </c>
      <c r="AQ121" s="1418">
        <f t="shared" si="31"/>
        <v>1.7359998309984803E-4</v>
      </c>
    </row>
    <row r="122" spans="1:43" s="1410" customFormat="1" ht="15.75">
      <c r="A122" s="2102"/>
      <c r="B122" s="1272" t="s">
        <v>57</v>
      </c>
      <c r="C122" s="1262" t="s">
        <v>2932</v>
      </c>
      <c r="D122" s="1273"/>
      <c r="E122" s="1415"/>
      <c r="F122" s="1267"/>
      <c r="G122" s="1480"/>
      <c r="H122" s="1416"/>
      <c r="I122" s="1477">
        <f t="shared" si="25"/>
        <v>0</v>
      </c>
      <c r="J122" s="1477">
        <f t="shared" si="26"/>
        <v>0</v>
      </c>
      <c r="K122" s="1477"/>
      <c r="L122" s="1477">
        <f t="shared" si="32"/>
        <v>0</v>
      </c>
      <c r="M122" s="1477"/>
      <c r="N122" s="1477">
        <f t="shared" si="33"/>
        <v>0</v>
      </c>
      <c r="O122" s="1477">
        <f t="shared" si="34"/>
        <v>0</v>
      </c>
      <c r="P122" s="1477">
        <f t="shared" si="35"/>
        <v>0</v>
      </c>
      <c r="Q122" s="1477">
        <f t="shared" si="36"/>
        <v>0</v>
      </c>
      <c r="R122" s="1576">
        <f t="shared" si="37"/>
        <v>0</v>
      </c>
      <c r="S122" s="1869"/>
      <c r="T122" s="1866"/>
      <c r="U122" s="2462"/>
      <c r="V122" s="1866">
        <f t="shared" si="39"/>
        <v>0</v>
      </c>
      <c r="W122" s="1869"/>
      <c r="X122" s="1870"/>
      <c r="Y122" s="1871" t="str">
        <f t="shared" si="42"/>
        <v/>
      </c>
      <c r="Z122" s="1694"/>
      <c r="AA122" s="1872">
        <f t="shared" si="44"/>
        <v>0</v>
      </c>
      <c r="AB122" s="1873" t="str">
        <f t="shared" si="45"/>
        <v/>
      </c>
      <c r="AC122" s="1418">
        <f t="shared" si="27"/>
        <v>0</v>
      </c>
      <c r="AD122" s="1418">
        <f t="shared" si="28"/>
        <v>0</v>
      </c>
      <c r="AE122" s="1418"/>
      <c r="AF122" s="1418">
        <f t="shared" si="29"/>
        <v>0</v>
      </c>
      <c r="AG122" s="1418"/>
      <c r="AH122" s="1418">
        <f t="shared" si="30"/>
        <v>0</v>
      </c>
      <c r="AI122" s="1428"/>
      <c r="AO122" s="2504"/>
      <c r="AP122" s="1418">
        <f t="shared" si="38"/>
        <v>0</v>
      </c>
      <c r="AQ122" s="1418">
        <f t="shared" si="31"/>
        <v>0</v>
      </c>
    </row>
    <row r="123" spans="1:43" s="1410" customFormat="1" ht="15.75">
      <c r="A123" s="2102"/>
      <c r="B123" s="1268" t="s">
        <v>655</v>
      </c>
      <c r="C123" s="1241" t="s">
        <v>2933</v>
      </c>
      <c r="D123" s="1245" t="s">
        <v>40</v>
      </c>
      <c r="E123" s="1413">
        <v>143.9</v>
      </c>
      <c r="F123" s="1555">
        <v>437.24</v>
      </c>
      <c r="G123" s="1480">
        <v>438.44</v>
      </c>
      <c r="H123" s="1414">
        <v>439.07</v>
      </c>
      <c r="I123" s="1477">
        <f t="shared" si="25"/>
        <v>62918.84</v>
      </c>
      <c r="J123" s="1477">
        <f t="shared" si="26"/>
        <v>63091.519999999997</v>
      </c>
      <c r="K123" s="1477">
        <v>51.009549999999997</v>
      </c>
      <c r="L123" s="1477">
        <f t="shared" si="32"/>
        <v>51.010000000000005</v>
      </c>
      <c r="M123" s="1477">
        <v>92.890450000000016</v>
      </c>
      <c r="N123" s="1477">
        <f t="shared" si="33"/>
        <v>92.89</v>
      </c>
      <c r="O123" s="1477">
        <f t="shared" si="34"/>
        <v>22364.82</v>
      </c>
      <c r="P123" s="1477">
        <f t="shared" si="35"/>
        <v>40726.69</v>
      </c>
      <c r="Q123" s="1477">
        <f t="shared" si="36"/>
        <v>40785.21</v>
      </c>
      <c r="R123" s="1576">
        <f t="shared" si="37"/>
        <v>63150.03</v>
      </c>
      <c r="S123" s="1869">
        <v>132.74455</v>
      </c>
      <c r="T123" s="1866">
        <v>58252.013551999989</v>
      </c>
      <c r="U123" s="2462"/>
      <c r="V123" s="1866">
        <f t="shared" si="39"/>
        <v>0</v>
      </c>
      <c r="W123" s="1869">
        <f>S123+U123</f>
        <v>132.74455</v>
      </c>
      <c r="X123" s="1870">
        <f t="shared" si="41"/>
        <v>58252.013551999989</v>
      </c>
      <c r="Y123" s="1871">
        <f t="shared" si="42"/>
        <v>0.92243841455023834</v>
      </c>
      <c r="Z123" s="1694">
        <f>+E123-W123</f>
        <v>11.155450000000002</v>
      </c>
      <c r="AA123" s="1872">
        <f t="shared" si="44"/>
        <v>4898.0234315000007</v>
      </c>
      <c r="AB123" s="1873">
        <f t="shared" si="45"/>
        <v>7.756169603561551E-2</v>
      </c>
      <c r="AC123" s="2092">
        <f t="shared" si="27"/>
        <v>-6.9834999912927742E-3</v>
      </c>
      <c r="AD123" s="2092">
        <f t="shared" si="28"/>
        <v>0</v>
      </c>
      <c r="AE123" s="1418">
        <v>63150.036983500002</v>
      </c>
      <c r="AF123" s="1418">
        <f t="shared" si="29"/>
        <v>6.9835000031162053E-3</v>
      </c>
      <c r="AG123" s="1418">
        <v>439.07</v>
      </c>
      <c r="AH123" s="1418">
        <f t="shared" si="30"/>
        <v>0</v>
      </c>
      <c r="AI123" s="1428"/>
      <c r="AO123" s="2504">
        <v>58252.013551999989</v>
      </c>
      <c r="AP123" s="1418">
        <f t="shared" si="38"/>
        <v>0</v>
      </c>
      <c r="AQ123" s="1418">
        <f t="shared" si="31"/>
        <v>6.9834999885642901E-3</v>
      </c>
    </row>
    <row r="124" spans="1:43" s="1409" customFormat="1" ht="15.75">
      <c r="A124" s="2101"/>
      <c r="B124" s="1268" t="s">
        <v>656</v>
      </c>
      <c r="C124" s="1241" t="s">
        <v>2934</v>
      </c>
      <c r="D124" s="1245" t="s">
        <v>37</v>
      </c>
      <c r="E124" s="1413">
        <v>1104.6600000000001</v>
      </c>
      <c r="F124" s="1555">
        <v>73.66</v>
      </c>
      <c r="G124" s="1480">
        <v>76.81</v>
      </c>
      <c r="H124" s="1414">
        <v>78.53</v>
      </c>
      <c r="I124" s="1477">
        <f t="shared" si="25"/>
        <v>81369.259999999995</v>
      </c>
      <c r="J124" s="1477">
        <f t="shared" si="26"/>
        <v>84848.93</v>
      </c>
      <c r="K124" s="1477">
        <v>384.83749999999998</v>
      </c>
      <c r="L124" s="1477">
        <f t="shared" si="32"/>
        <v>384.84000000000003</v>
      </c>
      <c r="M124" s="1477">
        <v>719.8225000000001</v>
      </c>
      <c r="N124" s="1477">
        <f t="shared" si="33"/>
        <v>719.82</v>
      </c>
      <c r="O124" s="1477">
        <f t="shared" si="34"/>
        <v>29559.56</v>
      </c>
      <c r="P124" s="1477">
        <f t="shared" si="35"/>
        <v>55289.37</v>
      </c>
      <c r="Q124" s="1477">
        <f t="shared" si="36"/>
        <v>56527.46</v>
      </c>
      <c r="R124" s="1576">
        <f t="shared" si="37"/>
        <v>86087.02</v>
      </c>
      <c r="S124" s="1869">
        <v>821.54449999999997</v>
      </c>
      <c r="T124" s="1866">
        <v>63853.96908499999</v>
      </c>
      <c r="U124" s="2462"/>
      <c r="V124" s="1866">
        <f t="shared" si="39"/>
        <v>0</v>
      </c>
      <c r="W124" s="1869">
        <f>S124+U124</f>
        <v>821.54449999999997</v>
      </c>
      <c r="X124" s="1870">
        <f t="shared" si="41"/>
        <v>63853.96908499999</v>
      </c>
      <c r="Y124" s="1871">
        <f t="shared" si="42"/>
        <v>0.74173747778701116</v>
      </c>
      <c r="Z124" s="1694">
        <f>+E124-W124</f>
        <v>283.11550000000011</v>
      </c>
      <c r="AA124" s="1872">
        <f t="shared" si="44"/>
        <v>22233.060215000009</v>
      </c>
      <c r="AB124" s="1873">
        <f t="shared" si="45"/>
        <v>0.25826263024321211</v>
      </c>
      <c r="AC124" s="2092">
        <f t="shared" si="27"/>
        <v>-9.2999999942549039E-3</v>
      </c>
      <c r="AD124" s="2092">
        <f t="shared" si="28"/>
        <v>0</v>
      </c>
      <c r="AE124" s="1418">
        <v>86087.029299999995</v>
      </c>
      <c r="AF124" s="1418">
        <f t="shared" si="29"/>
        <v>9.2999999906169251E-3</v>
      </c>
      <c r="AG124" s="1418">
        <v>78.53</v>
      </c>
      <c r="AH124" s="1418">
        <f t="shared" si="30"/>
        <v>0</v>
      </c>
      <c r="AI124" s="1429"/>
      <c r="AO124" s="2505">
        <v>63853.96908499999</v>
      </c>
      <c r="AP124" s="1418">
        <f t="shared" si="38"/>
        <v>0</v>
      </c>
      <c r="AQ124" s="1418">
        <f t="shared" si="31"/>
        <v>9.2999999906169251E-3</v>
      </c>
    </row>
    <row r="125" spans="1:43" s="1410" customFormat="1" ht="15.75">
      <c r="A125" s="2102"/>
      <c r="B125" s="1268" t="s">
        <v>657</v>
      </c>
      <c r="C125" s="1241" t="s">
        <v>2935</v>
      </c>
      <c r="D125" s="1245" t="s">
        <v>48</v>
      </c>
      <c r="E125" s="1413">
        <v>17403.150000000001</v>
      </c>
      <c r="F125" s="1555">
        <v>4.9400000000000004</v>
      </c>
      <c r="G125" s="1480">
        <v>5.05</v>
      </c>
      <c r="H125" s="1414">
        <v>5.1100000000000003</v>
      </c>
      <c r="I125" s="1477">
        <f t="shared" si="25"/>
        <v>85971.56</v>
      </c>
      <c r="J125" s="1477">
        <f t="shared" si="26"/>
        <v>87885.91</v>
      </c>
      <c r="K125" s="1477">
        <v>8182.1800432900436</v>
      </c>
      <c r="L125" s="1477">
        <f t="shared" si="32"/>
        <v>8182.1800000000021</v>
      </c>
      <c r="M125" s="1477">
        <v>9220.9699567099578</v>
      </c>
      <c r="N125" s="1477">
        <f t="shared" si="33"/>
        <v>9220.9699999999993</v>
      </c>
      <c r="O125" s="1477">
        <f t="shared" si="34"/>
        <v>41320.01</v>
      </c>
      <c r="P125" s="1477">
        <f t="shared" si="35"/>
        <v>46565.9</v>
      </c>
      <c r="Q125" s="1477">
        <f t="shared" si="36"/>
        <v>47119.16</v>
      </c>
      <c r="R125" s="1576">
        <f t="shared" si="37"/>
        <v>88439.170000000013</v>
      </c>
      <c r="S125" s="1869">
        <v>17403.150000000001</v>
      </c>
      <c r="T125" s="1866">
        <v>88439.165697402583</v>
      </c>
      <c r="U125" s="2462"/>
      <c r="V125" s="1866">
        <f t="shared" si="39"/>
        <v>0</v>
      </c>
      <c r="W125" s="1869">
        <f>S125+U125</f>
        <v>17403.150000000001</v>
      </c>
      <c r="X125" s="1870">
        <f t="shared" si="41"/>
        <v>88439.165697402583</v>
      </c>
      <c r="Y125" s="1871">
        <f t="shared" si="42"/>
        <v>0.99999995134964037</v>
      </c>
      <c r="Z125" s="1694">
        <f>+E125-W125</f>
        <v>0</v>
      </c>
      <c r="AA125" s="1872">
        <f t="shared" si="44"/>
        <v>0</v>
      </c>
      <c r="AB125" s="1873">
        <f t="shared" si="45"/>
        <v>0</v>
      </c>
      <c r="AC125" s="2092">
        <f t="shared" si="27"/>
        <v>4.3025974300689995E-3</v>
      </c>
      <c r="AD125" s="2092">
        <f t="shared" si="28"/>
        <v>0</v>
      </c>
      <c r="AE125" s="1418">
        <v>88439.165697402597</v>
      </c>
      <c r="AF125" s="1418">
        <f t="shared" si="29"/>
        <v>-4.3025974155170843E-3</v>
      </c>
      <c r="AG125" s="1418">
        <v>5.1100000000000003</v>
      </c>
      <c r="AH125" s="1418">
        <f t="shared" si="30"/>
        <v>0</v>
      </c>
      <c r="AI125" s="1428"/>
      <c r="AO125" s="2504">
        <v>88439.165697402583</v>
      </c>
      <c r="AP125" s="1418">
        <f t="shared" si="38"/>
        <v>0</v>
      </c>
      <c r="AQ125" s="1418">
        <f t="shared" si="31"/>
        <v>-4.3025974300689995E-3</v>
      </c>
    </row>
    <row r="126" spans="1:43" s="1409" customFormat="1" ht="15.75">
      <c r="A126" s="2101" t="s">
        <v>3619</v>
      </c>
      <c r="B126" s="1272" t="s">
        <v>660</v>
      </c>
      <c r="C126" s="1262" t="s">
        <v>2936</v>
      </c>
      <c r="D126" s="1273"/>
      <c r="E126" s="1415"/>
      <c r="F126" s="1267"/>
      <c r="G126" s="1480"/>
      <c r="H126" s="1416"/>
      <c r="I126" s="1477">
        <f t="shared" si="25"/>
        <v>0</v>
      </c>
      <c r="J126" s="1477">
        <f t="shared" si="26"/>
        <v>0</v>
      </c>
      <c r="K126" s="1477"/>
      <c r="L126" s="1477">
        <f t="shared" si="32"/>
        <v>0</v>
      </c>
      <c r="M126" s="1477"/>
      <c r="N126" s="1477">
        <f t="shared" si="33"/>
        <v>0</v>
      </c>
      <c r="O126" s="1477">
        <f t="shared" si="34"/>
        <v>0</v>
      </c>
      <c r="P126" s="1477">
        <f t="shared" si="35"/>
        <v>0</v>
      </c>
      <c r="Q126" s="1477">
        <f t="shared" si="36"/>
        <v>0</v>
      </c>
      <c r="R126" s="1576">
        <f t="shared" si="37"/>
        <v>0</v>
      </c>
      <c r="S126" s="1869"/>
      <c r="T126" s="1866"/>
      <c r="U126" s="2462"/>
      <c r="V126" s="1866">
        <f t="shared" si="39"/>
        <v>0</v>
      </c>
      <c r="W126" s="1869"/>
      <c r="X126" s="1870"/>
      <c r="Y126" s="1871" t="str">
        <f t="shared" si="42"/>
        <v/>
      </c>
      <c r="Z126" s="1694"/>
      <c r="AA126" s="1872">
        <f t="shared" si="44"/>
        <v>0</v>
      </c>
      <c r="AB126" s="1873" t="str">
        <f t="shared" si="45"/>
        <v/>
      </c>
      <c r="AC126" s="1418">
        <f t="shared" si="27"/>
        <v>0</v>
      </c>
      <c r="AD126" s="1418">
        <f t="shared" si="28"/>
        <v>0</v>
      </c>
      <c r="AE126" s="1418"/>
      <c r="AF126" s="1418">
        <f t="shared" si="29"/>
        <v>0</v>
      </c>
      <c r="AG126" s="1418"/>
      <c r="AH126" s="1418">
        <f t="shared" si="30"/>
        <v>0</v>
      </c>
      <c r="AI126" s="1429"/>
      <c r="AO126" s="2505"/>
      <c r="AP126" s="1418">
        <f t="shared" si="38"/>
        <v>0</v>
      </c>
      <c r="AQ126" s="1418">
        <f t="shared" si="31"/>
        <v>0</v>
      </c>
    </row>
    <row r="127" spans="1:43" s="1409" customFormat="1" ht="15.75">
      <c r="A127" s="2101" t="s">
        <v>3619</v>
      </c>
      <c r="B127" s="1268" t="s">
        <v>661</v>
      </c>
      <c r="C127" s="2131" t="s">
        <v>2937</v>
      </c>
      <c r="D127" s="1245" t="s">
        <v>40</v>
      </c>
      <c r="E127" s="1413">
        <v>71.02</v>
      </c>
      <c r="F127" s="1555">
        <v>359.41</v>
      </c>
      <c r="G127" s="1480">
        <v>367.79</v>
      </c>
      <c r="H127" s="1414">
        <v>372.06</v>
      </c>
      <c r="I127" s="1477">
        <f t="shared" si="25"/>
        <v>25525.3</v>
      </c>
      <c r="J127" s="1477">
        <f t="shared" si="26"/>
        <v>26120.45</v>
      </c>
      <c r="K127" s="1477">
        <v>8.7220000000000013</v>
      </c>
      <c r="L127" s="1477">
        <f t="shared" si="32"/>
        <v>8.7199999999999989</v>
      </c>
      <c r="M127" s="1477">
        <v>62.297999999999995</v>
      </c>
      <c r="N127" s="1477">
        <f t="shared" si="33"/>
        <v>62.3</v>
      </c>
      <c r="O127" s="1477">
        <f t="shared" si="34"/>
        <v>3207.13</v>
      </c>
      <c r="P127" s="1477">
        <f t="shared" si="35"/>
        <v>22913.32</v>
      </c>
      <c r="Q127" s="1477">
        <f t="shared" si="36"/>
        <v>23179.34</v>
      </c>
      <c r="R127" s="1576">
        <f t="shared" si="37"/>
        <v>26386.47</v>
      </c>
      <c r="S127" s="1869">
        <v>38.740000000000009</v>
      </c>
      <c r="T127" s="1866">
        <v>14376.361460000004</v>
      </c>
      <c r="U127" s="2462"/>
      <c r="V127" s="1866">
        <f t="shared" si="39"/>
        <v>0</v>
      </c>
      <c r="W127" s="1869">
        <f>S127+U127</f>
        <v>38.740000000000009</v>
      </c>
      <c r="X127" s="1870">
        <f t="shared" si="41"/>
        <v>14376.361460000004</v>
      </c>
      <c r="Y127" s="1871">
        <f t="shared" si="42"/>
        <v>0.5448383758797597</v>
      </c>
      <c r="Z127" s="1694">
        <f>+E127-W127</f>
        <v>32.279999999999987</v>
      </c>
      <c r="AA127" s="1872">
        <f t="shared" si="44"/>
        <v>12010.096799999996</v>
      </c>
      <c r="AB127" s="1873">
        <f t="shared" si="45"/>
        <v>0.45516117919524646</v>
      </c>
      <c r="AC127" s="2092">
        <f t="shared" si="27"/>
        <v>1.1740000001736917E-2</v>
      </c>
      <c r="AD127" s="2092">
        <f t="shared" si="28"/>
        <v>0</v>
      </c>
      <c r="AE127" s="1418">
        <v>26386.458259999999</v>
      </c>
      <c r="AF127" s="1418">
        <f t="shared" si="29"/>
        <v>-1.1740000001736917E-2</v>
      </c>
      <c r="AG127" s="1418">
        <v>372.06</v>
      </c>
      <c r="AH127" s="1418">
        <f t="shared" si="30"/>
        <v>0</v>
      </c>
      <c r="AI127" s="1429"/>
      <c r="AO127" s="2505">
        <v>14376.361460000004</v>
      </c>
      <c r="AP127" s="1418">
        <f t="shared" si="38"/>
        <v>0</v>
      </c>
      <c r="AQ127" s="1418">
        <f t="shared" si="31"/>
        <v>-1.1740000001736917E-2</v>
      </c>
    </row>
    <row r="128" spans="1:43" s="1410" customFormat="1" ht="15.75">
      <c r="A128" s="2102" t="s">
        <v>3619</v>
      </c>
      <c r="B128" s="1268" t="s">
        <v>664</v>
      </c>
      <c r="C128" s="2131" t="s">
        <v>2938</v>
      </c>
      <c r="D128" s="1245" t="s">
        <v>37</v>
      </c>
      <c r="E128" s="1413">
        <v>634.08000000000004</v>
      </c>
      <c r="F128" s="1555">
        <v>58.44</v>
      </c>
      <c r="G128" s="1480">
        <v>60.7</v>
      </c>
      <c r="H128" s="1414">
        <v>61.92</v>
      </c>
      <c r="I128" s="1477">
        <f t="shared" si="25"/>
        <v>37055.64</v>
      </c>
      <c r="J128" s="1477">
        <f t="shared" si="26"/>
        <v>38488.660000000003</v>
      </c>
      <c r="K128" s="1477">
        <v>69.77600000000001</v>
      </c>
      <c r="L128" s="1477">
        <f t="shared" si="32"/>
        <v>69.780000000000086</v>
      </c>
      <c r="M128" s="1477">
        <v>564.30400000000009</v>
      </c>
      <c r="N128" s="1477">
        <f t="shared" si="33"/>
        <v>564.29999999999995</v>
      </c>
      <c r="O128" s="1477">
        <f t="shared" si="34"/>
        <v>4235.6499999999996</v>
      </c>
      <c r="P128" s="1477">
        <f t="shared" si="35"/>
        <v>34253.01</v>
      </c>
      <c r="Q128" s="1477">
        <f t="shared" si="36"/>
        <v>34941.46</v>
      </c>
      <c r="R128" s="1576">
        <f t="shared" si="37"/>
        <v>39177.11</v>
      </c>
      <c r="S128" s="1869">
        <v>400.36919999999998</v>
      </c>
      <c r="T128" s="1866">
        <v>24705.734143999998</v>
      </c>
      <c r="U128" s="2462"/>
      <c r="V128" s="1866">
        <f t="shared" si="39"/>
        <v>0</v>
      </c>
      <c r="W128" s="1869">
        <f>S128+U128</f>
        <v>400.36919999999998</v>
      </c>
      <c r="X128" s="1870">
        <f t="shared" si="41"/>
        <v>24705.734143999998</v>
      </c>
      <c r="Y128" s="1871">
        <f t="shared" si="42"/>
        <v>0.63061655502409442</v>
      </c>
      <c r="Z128" s="1694">
        <f>+E128-W128</f>
        <v>233.71080000000006</v>
      </c>
      <c r="AA128" s="1872">
        <f t="shared" si="44"/>
        <v>14471.372736000005</v>
      </c>
      <c r="AB128" s="1873">
        <f t="shared" si="45"/>
        <v>0.36938336533756583</v>
      </c>
      <c r="AC128" s="2092">
        <f t="shared" si="27"/>
        <v>3.1199999975797255E-3</v>
      </c>
      <c r="AD128" s="2092">
        <f t="shared" si="28"/>
        <v>0</v>
      </c>
      <c r="AE128" s="1418">
        <v>39177.106880000007</v>
      </c>
      <c r="AF128" s="1418">
        <f t="shared" si="29"/>
        <v>-3.1199999939417467E-3</v>
      </c>
      <c r="AG128" s="1418">
        <v>61.92</v>
      </c>
      <c r="AH128" s="1418">
        <f t="shared" si="30"/>
        <v>0</v>
      </c>
      <c r="AI128" s="1428"/>
      <c r="AO128" s="2504">
        <v>24705.734143999998</v>
      </c>
      <c r="AP128" s="1418">
        <f t="shared" si="38"/>
        <v>0</v>
      </c>
      <c r="AQ128" s="1418">
        <f t="shared" si="31"/>
        <v>-3.1199999939417467E-3</v>
      </c>
    </row>
    <row r="129" spans="1:43" s="1410" customFormat="1" ht="15.75">
      <c r="A129" s="2102" t="s">
        <v>3619</v>
      </c>
      <c r="B129" s="1268" t="s">
        <v>668</v>
      </c>
      <c r="C129" s="2131" t="s">
        <v>2939</v>
      </c>
      <c r="D129" s="1245" t="s">
        <v>48</v>
      </c>
      <c r="E129" s="1413">
        <v>4071.83</v>
      </c>
      <c r="F129" s="1555">
        <v>4.9400000000000004</v>
      </c>
      <c r="G129" s="1480">
        <v>5.05</v>
      </c>
      <c r="H129" s="1414">
        <v>5.1100000000000003</v>
      </c>
      <c r="I129" s="1477">
        <f t="shared" si="25"/>
        <v>20114.84</v>
      </c>
      <c r="J129" s="1477">
        <f t="shared" si="26"/>
        <v>20562.740000000002</v>
      </c>
      <c r="K129" s="1477">
        <v>1144.1232</v>
      </c>
      <c r="L129" s="1477">
        <f t="shared" si="32"/>
        <v>1144.1199999999999</v>
      </c>
      <c r="M129" s="1477">
        <v>2927.7067999999999</v>
      </c>
      <c r="N129" s="1477">
        <f t="shared" si="33"/>
        <v>2927.71</v>
      </c>
      <c r="O129" s="1477">
        <f t="shared" si="34"/>
        <v>5777.81</v>
      </c>
      <c r="P129" s="1477">
        <f t="shared" si="35"/>
        <v>14784.94</v>
      </c>
      <c r="Q129" s="1477">
        <f t="shared" si="36"/>
        <v>14960.6</v>
      </c>
      <c r="R129" s="1576">
        <f t="shared" si="37"/>
        <v>20738.41</v>
      </c>
      <c r="S129" s="1869">
        <v>2456.2503200000001</v>
      </c>
      <c r="T129" s="1866">
        <v>12482.791743199999</v>
      </c>
      <c r="U129" s="2462"/>
      <c r="V129" s="1866">
        <f t="shared" si="39"/>
        <v>0</v>
      </c>
      <c r="W129" s="1869">
        <f>S129+U129</f>
        <v>2456.2503200000001</v>
      </c>
      <c r="X129" s="1870">
        <f t="shared" si="41"/>
        <v>12482.791743199999</v>
      </c>
      <c r="Y129" s="1871">
        <f t="shared" si="42"/>
        <v>0.60191652798840412</v>
      </c>
      <c r="Z129" s="1694">
        <f>+E129-W129</f>
        <v>1615.5796799999998</v>
      </c>
      <c r="AA129" s="1872">
        <f t="shared" si="44"/>
        <v>8255.6121647999989</v>
      </c>
      <c r="AB129" s="1873">
        <f t="shared" si="45"/>
        <v>0.39808317825715661</v>
      </c>
      <c r="AC129" s="2092">
        <f t="shared" si="27"/>
        <v>6.0920000014448306E-3</v>
      </c>
      <c r="AD129" s="2092">
        <f t="shared" si="28"/>
        <v>0</v>
      </c>
      <c r="AE129" s="1418">
        <v>20738.403908</v>
      </c>
      <c r="AF129" s="1418">
        <f t="shared" si="29"/>
        <v>-6.0919999996258412E-3</v>
      </c>
      <c r="AG129" s="1418">
        <v>5.1100000000000003</v>
      </c>
      <c r="AH129" s="1418">
        <f t="shared" si="30"/>
        <v>0</v>
      </c>
      <c r="AI129" s="1428"/>
      <c r="AO129" s="2504">
        <v>12482.791743199999</v>
      </c>
      <c r="AP129" s="1418">
        <f t="shared" si="38"/>
        <v>0</v>
      </c>
      <c r="AQ129" s="1418">
        <f t="shared" si="31"/>
        <v>-6.0919999996258412E-3</v>
      </c>
    </row>
    <row r="130" spans="1:43" s="1410" customFormat="1" ht="15.75">
      <c r="A130" s="2102" t="s">
        <v>3619</v>
      </c>
      <c r="B130" s="1272" t="s">
        <v>689</v>
      </c>
      <c r="C130" s="1262" t="s">
        <v>2940</v>
      </c>
      <c r="D130" s="1273"/>
      <c r="E130" s="1415"/>
      <c r="F130" s="1267"/>
      <c r="G130" s="1480"/>
      <c r="H130" s="1416"/>
      <c r="I130" s="1477">
        <f t="shared" si="25"/>
        <v>0</v>
      </c>
      <c r="J130" s="1477">
        <f t="shared" si="26"/>
        <v>0</v>
      </c>
      <c r="K130" s="1477"/>
      <c r="L130" s="1477">
        <f t="shared" si="32"/>
        <v>0</v>
      </c>
      <c r="M130" s="1477"/>
      <c r="N130" s="1477">
        <f t="shared" si="33"/>
        <v>0</v>
      </c>
      <c r="O130" s="1477">
        <f t="shared" si="34"/>
        <v>0</v>
      </c>
      <c r="P130" s="1477">
        <f t="shared" si="35"/>
        <v>0</v>
      </c>
      <c r="Q130" s="1477">
        <f t="shared" si="36"/>
        <v>0</v>
      </c>
      <c r="R130" s="1576">
        <f t="shared" si="37"/>
        <v>0</v>
      </c>
      <c r="S130" s="1869"/>
      <c r="T130" s="1866"/>
      <c r="U130" s="2462"/>
      <c r="V130" s="1866">
        <f t="shared" si="39"/>
        <v>0</v>
      </c>
      <c r="W130" s="1869"/>
      <c r="X130" s="1870"/>
      <c r="Y130" s="1871" t="str">
        <f t="shared" si="42"/>
        <v/>
      </c>
      <c r="Z130" s="1694"/>
      <c r="AA130" s="1872">
        <f t="shared" si="44"/>
        <v>0</v>
      </c>
      <c r="AB130" s="1873" t="str">
        <f t="shared" si="45"/>
        <v/>
      </c>
      <c r="AC130" s="1418">
        <f t="shared" si="27"/>
        <v>0</v>
      </c>
      <c r="AD130" s="1418">
        <f t="shared" si="28"/>
        <v>0</v>
      </c>
      <c r="AE130" s="1418"/>
      <c r="AF130" s="1418">
        <f t="shared" si="29"/>
        <v>0</v>
      </c>
      <c r="AG130" s="1418"/>
      <c r="AH130" s="1418">
        <f t="shared" si="30"/>
        <v>0</v>
      </c>
      <c r="AI130" s="1428"/>
      <c r="AO130" s="2504"/>
      <c r="AP130" s="1418">
        <f t="shared" si="38"/>
        <v>0</v>
      </c>
      <c r="AQ130" s="1418">
        <f t="shared" si="31"/>
        <v>0</v>
      </c>
    </row>
    <row r="131" spans="1:43" s="1410" customFormat="1" ht="15.75">
      <c r="A131" s="2102" t="s">
        <v>3619</v>
      </c>
      <c r="B131" s="1268" t="s">
        <v>690</v>
      </c>
      <c r="C131" s="1241" t="s">
        <v>2941</v>
      </c>
      <c r="D131" s="1245" t="s">
        <v>40</v>
      </c>
      <c r="E131" s="1413">
        <v>239.36</v>
      </c>
      <c r="F131" s="1555">
        <v>452.14</v>
      </c>
      <c r="G131" s="1480">
        <v>454.54</v>
      </c>
      <c r="H131" s="1414">
        <v>455.76</v>
      </c>
      <c r="I131" s="1477">
        <f t="shared" si="25"/>
        <v>108224.23</v>
      </c>
      <c r="J131" s="1477">
        <f t="shared" si="26"/>
        <v>108798.69</v>
      </c>
      <c r="K131" s="1477">
        <v>163.43735000000001</v>
      </c>
      <c r="L131" s="1477">
        <f t="shared" si="32"/>
        <v>163.44</v>
      </c>
      <c r="M131" s="1477">
        <v>75.922650000000004</v>
      </c>
      <c r="N131" s="1477">
        <f t="shared" si="33"/>
        <v>75.92</v>
      </c>
      <c r="O131" s="1477">
        <f t="shared" si="34"/>
        <v>74290.02</v>
      </c>
      <c r="P131" s="1477">
        <f t="shared" si="35"/>
        <v>34508.68</v>
      </c>
      <c r="Q131" s="1477">
        <f t="shared" si="36"/>
        <v>34601.300000000003</v>
      </c>
      <c r="R131" s="1576">
        <f t="shared" si="37"/>
        <v>108891.32</v>
      </c>
      <c r="S131" s="1869">
        <v>239.36</v>
      </c>
      <c r="T131" s="1866">
        <v>108891.32003300001</v>
      </c>
      <c r="U131" s="2439"/>
      <c r="V131" s="1866">
        <f t="shared" si="39"/>
        <v>0</v>
      </c>
      <c r="W131" s="1869">
        <f t="shared" ref="W131:W136" si="47">S131+U131</f>
        <v>239.36</v>
      </c>
      <c r="X131" s="1870">
        <f t="shared" si="41"/>
        <v>108891.32003300001</v>
      </c>
      <c r="Y131" s="1871">
        <f t="shared" si="42"/>
        <v>1.0000000003030545</v>
      </c>
      <c r="Z131" s="1694">
        <f t="shared" ref="Z131:Z136" si="48">+E131-W131</f>
        <v>0</v>
      </c>
      <c r="AA131" s="1872">
        <f t="shared" si="44"/>
        <v>0</v>
      </c>
      <c r="AB131" s="1873">
        <f t="shared" si="45"/>
        <v>0</v>
      </c>
      <c r="AC131" s="1418">
        <f t="shared" si="27"/>
        <v>-3.300000389572233E-5</v>
      </c>
      <c r="AD131" s="1418">
        <f t="shared" si="28"/>
        <v>0</v>
      </c>
      <c r="AE131" s="1418">
        <v>108891.32003300001</v>
      </c>
      <c r="AF131" s="1418">
        <f t="shared" si="29"/>
        <v>3.300000389572233E-5</v>
      </c>
      <c r="AG131" s="1418">
        <v>455.76</v>
      </c>
      <c r="AH131" s="1418">
        <f t="shared" si="30"/>
        <v>0</v>
      </c>
      <c r="AI131" s="1428"/>
      <c r="AO131" s="2504">
        <v>108891.32003300001</v>
      </c>
      <c r="AP131" s="1418">
        <f t="shared" si="38"/>
        <v>0</v>
      </c>
      <c r="AQ131" s="1418">
        <f t="shared" si="31"/>
        <v>3.300000389572233E-5</v>
      </c>
    </row>
    <row r="132" spans="1:43" s="1410" customFormat="1" ht="15.75">
      <c r="A132" s="2102" t="s">
        <v>3619</v>
      </c>
      <c r="B132" s="1268" t="s">
        <v>2301</v>
      </c>
      <c r="C132" s="1241" t="s">
        <v>2942</v>
      </c>
      <c r="D132" s="1245" t="s">
        <v>37</v>
      </c>
      <c r="E132" s="1413">
        <v>1078.8399999999999</v>
      </c>
      <c r="F132" s="1555">
        <v>58.82</v>
      </c>
      <c r="G132" s="1480">
        <v>61.44</v>
      </c>
      <c r="H132" s="1414">
        <v>62.87</v>
      </c>
      <c r="I132" s="1477">
        <f t="shared" si="25"/>
        <v>63457.37</v>
      </c>
      <c r="J132" s="1477">
        <f t="shared" si="26"/>
        <v>66283.929999999993</v>
      </c>
      <c r="K132" s="1477">
        <v>814.84249999999997</v>
      </c>
      <c r="L132" s="1477">
        <f t="shared" si="32"/>
        <v>814.83999999999992</v>
      </c>
      <c r="M132" s="1477">
        <v>263.99749999999995</v>
      </c>
      <c r="N132" s="1477">
        <f t="shared" si="33"/>
        <v>264</v>
      </c>
      <c r="O132" s="1477">
        <f t="shared" si="34"/>
        <v>50063.77</v>
      </c>
      <c r="P132" s="1477">
        <f t="shared" si="35"/>
        <v>16220.16</v>
      </c>
      <c r="Q132" s="1477">
        <f t="shared" si="36"/>
        <v>16597.68</v>
      </c>
      <c r="R132" s="1576">
        <f t="shared" si="37"/>
        <v>66661.45</v>
      </c>
      <c r="S132" s="1869">
        <v>1078.8399999999999</v>
      </c>
      <c r="T132" s="1866">
        <v>66661.446024999997</v>
      </c>
      <c r="U132" s="2439"/>
      <c r="V132" s="1866">
        <f t="shared" si="39"/>
        <v>0</v>
      </c>
      <c r="W132" s="1869">
        <f t="shared" si="47"/>
        <v>1078.8399999999999</v>
      </c>
      <c r="X132" s="1870">
        <f t="shared" si="41"/>
        <v>66661.446024999997</v>
      </c>
      <c r="Y132" s="1871">
        <f t="shared" si="42"/>
        <v>0.99999994037033402</v>
      </c>
      <c r="Z132" s="1694">
        <f t="shared" si="48"/>
        <v>0</v>
      </c>
      <c r="AA132" s="1872">
        <f t="shared" si="44"/>
        <v>0</v>
      </c>
      <c r="AB132" s="1873">
        <f t="shared" si="45"/>
        <v>0</v>
      </c>
      <c r="AC132" s="1418">
        <f t="shared" si="27"/>
        <v>3.974999999627471E-3</v>
      </c>
      <c r="AD132" s="1418">
        <f t="shared" si="28"/>
        <v>0</v>
      </c>
      <c r="AE132" s="1418">
        <v>66661.446024999997</v>
      </c>
      <c r="AF132" s="1418">
        <f t="shared" si="29"/>
        <v>-3.974999999627471E-3</v>
      </c>
      <c r="AG132" s="1418">
        <v>62.87</v>
      </c>
      <c r="AH132" s="1418">
        <f t="shared" si="30"/>
        <v>0</v>
      </c>
      <c r="AI132" s="1428"/>
      <c r="AO132" s="2504">
        <v>66661.446024999997</v>
      </c>
      <c r="AP132" s="1418">
        <f t="shared" si="38"/>
        <v>0</v>
      </c>
      <c r="AQ132" s="1418">
        <f t="shared" si="31"/>
        <v>-3.974999999627471E-3</v>
      </c>
    </row>
    <row r="133" spans="1:43" s="1410" customFormat="1" ht="15.75">
      <c r="A133" s="2102" t="s">
        <v>3619</v>
      </c>
      <c r="B133" s="1268" t="s">
        <v>2302</v>
      </c>
      <c r="C133" s="1241" t="s">
        <v>2943</v>
      </c>
      <c r="D133" s="1245" t="s">
        <v>48</v>
      </c>
      <c r="E133" s="1413">
        <v>16649.82</v>
      </c>
      <c r="F133" s="1555">
        <v>4.9400000000000004</v>
      </c>
      <c r="G133" s="1480">
        <v>5.05</v>
      </c>
      <c r="H133" s="1414">
        <v>5.1100000000000003</v>
      </c>
      <c r="I133" s="1477">
        <f t="shared" si="25"/>
        <v>82250.11</v>
      </c>
      <c r="J133" s="1477">
        <f t="shared" si="26"/>
        <v>84081.59</v>
      </c>
      <c r="K133" s="1477">
        <v>12414.636399999999</v>
      </c>
      <c r="L133" s="1477">
        <f t="shared" si="32"/>
        <v>12414.64</v>
      </c>
      <c r="M133" s="1477">
        <v>4235.1836000000003</v>
      </c>
      <c r="N133" s="1477">
        <f t="shared" si="33"/>
        <v>4235.18</v>
      </c>
      <c r="O133" s="1477">
        <f t="shared" si="34"/>
        <v>62693.93</v>
      </c>
      <c r="P133" s="1477">
        <f t="shared" si="35"/>
        <v>21387.66</v>
      </c>
      <c r="Q133" s="1477">
        <f t="shared" si="36"/>
        <v>21641.77</v>
      </c>
      <c r="R133" s="1576">
        <f t="shared" si="37"/>
        <v>84335.7</v>
      </c>
      <c r="S133" s="1869">
        <v>16649.82</v>
      </c>
      <c r="T133" s="1866">
        <v>84335.702015999996</v>
      </c>
      <c r="U133" s="2439"/>
      <c r="V133" s="1866">
        <f t="shared" si="39"/>
        <v>0</v>
      </c>
      <c r="W133" s="1869">
        <f t="shared" si="47"/>
        <v>16649.82</v>
      </c>
      <c r="X133" s="1870">
        <f t="shared" si="41"/>
        <v>84335.702015999996</v>
      </c>
      <c r="Y133" s="1871">
        <f t="shared" si="42"/>
        <v>1.0000000239044675</v>
      </c>
      <c r="Z133" s="1694">
        <f t="shared" si="48"/>
        <v>0</v>
      </c>
      <c r="AA133" s="1872">
        <f t="shared" si="44"/>
        <v>0</v>
      </c>
      <c r="AB133" s="1873">
        <f t="shared" si="45"/>
        <v>0</v>
      </c>
      <c r="AC133" s="1418">
        <f t="shared" si="27"/>
        <v>-2.0159999985480681E-3</v>
      </c>
      <c r="AD133" s="1418">
        <f t="shared" si="28"/>
        <v>0</v>
      </c>
      <c r="AE133" s="1418">
        <v>84335.702015999996</v>
      </c>
      <c r="AF133" s="1418">
        <f t="shared" si="29"/>
        <v>2.0159999985480681E-3</v>
      </c>
      <c r="AG133" s="1418">
        <v>5.1100000000000003</v>
      </c>
      <c r="AH133" s="1418">
        <f t="shared" si="30"/>
        <v>0</v>
      </c>
      <c r="AI133" s="1428"/>
      <c r="AJ133" s="1410">
        <v>-1.0159999947063601E-3</v>
      </c>
      <c r="AO133" s="2504">
        <v>84335.702015999996</v>
      </c>
      <c r="AP133" s="1418">
        <f t="shared" si="38"/>
        <v>0</v>
      </c>
      <c r="AQ133" s="1418">
        <f t="shared" si="31"/>
        <v>2.0159999985480681E-3</v>
      </c>
    </row>
    <row r="134" spans="1:43" s="1409" customFormat="1" ht="15.75">
      <c r="A134" s="2101"/>
      <c r="B134" s="1268" t="s">
        <v>2303</v>
      </c>
      <c r="C134" s="1241" t="s">
        <v>2913</v>
      </c>
      <c r="D134" s="1245" t="s">
        <v>38</v>
      </c>
      <c r="E134" s="1413">
        <v>111</v>
      </c>
      <c r="F134" s="1555">
        <v>67.8</v>
      </c>
      <c r="G134" s="1480">
        <v>68.72</v>
      </c>
      <c r="H134" s="1414">
        <v>69.17</v>
      </c>
      <c r="I134" s="1477">
        <f t="shared" si="25"/>
        <v>7525.8</v>
      </c>
      <c r="J134" s="1477">
        <f t="shared" si="26"/>
        <v>7627.92</v>
      </c>
      <c r="K134" s="1477">
        <v>34.75</v>
      </c>
      <c r="L134" s="1477">
        <f t="shared" si="32"/>
        <v>34.75</v>
      </c>
      <c r="M134" s="1477">
        <v>76.25</v>
      </c>
      <c r="N134" s="1477">
        <f t="shared" si="33"/>
        <v>76.25</v>
      </c>
      <c r="O134" s="1477">
        <f t="shared" si="34"/>
        <v>2388.02</v>
      </c>
      <c r="P134" s="1477">
        <f t="shared" si="35"/>
        <v>5239.8999999999996</v>
      </c>
      <c r="Q134" s="1477">
        <f t="shared" si="36"/>
        <v>5274.21</v>
      </c>
      <c r="R134" s="1576">
        <f t="shared" si="37"/>
        <v>7662.23</v>
      </c>
      <c r="S134" s="1869">
        <v>111</v>
      </c>
      <c r="T134" s="1866">
        <v>7662.2325000000001</v>
      </c>
      <c r="U134" s="2439"/>
      <c r="V134" s="1866">
        <f t="shared" si="39"/>
        <v>0</v>
      </c>
      <c r="W134" s="1869">
        <f t="shared" si="47"/>
        <v>111</v>
      </c>
      <c r="X134" s="1870">
        <f t="shared" si="41"/>
        <v>7662.2325000000001</v>
      </c>
      <c r="Y134" s="1871">
        <f t="shared" si="42"/>
        <v>1.0000003262757711</v>
      </c>
      <c r="Z134" s="1694">
        <f t="shared" si="48"/>
        <v>0</v>
      </c>
      <c r="AA134" s="1872">
        <f t="shared" si="44"/>
        <v>0</v>
      </c>
      <c r="AB134" s="1873">
        <f t="shared" si="45"/>
        <v>0</v>
      </c>
      <c r="AC134" s="1418">
        <f t="shared" si="27"/>
        <v>-2.500000000509317E-3</v>
      </c>
      <c r="AD134" s="1418">
        <f t="shared" si="28"/>
        <v>0</v>
      </c>
      <c r="AE134" s="1418">
        <v>7662.2325000000001</v>
      </c>
      <c r="AF134" s="1418">
        <f t="shared" si="29"/>
        <v>2.500000000509317E-3</v>
      </c>
      <c r="AG134" s="1418">
        <v>69.17</v>
      </c>
      <c r="AH134" s="1418">
        <f t="shared" si="30"/>
        <v>0</v>
      </c>
      <c r="AI134" s="1429"/>
      <c r="AO134" s="2505">
        <v>7662.2325000000001</v>
      </c>
      <c r="AP134" s="1418">
        <f t="shared" si="38"/>
        <v>0</v>
      </c>
      <c r="AQ134" s="1418">
        <f t="shared" si="31"/>
        <v>2.500000000509317E-3</v>
      </c>
    </row>
    <row r="135" spans="1:43" s="1410" customFormat="1" ht="15.75">
      <c r="A135" s="2102"/>
      <c r="B135" s="1268" t="s">
        <v>2304</v>
      </c>
      <c r="C135" s="1241" t="s">
        <v>2944</v>
      </c>
      <c r="D135" s="1245" t="s">
        <v>38</v>
      </c>
      <c r="E135" s="1413">
        <v>102.1</v>
      </c>
      <c r="F135" s="1555">
        <v>95.29</v>
      </c>
      <c r="G135" s="1480">
        <v>97.5</v>
      </c>
      <c r="H135" s="1414">
        <v>98.62</v>
      </c>
      <c r="I135" s="1477">
        <f t="shared" si="25"/>
        <v>9729.11</v>
      </c>
      <c r="J135" s="1477">
        <f t="shared" si="26"/>
        <v>9954.75</v>
      </c>
      <c r="K135" s="1477">
        <v>34.75</v>
      </c>
      <c r="L135" s="1477">
        <f t="shared" si="32"/>
        <v>34.75</v>
      </c>
      <c r="M135" s="1477">
        <v>67.349999999999994</v>
      </c>
      <c r="N135" s="1477">
        <f t="shared" si="33"/>
        <v>67.349999999999994</v>
      </c>
      <c r="O135" s="1477">
        <f t="shared" si="34"/>
        <v>3388.13</v>
      </c>
      <c r="P135" s="1477">
        <f t="shared" si="35"/>
        <v>6566.63</v>
      </c>
      <c r="Q135" s="1477">
        <f t="shared" si="36"/>
        <v>6642.06</v>
      </c>
      <c r="R135" s="1576">
        <f t="shared" si="37"/>
        <v>10030.19</v>
      </c>
      <c r="S135" s="1869">
        <v>102.1</v>
      </c>
      <c r="T135" s="1866">
        <v>10030.182000000001</v>
      </c>
      <c r="U135" s="2439"/>
      <c r="V135" s="1866">
        <f t="shared" si="39"/>
        <v>0</v>
      </c>
      <c r="W135" s="1869">
        <f t="shared" si="47"/>
        <v>102.1</v>
      </c>
      <c r="X135" s="1870">
        <f t="shared" si="41"/>
        <v>10030.182000000001</v>
      </c>
      <c r="Y135" s="1871">
        <f t="shared" si="42"/>
        <v>0.9999992024079305</v>
      </c>
      <c r="Z135" s="1694">
        <f t="shared" si="48"/>
        <v>0</v>
      </c>
      <c r="AA135" s="1872">
        <f t="shared" si="44"/>
        <v>0</v>
      </c>
      <c r="AB135" s="1873">
        <f t="shared" si="45"/>
        <v>0</v>
      </c>
      <c r="AC135" s="1418">
        <f t="shared" si="27"/>
        <v>7.9999999998108251E-3</v>
      </c>
      <c r="AD135" s="1418">
        <f t="shared" si="28"/>
        <v>0</v>
      </c>
      <c r="AE135" s="1418">
        <v>10030.182000000001</v>
      </c>
      <c r="AF135" s="1418">
        <f t="shared" si="29"/>
        <v>-7.9999999998108251E-3</v>
      </c>
      <c r="AG135" s="1418">
        <v>98.62</v>
      </c>
      <c r="AH135" s="1418">
        <f t="shared" si="30"/>
        <v>0</v>
      </c>
      <c r="AI135" s="1428"/>
      <c r="AO135" s="2504">
        <v>10030.182000000001</v>
      </c>
      <c r="AP135" s="1418">
        <f t="shared" si="38"/>
        <v>0</v>
      </c>
      <c r="AQ135" s="1418">
        <f t="shared" si="31"/>
        <v>-7.9999999998108251E-3</v>
      </c>
    </row>
    <row r="136" spans="1:43" s="1410" customFormat="1" ht="15.75">
      <c r="A136" s="2102"/>
      <c r="B136" s="1268" t="s">
        <v>2305</v>
      </c>
      <c r="C136" s="1241" t="s">
        <v>2914</v>
      </c>
      <c r="D136" s="1245" t="s">
        <v>40</v>
      </c>
      <c r="E136" s="1413">
        <v>81.599999999999994</v>
      </c>
      <c r="F136" s="1555">
        <v>89.61</v>
      </c>
      <c r="G136" s="1480">
        <v>91.41</v>
      </c>
      <c r="H136" s="1414">
        <v>92.34</v>
      </c>
      <c r="I136" s="1477">
        <f t="shared" si="25"/>
        <v>7312.18</v>
      </c>
      <c r="J136" s="1477">
        <f t="shared" si="26"/>
        <v>7459.06</v>
      </c>
      <c r="K136" s="1477">
        <v>41.699999999999996</v>
      </c>
      <c r="L136" s="1477">
        <f t="shared" si="32"/>
        <v>41.699999999999996</v>
      </c>
      <c r="M136" s="1477">
        <v>39.9</v>
      </c>
      <c r="N136" s="1477">
        <f t="shared" si="33"/>
        <v>39.9</v>
      </c>
      <c r="O136" s="1477">
        <f t="shared" si="34"/>
        <v>3811.8</v>
      </c>
      <c r="P136" s="1477">
        <f t="shared" si="35"/>
        <v>3647.26</v>
      </c>
      <c r="Q136" s="1477">
        <f t="shared" si="36"/>
        <v>3684.37</v>
      </c>
      <c r="R136" s="1576">
        <f t="shared" si="37"/>
        <v>7496.17</v>
      </c>
      <c r="S136" s="1869">
        <v>81.599999999999994</v>
      </c>
      <c r="T136" s="1866">
        <v>7496.1629999999996</v>
      </c>
      <c r="U136" s="2439"/>
      <c r="V136" s="1866">
        <f t="shared" si="39"/>
        <v>0</v>
      </c>
      <c r="W136" s="1869">
        <f t="shared" si="47"/>
        <v>81.599999999999994</v>
      </c>
      <c r="X136" s="1870">
        <f t="shared" si="41"/>
        <v>7496.1629999999996</v>
      </c>
      <c r="Y136" s="1871">
        <f t="shared" si="42"/>
        <v>0.99999906618980083</v>
      </c>
      <c r="Z136" s="1694">
        <f t="shared" si="48"/>
        <v>0</v>
      </c>
      <c r="AA136" s="1872">
        <f t="shared" si="44"/>
        <v>0</v>
      </c>
      <c r="AB136" s="1873">
        <f t="shared" si="45"/>
        <v>0</v>
      </c>
      <c r="AC136" s="1418">
        <f t="shared" si="27"/>
        <v>7.000000000516593E-3</v>
      </c>
      <c r="AD136" s="1418">
        <f t="shared" si="28"/>
        <v>0</v>
      </c>
      <c r="AE136" s="1418">
        <v>7496.1629999999996</v>
      </c>
      <c r="AF136" s="1418">
        <f t="shared" si="29"/>
        <v>-7.000000000516593E-3</v>
      </c>
      <c r="AG136" s="1418">
        <v>92.34</v>
      </c>
      <c r="AH136" s="1418">
        <f t="shared" si="30"/>
        <v>0</v>
      </c>
      <c r="AI136" s="1428"/>
      <c r="AO136" s="2504">
        <v>7496.1629999999996</v>
      </c>
      <c r="AP136" s="1418">
        <f t="shared" si="38"/>
        <v>0</v>
      </c>
      <c r="AQ136" s="1418">
        <f t="shared" si="31"/>
        <v>-7.000000000516593E-3</v>
      </c>
    </row>
    <row r="137" spans="1:43" s="1410" customFormat="1" ht="15.75">
      <c r="A137" s="2102" t="s">
        <v>3619</v>
      </c>
      <c r="B137" s="1272" t="s">
        <v>691</v>
      </c>
      <c r="C137" s="1262" t="s">
        <v>2945</v>
      </c>
      <c r="D137" s="1273"/>
      <c r="E137" s="1415"/>
      <c r="F137" s="1267"/>
      <c r="G137" s="1480"/>
      <c r="H137" s="1416"/>
      <c r="I137" s="1477">
        <f t="shared" si="25"/>
        <v>0</v>
      </c>
      <c r="J137" s="1477">
        <f t="shared" si="26"/>
        <v>0</v>
      </c>
      <c r="K137" s="1477"/>
      <c r="L137" s="1477">
        <f t="shared" si="32"/>
        <v>0</v>
      </c>
      <c r="M137" s="1477"/>
      <c r="N137" s="1477">
        <f t="shared" si="33"/>
        <v>0</v>
      </c>
      <c r="O137" s="1477">
        <f t="shared" si="34"/>
        <v>0</v>
      </c>
      <c r="P137" s="1477">
        <f t="shared" si="35"/>
        <v>0</v>
      </c>
      <c r="Q137" s="1477">
        <f t="shared" si="36"/>
        <v>0</v>
      </c>
      <c r="R137" s="1576"/>
      <c r="S137" s="1869"/>
      <c r="T137" s="1866"/>
      <c r="U137" s="2439"/>
      <c r="V137" s="1866"/>
      <c r="W137" s="1869"/>
      <c r="X137" s="1870"/>
      <c r="Y137" s="1871" t="str">
        <f t="shared" si="42"/>
        <v/>
      </c>
      <c r="Z137" s="1694"/>
      <c r="AA137" s="1872">
        <f t="shared" si="44"/>
        <v>0</v>
      </c>
      <c r="AB137" s="1873" t="str">
        <f t="shared" si="45"/>
        <v/>
      </c>
      <c r="AC137" s="1418">
        <f t="shared" si="27"/>
        <v>0</v>
      </c>
      <c r="AD137" s="1418">
        <f t="shared" si="28"/>
        <v>0</v>
      </c>
      <c r="AE137" s="1418"/>
      <c r="AF137" s="1418">
        <f t="shared" si="29"/>
        <v>0</v>
      </c>
      <c r="AG137" s="1418"/>
      <c r="AH137" s="1418">
        <f t="shared" si="30"/>
        <v>0</v>
      </c>
      <c r="AI137" s="1428"/>
      <c r="AO137" s="2504"/>
      <c r="AP137" s="1418">
        <f t="shared" si="38"/>
        <v>0</v>
      </c>
      <c r="AQ137" s="1418">
        <f t="shared" si="31"/>
        <v>0</v>
      </c>
    </row>
    <row r="138" spans="1:43" s="1410" customFormat="1" ht="15.75">
      <c r="A138" s="2102" t="s">
        <v>3619</v>
      </c>
      <c r="B138" s="1268" t="s">
        <v>692</v>
      </c>
      <c r="C138" s="1241" t="s">
        <v>2946</v>
      </c>
      <c r="D138" s="1245" t="s">
        <v>40</v>
      </c>
      <c r="E138" s="1413">
        <v>567.1</v>
      </c>
      <c r="F138" s="1555">
        <v>447.17</v>
      </c>
      <c r="G138" s="1480">
        <v>449.17</v>
      </c>
      <c r="H138" s="1414">
        <v>450.19</v>
      </c>
      <c r="I138" s="1477">
        <f t="shared" si="25"/>
        <v>253590.11</v>
      </c>
      <c r="J138" s="1477">
        <f t="shared" si="26"/>
        <v>254724.31</v>
      </c>
      <c r="K138" s="1477">
        <v>332.57695000000001</v>
      </c>
      <c r="L138" s="1477">
        <f t="shared" si="32"/>
        <v>332.58000000000004</v>
      </c>
      <c r="M138" s="1477">
        <v>234.52305000000001</v>
      </c>
      <c r="N138" s="1477">
        <f t="shared" si="33"/>
        <v>234.52</v>
      </c>
      <c r="O138" s="1477">
        <f t="shared" si="34"/>
        <v>149384.95999999999</v>
      </c>
      <c r="P138" s="1477">
        <f t="shared" si="35"/>
        <v>105339.35</v>
      </c>
      <c r="Q138" s="1477">
        <f t="shared" si="36"/>
        <v>105578.56</v>
      </c>
      <c r="R138" s="1576">
        <f t="shared" si="37"/>
        <v>254963.52</v>
      </c>
      <c r="S138" s="1869">
        <v>567.1</v>
      </c>
      <c r="T138" s="1866">
        <v>254963.52051100001</v>
      </c>
      <c r="U138" s="2462"/>
      <c r="V138" s="1866">
        <f t="shared" si="39"/>
        <v>0</v>
      </c>
      <c r="W138" s="1869">
        <f>S138+U138</f>
        <v>567.1</v>
      </c>
      <c r="X138" s="1870">
        <f t="shared" si="41"/>
        <v>254963.52051100001</v>
      </c>
      <c r="Y138" s="1871">
        <f t="shared" si="42"/>
        <v>1.0000000020042084</v>
      </c>
      <c r="Z138" s="1694">
        <f>+E138-W138</f>
        <v>0</v>
      </c>
      <c r="AA138" s="1872">
        <f t="shared" si="44"/>
        <v>0</v>
      </c>
      <c r="AB138" s="1873">
        <f t="shared" si="45"/>
        <v>0</v>
      </c>
      <c r="AC138" s="1418">
        <f t="shared" si="27"/>
        <v>-5.1100002019666135E-4</v>
      </c>
      <c r="AD138" s="1418">
        <f t="shared" si="28"/>
        <v>0</v>
      </c>
      <c r="AE138" s="1418">
        <v>254963.52051100001</v>
      </c>
      <c r="AF138" s="1418">
        <f t="shared" si="29"/>
        <v>5.1100002019666135E-4</v>
      </c>
      <c r="AG138" s="1418">
        <v>450.19</v>
      </c>
      <c r="AH138" s="1418">
        <f t="shared" si="30"/>
        <v>0</v>
      </c>
      <c r="AI138" s="1428"/>
      <c r="AO138" s="2504">
        <v>254963.52051100001</v>
      </c>
      <c r="AP138" s="1418">
        <f t="shared" si="38"/>
        <v>0</v>
      </c>
      <c r="AQ138" s="1418">
        <f t="shared" si="31"/>
        <v>5.1100002019666135E-4</v>
      </c>
    </row>
    <row r="139" spans="1:43" s="1410" customFormat="1" ht="15.75">
      <c r="A139" s="2102" t="s">
        <v>3619</v>
      </c>
      <c r="B139" s="1268" t="s">
        <v>693</v>
      </c>
      <c r="C139" s="1241" t="s">
        <v>2947</v>
      </c>
      <c r="D139" s="1245" t="s">
        <v>37</v>
      </c>
      <c r="E139" s="1413">
        <v>5290.5</v>
      </c>
      <c r="F139" s="1555">
        <v>64.81</v>
      </c>
      <c r="G139" s="1480">
        <v>67.959999999999994</v>
      </c>
      <c r="H139" s="1414">
        <v>69.680000000000007</v>
      </c>
      <c r="I139" s="1477">
        <f t="shared" si="25"/>
        <v>342877.31</v>
      </c>
      <c r="J139" s="1477">
        <f t="shared" si="26"/>
        <v>359542.38</v>
      </c>
      <c r="K139" s="1477">
        <v>2286.3319999999994</v>
      </c>
      <c r="L139" s="1477">
        <f t="shared" si="32"/>
        <v>2286.33</v>
      </c>
      <c r="M139" s="1477">
        <v>3004.1680000000006</v>
      </c>
      <c r="N139" s="1477">
        <f t="shared" si="33"/>
        <v>3004.17</v>
      </c>
      <c r="O139" s="1477">
        <f t="shared" si="34"/>
        <v>155378.99</v>
      </c>
      <c r="P139" s="1477">
        <f t="shared" si="35"/>
        <v>204163.39</v>
      </c>
      <c r="Q139" s="1477">
        <f t="shared" si="36"/>
        <v>209330.57</v>
      </c>
      <c r="R139" s="1576">
        <f t="shared" si="37"/>
        <v>364709.56</v>
      </c>
      <c r="S139" s="1869">
        <v>5196.4814879999976</v>
      </c>
      <c r="T139" s="1866">
        <v>358158.33904383995</v>
      </c>
      <c r="U139" s="2439"/>
      <c r="V139" s="1866">
        <f t="shared" si="39"/>
        <v>0</v>
      </c>
      <c r="W139" s="1869">
        <f>S139+U139</f>
        <v>5196.4814879999976</v>
      </c>
      <c r="X139" s="1870">
        <f t="shared" si="41"/>
        <v>358158.33904383995</v>
      </c>
      <c r="Y139" s="1871">
        <f t="shared" si="42"/>
        <v>0.98203715593262741</v>
      </c>
      <c r="Z139" s="1694">
        <f>+E139-W139</f>
        <v>94.018512000002374</v>
      </c>
      <c r="AA139" s="1872">
        <f t="shared" si="44"/>
        <v>6551.2099161601664</v>
      </c>
      <c r="AB139" s="1873">
        <f t="shared" si="45"/>
        <v>1.7962813796710365E-2</v>
      </c>
      <c r="AC139" s="2092">
        <f t="shared" si="27"/>
        <v>1.1039999880267715E-2</v>
      </c>
      <c r="AD139" s="2092">
        <f t="shared" si="28"/>
        <v>0</v>
      </c>
      <c r="AE139" s="1418">
        <v>364709.54896000004</v>
      </c>
      <c r="AF139" s="1418">
        <f t="shared" si="29"/>
        <v>-1.1039999953936785E-2</v>
      </c>
      <c r="AG139" s="1418">
        <v>69.680000000000007</v>
      </c>
      <c r="AH139" s="1418">
        <f t="shared" si="30"/>
        <v>0</v>
      </c>
      <c r="AI139" s="1428"/>
      <c r="AO139" s="2504">
        <v>358158.33904383995</v>
      </c>
      <c r="AP139" s="1418">
        <f t="shared" si="38"/>
        <v>0</v>
      </c>
      <c r="AQ139" s="1418">
        <f t="shared" si="31"/>
        <v>-1.1039999895729125E-2</v>
      </c>
    </row>
    <row r="140" spans="1:43" s="1410" customFormat="1" ht="15.75">
      <c r="A140" s="2102" t="s">
        <v>3619</v>
      </c>
      <c r="B140" s="1268" t="s">
        <v>2306</v>
      </c>
      <c r="C140" s="1241" t="s">
        <v>2948</v>
      </c>
      <c r="D140" s="1245" t="s">
        <v>48</v>
      </c>
      <c r="E140" s="1413">
        <v>84544.43</v>
      </c>
      <c r="F140" s="1555">
        <v>4.9400000000000004</v>
      </c>
      <c r="G140" s="1480">
        <v>5.05</v>
      </c>
      <c r="H140" s="1414">
        <v>5.1100000000000003</v>
      </c>
      <c r="I140" s="1477">
        <f t="shared" si="25"/>
        <v>417649.48</v>
      </c>
      <c r="J140" s="1477">
        <f t="shared" si="26"/>
        <v>426949.37</v>
      </c>
      <c r="K140" s="1477">
        <v>52053.083404799996</v>
      </c>
      <c r="L140" s="1477">
        <f t="shared" si="32"/>
        <v>52053.079999999994</v>
      </c>
      <c r="M140" s="1477">
        <v>32491.346595199997</v>
      </c>
      <c r="N140" s="1477">
        <f t="shared" si="33"/>
        <v>32491.35</v>
      </c>
      <c r="O140" s="1477">
        <f t="shared" si="34"/>
        <v>262868.05</v>
      </c>
      <c r="P140" s="1477">
        <f t="shared" si="35"/>
        <v>164081.32</v>
      </c>
      <c r="Q140" s="1477">
        <f t="shared" si="36"/>
        <v>166030.79999999999</v>
      </c>
      <c r="R140" s="1576">
        <f t="shared" si="37"/>
        <v>428898.85</v>
      </c>
      <c r="S140" s="1869">
        <v>84544.43</v>
      </c>
      <c r="T140" s="1866">
        <v>428898.85229571199</v>
      </c>
      <c r="U140" s="2439"/>
      <c r="V140" s="1866">
        <f t="shared" si="39"/>
        <v>0</v>
      </c>
      <c r="W140" s="1869">
        <f>S140+U140</f>
        <v>84544.43</v>
      </c>
      <c r="X140" s="1870">
        <f t="shared" si="41"/>
        <v>428898.85229571199</v>
      </c>
      <c r="Y140" s="1871">
        <f t="shared" si="42"/>
        <v>1.0000000053525722</v>
      </c>
      <c r="Z140" s="1694">
        <f>+E140-W140</f>
        <v>0</v>
      </c>
      <c r="AA140" s="1872">
        <f t="shared" si="44"/>
        <v>0</v>
      </c>
      <c r="AB140" s="1873">
        <f t="shared" si="45"/>
        <v>0</v>
      </c>
      <c r="AC140" s="1418">
        <f t="shared" si="27"/>
        <v>-2.2957120090723038E-3</v>
      </c>
      <c r="AD140" s="1418">
        <f t="shared" si="28"/>
        <v>0</v>
      </c>
      <c r="AE140" s="1418">
        <v>428898.85229571199</v>
      </c>
      <c r="AF140" s="1418">
        <f t="shared" si="29"/>
        <v>2.2957120090723038E-3</v>
      </c>
      <c r="AG140" s="1418">
        <v>5.1100000000000003</v>
      </c>
      <c r="AH140" s="1418">
        <f t="shared" si="30"/>
        <v>0</v>
      </c>
      <c r="AI140" s="1428" t="s">
        <v>3666</v>
      </c>
      <c r="AO140" s="2504">
        <v>428898.85229571199</v>
      </c>
      <c r="AP140" s="1418">
        <f t="shared" si="38"/>
        <v>0</v>
      </c>
      <c r="AQ140" s="1418">
        <f t="shared" si="31"/>
        <v>2.2957120090723038E-3</v>
      </c>
    </row>
    <row r="141" spans="1:43" s="1410" customFormat="1" ht="15.75">
      <c r="A141" s="2102"/>
      <c r="B141" s="1272" t="s">
        <v>2307</v>
      </c>
      <c r="C141" s="1262" t="s">
        <v>2949</v>
      </c>
      <c r="D141" s="1273"/>
      <c r="E141" s="1415"/>
      <c r="F141" s="1267"/>
      <c r="G141" s="1480"/>
      <c r="H141" s="1416"/>
      <c r="I141" s="1477">
        <f t="shared" si="25"/>
        <v>0</v>
      </c>
      <c r="J141" s="1477">
        <f t="shared" si="26"/>
        <v>0</v>
      </c>
      <c r="K141" s="1477"/>
      <c r="L141" s="1477">
        <f t="shared" si="32"/>
        <v>0</v>
      </c>
      <c r="M141" s="1477"/>
      <c r="N141" s="1477">
        <f t="shared" si="33"/>
        <v>0</v>
      </c>
      <c r="O141" s="1477">
        <f t="shared" si="34"/>
        <v>0</v>
      </c>
      <c r="P141" s="1477">
        <f t="shared" si="35"/>
        <v>0</v>
      </c>
      <c r="Q141" s="1477">
        <f t="shared" si="36"/>
        <v>0</v>
      </c>
      <c r="R141" s="1576">
        <f t="shared" si="37"/>
        <v>0</v>
      </c>
      <c r="S141" s="1869"/>
      <c r="T141" s="1866"/>
      <c r="U141" s="2439"/>
      <c r="V141" s="1866">
        <f t="shared" si="39"/>
        <v>0</v>
      </c>
      <c r="W141" s="1869"/>
      <c r="X141" s="1870"/>
      <c r="Y141" s="1871" t="str">
        <f t="shared" si="42"/>
        <v/>
      </c>
      <c r="Z141" s="1694"/>
      <c r="AA141" s="1872">
        <f t="shared" si="44"/>
        <v>0</v>
      </c>
      <c r="AB141" s="1873" t="str">
        <f t="shared" si="45"/>
        <v/>
      </c>
      <c r="AC141" s="1418">
        <f t="shared" si="27"/>
        <v>0</v>
      </c>
      <c r="AD141" s="1418">
        <f t="shared" si="28"/>
        <v>0</v>
      </c>
      <c r="AE141" s="1418"/>
      <c r="AF141" s="1418">
        <f t="shared" si="29"/>
        <v>0</v>
      </c>
      <c r="AG141" s="1418"/>
      <c r="AH141" s="1418">
        <f t="shared" si="30"/>
        <v>0</v>
      </c>
      <c r="AI141" s="1428"/>
      <c r="AO141" s="2504"/>
      <c r="AP141" s="1418">
        <f t="shared" si="38"/>
        <v>0</v>
      </c>
      <c r="AQ141" s="1418">
        <f t="shared" si="31"/>
        <v>0</v>
      </c>
    </row>
    <row r="142" spans="1:43" s="1410" customFormat="1" ht="15.75">
      <c r="A142" s="2102"/>
      <c r="B142" s="1268" t="s">
        <v>2308</v>
      </c>
      <c r="C142" s="1241" t="s">
        <v>2950</v>
      </c>
      <c r="D142" s="1245" t="s">
        <v>40</v>
      </c>
      <c r="E142" s="1413">
        <v>196.52</v>
      </c>
      <c r="F142" s="1555">
        <v>379.52</v>
      </c>
      <c r="G142" s="1480">
        <v>389.58</v>
      </c>
      <c r="H142" s="1414">
        <v>394.71</v>
      </c>
      <c r="I142" s="1477">
        <f t="shared" si="25"/>
        <v>74583.27</v>
      </c>
      <c r="J142" s="1477">
        <f t="shared" si="26"/>
        <v>76560.259999999995</v>
      </c>
      <c r="K142" s="1477">
        <v>44.8</v>
      </c>
      <c r="L142" s="1477">
        <f t="shared" si="32"/>
        <v>44.800000000000011</v>
      </c>
      <c r="M142" s="1477">
        <v>151.72000000000003</v>
      </c>
      <c r="N142" s="1477">
        <f t="shared" si="33"/>
        <v>151.72</v>
      </c>
      <c r="O142" s="1477">
        <f t="shared" si="34"/>
        <v>17453.18</v>
      </c>
      <c r="P142" s="1477">
        <f t="shared" si="35"/>
        <v>59107.08</v>
      </c>
      <c r="Q142" s="1477">
        <f t="shared" si="36"/>
        <v>59885.4</v>
      </c>
      <c r="R142" s="1576">
        <f t="shared" si="37"/>
        <v>77338.58</v>
      </c>
      <c r="S142" s="1869">
        <v>174.59349999999998</v>
      </c>
      <c r="T142" s="1866">
        <v>68683.976385000002</v>
      </c>
      <c r="U142" s="2439"/>
      <c r="V142" s="1866">
        <f t="shared" si="39"/>
        <v>0</v>
      </c>
      <c r="W142" s="1869">
        <f>S142+U142</f>
        <v>174.59349999999998</v>
      </c>
      <c r="X142" s="1870">
        <f t="shared" si="41"/>
        <v>68683.976385000002</v>
      </c>
      <c r="Y142" s="1871">
        <f t="shared" si="42"/>
        <v>0.88809461442141813</v>
      </c>
      <c r="Z142" s="1694">
        <f>+E142-W142</f>
        <v>21.926500000000033</v>
      </c>
      <c r="AA142" s="1872">
        <f t="shared" si="44"/>
        <v>8654.6088150000123</v>
      </c>
      <c r="AB142" s="1873">
        <f t="shared" si="45"/>
        <v>0.11190545281539967</v>
      </c>
      <c r="AC142" s="1418">
        <f t="shared" si="27"/>
        <v>-5.2000000123371137E-3</v>
      </c>
      <c r="AD142" s="1418">
        <f t="shared" si="28"/>
        <v>0</v>
      </c>
      <c r="AE142" s="1418">
        <v>77323.41320000001</v>
      </c>
      <c r="AF142" s="1418">
        <f t="shared" si="29"/>
        <v>-15.166799999991781</v>
      </c>
      <c r="AG142" s="1418">
        <v>394.61</v>
      </c>
      <c r="AH142" s="1418">
        <f t="shared" si="30"/>
        <v>-9.9999999999965894E-2</v>
      </c>
      <c r="AI142" s="1428"/>
      <c r="AO142" s="2504">
        <v>68683.976385000002</v>
      </c>
      <c r="AP142" s="1418">
        <f t="shared" si="38"/>
        <v>0</v>
      </c>
      <c r="AQ142" s="1418">
        <f t="shared" si="31"/>
        <v>5.2000000141561031E-3</v>
      </c>
    </row>
    <row r="143" spans="1:43" s="1410" customFormat="1" ht="15.75">
      <c r="A143" s="2102"/>
      <c r="B143" s="1268" t="s">
        <v>2309</v>
      </c>
      <c r="C143" s="1241" t="s">
        <v>2951</v>
      </c>
      <c r="D143" s="1245" t="s">
        <v>37</v>
      </c>
      <c r="E143" s="1413">
        <v>2227.79</v>
      </c>
      <c r="F143" s="1555">
        <v>64.81</v>
      </c>
      <c r="G143" s="1480">
        <v>67.959999999999994</v>
      </c>
      <c r="H143" s="1414">
        <v>69.680000000000007</v>
      </c>
      <c r="I143" s="1477">
        <f t="shared" si="25"/>
        <v>144383.07</v>
      </c>
      <c r="J143" s="1477">
        <f t="shared" si="26"/>
        <v>151400.60999999999</v>
      </c>
      <c r="K143" s="1477">
        <v>755.06</v>
      </c>
      <c r="L143" s="1477">
        <f t="shared" si="32"/>
        <v>755.06</v>
      </c>
      <c r="M143" s="1477">
        <v>1472.73</v>
      </c>
      <c r="N143" s="1477">
        <f t="shared" si="33"/>
        <v>1472.73</v>
      </c>
      <c r="O143" s="1477">
        <f t="shared" si="34"/>
        <v>51313.88</v>
      </c>
      <c r="P143" s="1477">
        <f t="shared" si="35"/>
        <v>100086.73</v>
      </c>
      <c r="Q143" s="1477">
        <f t="shared" si="36"/>
        <v>102619.83</v>
      </c>
      <c r="R143" s="1576">
        <f t="shared" si="37"/>
        <v>153933.71</v>
      </c>
      <c r="S143" s="1869">
        <v>2227.79</v>
      </c>
      <c r="T143" s="1866">
        <v>153933.70400000003</v>
      </c>
      <c r="U143" s="2439"/>
      <c r="V143" s="1866">
        <f t="shared" si="39"/>
        <v>0</v>
      </c>
      <c r="W143" s="1869">
        <f>S143+U143</f>
        <v>2227.79</v>
      </c>
      <c r="X143" s="1870">
        <f t="shared" si="41"/>
        <v>153933.70400000003</v>
      </c>
      <c r="Y143" s="1871">
        <f t="shared" si="42"/>
        <v>0.99999996102218314</v>
      </c>
      <c r="Z143" s="1694">
        <f>+E143-W143</f>
        <v>0</v>
      </c>
      <c r="AA143" s="1872">
        <f t="shared" si="44"/>
        <v>0</v>
      </c>
      <c r="AB143" s="1873">
        <f t="shared" si="45"/>
        <v>0</v>
      </c>
      <c r="AC143" s="1418">
        <f t="shared" si="27"/>
        <v>5.9999999648425728E-3</v>
      </c>
      <c r="AD143" s="1418">
        <f t="shared" si="28"/>
        <v>0</v>
      </c>
      <c r="AE143" s="1418">
        <v>153933.70400000003</v>
      </c>
      <c r="AF143" s="1418">
        <f t="shared" si="29"/>
        <v>-5.9999999648425728E-3</v>
      </c>
      <c r="AG143" s="1418">
        <v>69.680000000000007</v>
      </c>
      <c r="AH143" s="1418">
        <f t="shared" si="30"/>
        <v>0</v>
      </c>
      <c r="AI143" s="1428"/>
      <c r="AO143" s="2504">
        <v>153933.70400000003</v>
      </c>
      <c r="AP143" s="1418">
        <f t="shared" si="38"/>
        <v>0</v>
      </c>
      <c r="AQ143" s="1418">
        <f t="shared" si="31"/>
        <v>-5.9999999648425728E-3</v>
      </c>
    </row>
    <row r="144" spans="1:43" s="1410" customFormat="1" ht="15.75">
      <c r="A144" s="2102"/>
      <c r="B144" s="1268" t="s">
        <v>2310</v>
      </c>
      <c r="C144" s="1241" t="s">
        <v>2952</v>
      </c>
      <c r="D144" s="1245" t="s">
        <v>48</v>
      </c>
      <c r="E144" s="1413">
        <v>6731.96</v>
      </c>
      <c r="F144" s="1555">
        <v>4.9400000000000004</v>
      </c>
      <c r="G144" s="1480">
        <v>5.05</v>
      </c>
      <c r="H144" s="1414">
        <v>5.1100000000000003</v>
      </c>
      <c r="I144" s="1477">
        <f t="shared" ref="I144:I207" si="49">ROUND(E144*F144,2)</f>
        <v>33255.879999999997</v>
      </c>
      <c r="J144" s="1477">
        <f t="shared" ref="J144:J207" si="50">ROUND(E144*G144,2)</f>
        <v>33996.400000000001</v>
      </c>
      <c r="K144" s="1477">
        <v>2367.8052720000001</v>
      </c>
      <c r="L144" s="1477">
        <f t="shared" si="32"/>
        <v>2367.8100000000004</v>
      </c>
      <c r="M144" s="1477">
        <v>4364.1547279999995</v>
      </c>
      <c r="N144" s="1477">
        <f t="shared" si="33"/>
        <v>4364.1499999999996</v>
      </c>
      <c r="O144" s="1477">
        <f t="shared" si="34"/>
        <v>11957.44</v>
      </c>
      <c r="P144" s="1477">
        <f t="shared" si="35"/>
        <v>22038.959999999999</v>
      </c>
      <c r="Q144" s="1477">
        <f t="shared" si="36"/>
        <v>22300.81</v>
      </c>
      <c r="R144" s="1576">
        <f t="shared" si="37"/>
        <v>34258.25</v>
      </c>
      <c r="S144" s="1869">
        <v>4132.0138719999986</v>
      </c>
      <c r="T144" s="1866">
        <v>20972.522569600002</v>
      </c>
      <c r="U144" s="2439"/>
      <c r="V144" s="1866">
        <f t="shared" si="39"/>
        <v>0</v>
      </c>
      <c r="W144" s="1869">
        <f>S144+U144</f>
        <v>4132.0138719999986</v>
      </c>
      <c r="X144" s="1870">
        <f t="shared" si="41"/>
        <v>20972.522569600002</v>
      </c>
      <c r="Y144" s="1871">
        <f t="shared" si="42"/>
        <v>0.61218896381455568</v>
      </c>
      <c r="Z144" s="1694">
        <f>+E144-W144</f>
        <v>2599.9461280000014</v>
      </c>
      <c r="AA144" s="1872">
        <f t="shared" si="44"/>
        <v>13285.724714080008</v>
      </c>
      <c r="AB144" s="1873">
        <f t="shared" si="45"/>
        <v>0.38781095689593043</v>
      </c>
      <c r="AC144" s="1418">
        <f t="shared" ref="AC144:AC207" si="51">+R144-X144-AA144</f>
        <v>2.7163199902133783E-3</v>
      </c>
      <c r="AD144" s="1418">
        <f t="shared" ref="AD144:AD207" si="52">+E144-W144-Z144</f>
        <v>0</v>
      </c>
      <c r="AE144" s="1418">
        <v>34258.247283680001</v>
      </c>
      <c r="AF144" s="1418">
        <f t="shared" ref="AF144:AF207" si="53">+AE144-R144</f>
        <v>-2.7163199993083254E-3</v>
      </c>
      <c r="AG144" s="1418">
        <v>5.1100000000000003</v>
      </c>
      <c r="AH144" s="1418">
        <f t="shared" ref="AH144:AH207" si="54">+AG144-H144</f>
        <v>0</v>
      </c>
      <c r="AI144" s="1428"/>
      <c r="AO144" s="2504">
        <v>20972.522569600002</v>
      </c>
      <c r="AP144" s="1418">
        <f t="shared" si="38"/>
        <v>0</v>
      </c>
      <c r="AQ144" s="1418">
        <f t="shared" ref="AQ144:AQ207" si="55">+T144+V144+AA144-R144</f>
        <v>-2.7163199920323677E-3</v>
      </c>
    </row>
    <row r="145" spans="1:44" s="1410" customFormat="1" ht="15.75">
      <c r="A145" s="2102"/>
      <c r="B145" s="1272" t="s">
        <v>2311</v>
      </c>
      <c r="C145" s="1262" t="s">
        <v>2953</v>
      </c>
      <c r="D145" s="1273"/>
      <c r="E145" s="1415"/>
      <c r="F145" s="1267"/>
      <c r="G145" s="1480"/>
      <c r="H145" s="1542"/>
      <c r="I145" s="1477">
        <f t="shared" si="49"/>
        <v>0</v>
      </c>
      <c r="J145" s="1477">
        <f t="shared" si="50"/>
        <v>0</v>
      </c>
      <c r="K145" s="1477"/>
      <c r="L145" s="1477">
        <f t="shared" ref="L145:L208" si="56">E145-N145</f>
        <v>0</v>
      </c>
      <c r="M145" s="1477"/>
      <c r="N145" s="1477">
        <f t="shared" ref="N145:N208" si="57">ROUND(M145,2)</f>
        <v>0</v>
      </c>
      <c r="O145" s="1477">
        <f t="shared" ref="O145:O208" si="58">ROUND(L145*G145,2)</f>
        <v>0</v>
      </c>
      <c r="P145" s="1477">
        <f t="shared" ref="P145:P208" si="59">ROUND(N145*G145,2)</f>
        <v>0</v>
      </c>
      <c r="Q145" s="1477">
        <f t="shared" ref="Q145:Q208" si="60">ROUND(N145*H145,2)</f>
        <v>0</v>
      </c>
      <c r="R145" s="1576">
        <f t="shared" ref="R145:R208" si="61">O145+Q145</f>
        <v>0</v>
      </c>
      <c r="S145" s="1869"/>
      <c r="T145" s="1866"/>
      <c r="U145" s="2439"/>
      <c r="V145" s="1866">
        <f t="shared" si="39"/>
        <v>0</v>
      </c>
      <c r="W145" s="1869"/>
      <c r="X145" s="1870"/>
      <c r="Y145" s="1871" t="str">
        <f t="shared" si="42"/>
        <v/>
      </c>
      <c r="Z145" s="1694"/>
      <c r="AA145" s="1872">
        <f t="shared" si="44"/>
        <v>0</v>
      </c>
      <c r="AB145" s="1873" t="str">
        <f t="shared" si="45"/>
        <v/>
      </c>
      <c r="AC145" s="1418">
        <f t="shared" si="51"/>
        <v>0</v>
      </c>
      <c r="AD145" s="1418">
        <f t="shared" si="52"/>
        <v>0</v>
      </c>
      <c r="AE145" s="1418"/>
      <c r="AF145" s="1418">
        <f t="shared" si="53"/>
        <v>0</v>
      </c>
      <c r="AG145" s="1418"/>
      <c r="AH145" s="1418">
        <f t="shared" si="54"/>
        <v>0</v>
      </c>
      <c r="AI145" s="1428"/>
      <c r="AO145" s="2504"/>
      <c r="AP145" s="1418">
        <f t="shared" ref="AP145:AP208" si="62">+AO145-X145</f>
        <v>0</v>
      </c>
      <c r="AQ145" s="1418">
        <f t="shared" si="55"/>
        <v>0</v>
      </c>
    </row>
    <row r="146" spans="1:44" s="1410" customFormat="1" ht="15.75">
      <c r="A146" s="2102"/>
      <c r="B146" s="1268" t="s">
        <v>2312</v>
      </c>
      <c r="C146" s="1241" t="s">
        <v>2954</v>
      </c>
      <c r="D146" s="1245" t="s">
        <v>40</v>
      </c>
      <c r="E146" s="1413">
        <v>121.11</v>
      </c>
      <c r="F146" s="1555">
        <v>447.17</v>
      </c>
      <c r="G146" s="1480">
        <v>449.17</v>
      </c>
      <c r="H146" s="1414">
        <v>450.19</v>
      </c>
      <c r="I146" s="1477">
        <f t="shared" si="49"/>
        <v>54156.76</v>
      </c>
      <c r="J146" s="1477">
        <f t="shared" si="50"/>
        <v>54398.98</v>
      </c>
      <c r="K146" s="1477">
        <v>29.803375000000003</v>
      </c>
      <c r="L146" s="1477">
        <f t="shared" si="56"/>
        <v>29.799999999999997</v>
      </c>
      <c r="M146" s="1477">
        <v>91.306624999999997</v>
      </c>
      <c r="N146" s="1477">
        <f t="shared" si="57"/>
        <v>91.31</v>
      </c>
      <c r="O146" s="1477">
        <f t="shared" si="58"/>
        <v>13385.27</v>
      </c>
      <c r="P146" s="1477">
        <f t="shared" si="59"/>
        <v>41013.71</v>
      </c>
      <c r="Q146" s="1477">
        <f t="shared" si="60"/>
        <v>41106.85</v>
      </c>
      <c r="R146" s="1576">
        <f t="shared" si="61"/>
        <v>54492.119999999995</v>
      </c>
      <c r="S146" s="1869">
        <v>121.11</v>
      </c>
      <c r="T146" s="1866">
        <v>54492.111457499996</v>
      </c>
      <c r="U146" s="2439"/>
      <c r="V146" s="1866">
        <f t="shared" ref="V146:V209" si="63">+U146*H146</f>
        <v>0</v>
      </c>
      <c r="W146" s="1869">
        <f>S146+U146</f>
        <v>121.11</v>
      </c>
      <c r="X146" s="1870">
        <f t="shared" ref="X146:X206" si="64">+V146+T146</f>
        <v>54492.111457499996</v>
      </c>
      <c r="Y146" s="1871">
        <f t="shared" ref="Y146:Y209" si="65">+IF(D146=0,"",X146/R146)</f>
        <v>0.99999984323421443</v>
      </c>
      <c r="Z146" s="1694">
        <f>+E146-W146</f>
        <v>0</v>
      </c>
      <c r="AA146" s="1872">
        <f t="shared" ref="AA146:AA209" si="66">+Z146*H146</f>
        <v>0</v>
      </c>
      <c r="AB146" s="1873">
        <f t="shared" ref="AB146:AB209" si="67">+IF(R146=0,"",AA146/R146)</f>
        <v>0</v>
      </c>
      <c r="AC146" s="1418">
        <f t="shared" si="51"/>
        <v>8.5424999997485429E-3</v>
      </c>
      <c r="AD146" s="1418">
        <f t="shared" si="52"/>
        <v>0</v>
      </c>
      <c r="AE146" s="1418">
        <v>54492.111457499996</v>
      </c>
      <c r="AF146" s="1418">
        <f t="shared" si="53"/>
        <v>-8.5424999997485429E-3</v>
      </c>
      <c r="AG146" s="1418">
        <v>450.19</v>
      </c>
      <c r="AH146" s="1418">
        <f t="shared" si="54"/>
        <v>0</v>
      </c>
      <c r="AI146" s="1428"/>
      <c r="AO146" s="2504">
        <v>54492.111457499996</v>
      </c>
      <c r="AP146" s="1418">
        <f t="shared" si="62"/>
        <v>0</v>
      </c>
      <c r="AQ146" s="1418">
        <f t="shared" si="55"/>
        <v>-8.5424999997485429E-3</v>
      </c>
    </row>
    <row r="147" spans="1:44" s="1410" customFormat="1" ht="15.75">
      <c r="A147" s="2102"/>
      <c r="B147" s="1268" t="s">
        <v>2313</v>
      </c>
      <c r="C147" s="1241" t="s">
        <v>2955</v>
      </c>
      <c r="D147" s="1245" t="s">
        <v>37</v>
      </c>
      <c r="E147" s="1413">
        <v>1741.99</v>
      </c>
      <c r="F147" s="1555">
        <v>71.88</v>
      </c>
      <c r="G147" s="1480">
        <v>75.03</v>
      </c>
      <c r="H147" s="1414">
        <v>76.75</v>
      </c>
      <c r="I147" s="1477">
        <f t="shared" si="49"/>
        <v>125214.24</v>
      </c>
      <c r="J147" s="1477">
        <f t="shared" si="50"/>
        <v>130701.51</v>
      </c>
      <c r="K147" s="1477">
        <v>380.7</v>
      </c>
      <c r="L147" s="1477">
        <f t="shared" si="56"/>
        <v>380.70000000000005</v>
      </c>
      <c r="M147" s="1477">
        <v>1361.29</v>
      </c>
      <c r="N147" s="1477">
        <f t="shared" si="57"/>
        <v>1361.29</v>
      </c>
      <c r="O147" s="1477">
        <f t="shared" si="58"/>
        <v>28563.919999999998</v>
      </c>
      <c r="P147" s="1477">
        <f t="shared" si="59"/>
        <v>102137.59</v>
      </c>
      <c r="Q147" s="1477">
        <f t="shared" si="60"/>
        <v>104479.01</v>
      </c>
      <c r="R147" s="1576">
        <f t="shared" si="61"/>
        <v>133042.93</v>
      </c>
      <c r="S147" s="1869">
        <v>1741.99</v>
      </c>
      <c r="T147" s="1866">
        <v>133042.92850000001</v>
      </c>
      <c r="U147" s="2439"/>
      <c r="V147" s="1866">
        <f t="shared" si="63"/>
        <v>0</v>
      </c>
      <c r="W147" s="1869">
        <f>S147+U147</f>
        <v>1741.99</v>
      </c>
      <c r="X147" s="1870">
        <f t="shared" si="64"/>
        <v>133042.92850000001</v>
      </c>
      <c r="Y147" s="1871">
        <f t="shared" si="65"/>
        <v>0.99999998872544382</v>
      </c>
      <c r="Z147" s="1694">
        <f>+E147-W147</f>
        <v>0</v>
      </c>
      <c r="AA147" s="1872">
        <f t="shared" si="66"/>
        <v>0</v>
      </c>
      <c r="AB147" s="1873">
        <f t="shared" si="67"/>
        <v>0</v>
      </c>
      <c r="AC147" s="2092">
        <f t="shared" si="51"/>
        <v>1.4999999839346856E-3</v>
      </c>
      <c r="AD147" s="2092">
        <f t="shared" si="52"/>
        <v>0</v>
      </c>
      <c r="AE147" s="1418">
        <v>132906.79949999999</v>
      </c>
      <c r="AF147" s="1418">
        <f t="shared" si="53"/>
        <v>-136.1304999999993</v>
      </c>
      <c r="AG147" s="1418">
        <v>76.650000000000006</v>
      </c>
      <c r="AH147" s="1418">
        <f t="shared" si="54"/>
        <v>-9.9999999999994316E-2</v>
      </c>
      <c r="AI147" s="1428"/>
      <c r="AO147" s="2504">
        <v>133042.92850000001</v>
      </c>
      <c r="AP147" s="1418">
        <f t="shared" si="62"/>
        <v>0</v>
      </c>
      <c r="AQ147" s="1418">
        <f t="shared" si="55"/>
        <v>-1.4999999839346856E-3</v>
      </c>
      <c r="AR147" s="1410">
        <f>+E147*H147</f>
        <v>133697.73250000001</v>
      </c>
    </row>
    <row r="148" spans="1:44" s="1410" customFormat="1" ht="15.75">
      <c r="A148" s="2102"/>
      <c r="B148" s="1268" t="s">
        <v>2314</v>
      </c>
      <c r="C148" s="1241" t="s">
        <v>2956</v>
      </c>
      <c r="D148" s="1245" t="s">
        <v>48</v>
      </c>
      <c r="E148" s="1413">
        <v>18176.62</v>
      </c>
      <c r="F148" s="1555">
        <v>4.9400000000000004</v>
      </c>
      <c r="G148" s="1480">
        <v>5.05</v>
      </c>
      <c r="H148" s="1414">
        <v>5.1100000000000003</v>
      </c>
      <c r="I148" s="1477">
        <f t="shared" si="49"/>
        <v>89792.5</v>
      </c>
      <c r="J148" s="1477">
        <f t="shared" si="50"/>
        <v>91791.93</v>
      </c>
      <c r="K148" s="1477">
        <v>4711.7261103999999</v>
      </c>
      <c r="L148" s="1477">
        <f t="shared" si="56"/>
        <v>4711.7299999999996</v>
      </c>
      <c r="M148" s="1477">
        <v>13464.8938896</v>
      </c>
      <c r="N148" s="1477">
        <f t="shared" si="57"/>
        <v>13464.89</v>
      </c>
      <c r="O148" s="1477">
        <f t="shared" si="58"/>
        <v>23794.240000000002</v>
      </c>
      <c r="P148" s="1477">
        <f t="shared" si="59"/>
        <v>67997.69</v>
      </c>
      <c r="Q148" s="1477">
        <f t="shared" si="60"/>
        <v>68805.59</v>
      </c>
      <c r="R148" s="1576">
        <f t="shared" si="61"/>
        <v>92599.83</v>
      </c>
      <c r="S148" s="1869">
        <v>18176.62</v>
      </c>
      <c r="T148" s="1866">
        <v>92599.824633376003</v>
      </c>
      <c r="U148" s="2442"/>
      <c r="V148" s="1866">
        <f t="shared" si="63"/>
        <v>0</v>
      </c>
      <c r="W148" s="1869">
        <f>S148+U148</f>
        <v>18176.62</v>
      </c>
      <c r="X148" s="1870">
        <f t="shared" si="64"/>
        <v>92599.824633376003</v>
      </c>
      <c r="Y148" s="1871">
        <f t="shared" si="65"/>
        <v>0.99999994204499076</v>
      </c>
      <c r="Z148" s="1694">
        <f>+E148-W148</f>
        <v>0</v>
      </c>
      <c r="AA148" s="1872">
        <f t="shared" si="66"/>
        <v>0</v>
      </c>
      <c r="AB148" s="1873">
        <f t="shared" si="67"/>
        <v>0</v>
      </c>
      <c r="AC148" s="1418">
        <f t="shared" si="51"/>
        <v>5.3666239982703701E-3</v>
      </c>
      <c r="AD148" s="1418">
        <f t="shared" si="52"/>
        <v>0</v>
      </c>
      <c r="AE148" s="1418">
        <v>92599.824633376003</v>
      </c>
      <c r="AF148" s="1418">
        <f t="shared" si="53"/>
        <v>-5.3666239982703701E-3</v>
      </c>
      <c r="AG148" s="1418">
        <v>5.1100000000000003</v>
      </c>
      <c r="AH148" s="1418">
        <f t="shared" si="54"/>
        <v>0</v>
      </c>
      <c r="AI148" s="1428"/>
      <c r="AO148" s="2504">
        <v>92599.824633376003</v>
      </c>
      <c r="AP148" s="1418">
        <f t="shared" si="62"/>
        <v>0</v>
      </c>
      <c r="AQ148" s="1418">
        <f t="shared" si="55"/>
        <v>-5.3666239982703701E-3</v>
      </c>
    </row>
    <row r="149" spans="1:44" s="1410" customFormat="1" ht="15.75">
      <c r="A149" s="2102" t="s">
        <v>3619</v>
      </c>
      <c r="B149" s="1272" t="s">
        <v>2315</v>
      </c>
      <c r="C149" s="1262" t="s">
        <v>2957</v>
      </c>
      <c r="D149" s="1273"/>
      <c r="E149" s="1415"/>
      <c r="F149" s="1267"/>
      <c r="G149" s="1480"/>
      <c r="H149" s="1416"/>
      <c r="I149" s="1477">
        <f t="shared" si="49"/>
        <v>0</v>
      </c>
      <c r="J149" s="1477">
        <f t="shared" si="50"/>
        <v>0</v>
      </c>
      <c r="K149" s="1477"/>
      <c r="L149" s="1477">
        <f t="shared" si="56"/>
        <v>0</v>
      </c>
      <c r="M149" s="1477"/>
      <c r="N149" s="1477">
        <f t="shared" si="57"/>
        <v>0</v>
      </c>
      <c r="O149" s="1477">
        <f t="shared" si="58"/>
        <v>0</v>
      </c>
      <c r="P149" s="1477">
        <f t="shared" si="59"/>
        <v>0</v>
      </c>
      <c r="Q149" s="1477">
        <f t="shared" si="60"/>
        <v>0</v>
      </c>
      <c r="R149" s="1576">
        <f t="shared" si="61"/>
        <v>0</v>
      </c>
      <c r="S149" s="1869"/>
      <c r="T149" s="1866"/>
      <c r="U149" s="2442"/>
      <c r="V149" s="1866">
        <f t="shared" si="63"/>
        <v>0</v>
      </c>
      <c r="W149" s="1869"/>
      <c r="X149" s="1870"/>
      <c r="Y149" s="1871" t="str">
        <f t="shared" si="65"/>
        <v/>
      </c>
      <c r="Z149" s="1694"/>
      <c r="AA149" s="1872">
        <f t="shared" si="66"/>
        <v>0</v>
      </c>
      <c r="AB149" s="1873" t="str">
        <f t="shared" si="67"/>
        <v/>
      </c>
      <c r="AC149" s="1418">
        <f t="shared" si="51"/>
        <v>0</v>
      </c>
      <c r="AD149" s="1418">
        <f t="shared" si="52"/>
        <v>0</v>
      </c>
      <c r="AE149" s="1418"/>
      <c r="AF149" s="1418">
        <f t="shared" si="53"/>
        <v>0</v>
      </c>
      <c r="AG149" s="1418"/>
      <c r="AH149" s="1418">
        <f t="shared" si="54"/>
        <v>0</v>
      </c>
      <c r="AI149" s="1428"/>
      <c r="AO149" s="2504"/>
      <c r="AP149" s="1418">
        <f t="shared" si="62"/>
        <v>0</v>
      </c>
      <c r="AQ149" s="1418">
        <f t="shared" si="55"/>
        <v>0</v>
      </c>
    </row>
    <row r="150" spans="1:44" s="1410" customFormat="1" ht="15.75">
      <c r="A150" s="2102" t="s">
        <v>3619</v>
      </c>
      <c r="B150" s="1268" t="s">
        <v>2316</v>
      </c>
      <c r="C150" s="1241" t="s">
        <v>2958</v>
      </c>
      <c r="D150" s="1245" t="s">
        <v>40</v>
      </c>
      <c r="E150" s="1413">
        <v>343.34</v>
      </c>
      <c r="F150" s="1555">
        <v>434.77</v>
      </c>
      <c r="G150" s="1480">
        <v>435.75</v>
      </c>
      <c r="H150" s="1414">
        <v>436.26</v>
      </c>
      <c r="I150" s="1477">
        <f t="shared" si="49"/>
        <v>149273.93</v>
      </c>
      <c r="J150" s="1477">
        <f t="shared" si="50"/>
        <v>149610.41</v>
      </c>
      <c r="K150" s="1477">
        <v>206.99374999999998</v>
      </c>
      <c r="L150" s="1477">
        <f t="shared" si="56"/>
        <v>206.98999999999998</v>
      </c>
      <c r="M150" s="1477">
        <v>136.34625</v>
      </c>
      <c r="N150" s="1477">
        <f t="shared" si="57"/>
        <v>136.35</v>
      </c>
      <c r="O150" s="1477">
        <f t="shared" si="58"/>
        <v>90195.89</v>
      </c>
      <c r="P150" s="1477">
        <f t="shared" si="59"/>
        <v>59414.51</v>
      </c>
      <c r="Q150" s="1477">
        <f t="shared" si="60"/>
        <v>59484.05</v>
      </c>
      <c r="R150" s="1576">
        <f t="shared" si="61"/>
        <v>149679.94</v>
      </c>
      <c r="S150" s="1869">
        <v>343.34</v>
      </c>
      <c r="T150" s="1866">
        <v>149679.94158749998</v>
      </c>
      <c r="U150" s="2442"/>
      <c r="V150" s="1866">
        <f t="shared" si="63"/>
        <v>0</v>
      </c>
      <c r="W150" s="1869">
        <f>S150+U150</f>
        <v>343.34</v>
      </c>
      <c r="X150" s="1870">
        <f t="shared" si="64"/>
        <v>149679.94158749998</v>
      </c>
      <c r="Y150" s="1871">
        <f t="shared" si="65"/>
        <v>1.0000000106059634</v>
      </c>
      <c r="Z150" s="1694">
        <f>+E150-W150</f>
        <v>0</v>
      </c>
      <c r="AA150" s="1872">
        <f t="shared" si="66"/>
        <v>0</v>
      </c>
      <c r="AB150" s="1873">
        <f t="shared" si="67"/>
        <v>0</v>
      </c>
      <c r="AC150" s="1418">
        <f t="shared" si="51"/>
        <v>-1.587499980814755E-3</v>
      </c>
      <c r="AD150" s="1418">
        <f t="shared" si="52"/>
        <v>0</v>
      </c>
      <c r="AE150" s="1418">
        <v>149679.94158749998</v>
      </c>
      <c r="AF150" s="1418">
        <f t="shared" si="53"/>
        <v>1.587499980814755E-3</v>
      </c>
      <c r="AG150" s="1418">
        <v>436.26</v>
      </c>
      <c r="AH150" s="1418">
        <f t="shared" si="54"/>
        <v>0</v>
      </c>
      <c r="AI150" s="1428" t="s">
        <v>3666</v>
      </c>
      <c r="AO150" s="2504">
        <v>149679.94158749998</v>
      </c>
      <c r="AP150" s="1418">
        <f t="shared" si="62"/>
        <v>0</v>
      </c>
      <c r="AQ150" s="1418">
        <f t="shared" si="55"/>
        <v>1.587499980814755E-3</v>
      </c>
    </row>
    <row r="151" spans="1:44" s="1410" customFormat="1" ht="15.75">
      <c r="A151" s="2102" t="s">
        <v>3619</v>
      </c>
      <c r="B151" s="2130" t="s">
        <v>2317</v>
      </c>
      <c r="C151" s="1241" t="s">
        <v>2959</v>
      </c>
      <c r="D151" s="1245" t="s">
        <v>37</v>
      </c>
      <c r="E151" s="1413">
        <v>3363.19</v>
      </c>
      <c r="F151" s="1555">
        <v>85.45</v>
      </c>
      <c r="G151" s="1480">
        <v>88.96</v>
      </c>
      <c r="H151" s="1414">
        <v>90.87</v>
      </c>
      <c r="I151" s="1477">
        <f t="shared" si="49"/>
        <v>287384.59000000003</v>
      </c>
      <c r="J151" s="1477">
        <f t="shared" si="50"/>
        <v>299189.38</v>
      </c>
      <c r="K151" s="1477">
        <v>1075.07125</v>
      </c>
      <c r="L151" s="1477">
        <f t="shared" si="56"/>
        <v>1075.0700000000002</v>
      </c>
      <c r="M151" s="1477">
        <v>2288.1187500000001</v>
      </c>
      <c r="N151" s="1477">
        <f t="shared" si="57"/>
        <v>2288.12</v>
      </c>
      <c r="O151" s="1477">
        <f t="shared" si="58"/>
        <v>95638.23</v>
      </c>
      <c r="P151" s="1477">
        <f t="shared" si="59"/>
        <v>203551.16</v>
      </c>
      <c r="Q151" s="1477">
        <f t="shared" si="60"/>
        <v>207921.46</v>
      </c>
      <c r="R151" s="1576">
        <f t="shared" si="61"/>
        <v>303559.69</v>
      </c>
      <c r="S151" s="1869">
        <v>3194.6848750000004</v>
      </c>
      <c r="T151" s="1866">
        <v>288247.62850375002</v>
      </c>
      <c r="U151" s="2442"/>
      <c r="V151" s="1866">
        <f t="shared" si="63"/>
        <v>0</v>
      </c>
      <c r="W151" s="1869">
        <f>S151+U151</f>
        <v>3194.6848750000004</v>
      </c>
      <c r="X151" s="1870">
        <f t="shared" si="64"/>
        <v>288247.62850375002</v>
      </c>
      <c r="Y151" s="1871">
        <f t="shared" si="65"/>
        <v>0.94955831752150632</v>
      </c>
      <c r="Z151" s="1694">
        <f>+E151-W151</f>
        <v>168.50512499999968</v>
      </c>
      <c r="AA151" s="1872">
        <f t="shared" si="66"/>
        <v>15312.060708749972</v>
      </c>
      <c r="AB151" s="1873">
        <f t="shared" si="67"/>
        <v>5.0441679884275718E-2</v>
      </c>
      <c r="AC151" s="1418">
        <f t="shared" si="51"/>
        <v>7.8750001011940185E-4</v>
      </c>
      <c r="AD151" s="1418">
        <f t="shared" si="52"/>
        <v>0</v>
      </c>
      <c r="AE151" s="1418">
        <v>303559.6892125</v>
      </c>
      <c r="AF151" s="1418">
        <f t="shared" si="53"/>
        <v>-7.8750000102445483E-4</v>
      </c>
      <c r="AG151" s="1418">
        <v>90.87</v>
      </c>
      <c r="AH151" s="1418">
        <f t="shared" si="54"/>
        <v>0</v>
      </c>
      <c r="AI151" s="1428"/>
      <c r="AO151" s="2504">
        <v>288247.62850375002</v>
      </c>
      <c r="AP151" s="1418">
        <f t="shared" si="62"/>
        <v>0</v>
      </c>
      <c r="AQ151" s="1418">
        <f t="shared" si="55"/>
        <v>-7.8750000102445483E-4</v>
      </c>
    </row>
    <row r="152" spans="1:44" s="1410" customFormat="1" ht="15.75">
      <c r="A152" s="2102" t="s">
        <v>3619</v>
      </c>
      <c r="B152" s="2130" t="s">
        <v>2318</v>
      </c>
      <c r="C152" s="1241" t="s">
        <v>2960</v>
      </c>
      <c r="D152" s="1245" t="s">
        <v>48</v>
      </c>
      <c r="E152" s="1413">
        <v>94747.28</v>
      </c>
      <c r="F152" s="1555">
        <v>4.9400000000000004</v>
      </c>
      <c r="G152" s="1480">
        <v>5.05</v>
      </c>
      <c r="H152" s="1414">
        <v>5.1100000000000003</v>
      </c>
      <c r="I152" s="1477">
        <f t="shared" si="49"/>
        <v>468051.56</v>
      </c>
      <c r="J152" s="1477">
        <f t="shared" si="50"/>
        <v>478473.76</v>
      </c>
      <c r="K152" s="1477">
        <v>45844.315353999998</v>
      </c>
      <c r="L152" s="1477">
        <f t="shared" si="56"/>
        <v>45844.32</v>
      </c>
      <c r="M152" s="1477">
        <v>48902.964646</v>
      </c>
      <c r="N152" s="1477">
        <f t="shared" si="57"/>
        <v>48902.96</v>
      </c>
      <c r="O152" s="1477">
        <f t="shared" si="58"/>
        <v>231513.82</v>
      </c>
      <c r="P152" s="1477">
        <f t="shared" si="59"/>
        <v>246959.95</v>
      </c>
      <c r="Q152" s="1477">
        <f t="shared" si="60"/>
        <v>249894.13</v>
      </c>
      <c r="R152" s="1576">
        <f t="shared" si="61"/>
        <v>481407.95</v>
      </c>
      <c r="S152" s="1869">
        <v>91803.342319999982</v>
      </c>
      <c r="T152" s="1866">
        <v>466364.42033395998</v>
      </c>
      <c r="U152" s="2442"/>
      <c r="V152" s="1866">
        <f t="shared" si="63"/>
        <v>0</v>
      </c>
      <c r="W152" s="1869">
        <f>S152+U152</f>
        <v>91803.342319999982</v>
      </c>
      <c r="X152" s="1870">
        <f t="shared" si="64"/>
        <v>466364.42033395998</v>
      </c>
      <c r="Y152" s="1871">
        <f t="shared" si="65"/>
        <v>0.96875097375097352</v>
      </c>
      <c r="Z152" s="1694">
        <f>+E152-W152</f>
        <v>2943.9376800000173</v>
      </c>
      <c r="AA152" s="1872">
        <f t="shared" si="66"/>
        <v>15043.521544800089</v>
      </c>
      <c r="AB152" s="1873">
        <f t="shared" si="67"/>
        <v>3.12490093792595E-2</v>
      </c>
      <c r="AC152" s="2092">
        <f t="shared" si="51"/>
        <v>8.1212399454670958E-3</v>
      </c>
      <c r="AD152" s="2092">
        <f t="shared" si="52"/>
        <v>0</v>
      </c>
      <c r="AE152" s="1418">
        <v>481407.94187876</v>
      </c>
      <c r="AF152" s="1418">
        <f t="shared" si="53"/>
        <v>-8.1212400109507143E-3</v>
      </c>
      <c r="AG152" s="1418">
        <v>5.1100000000000003</v>
      </c>
      <c r="AH152" s="1418">
        <f t="shared" si="54"/>
        <v>0</v>
      </c>
      <c r="AI152" s="1428"/>
      <c r="AO152" s="2504">
        <v>466364.42033395998</v>
      </c>
      <c r="AP152" s="1418">
        <f t="shared" si="62"/>
        <v>0</v>
      </c>
      <c r="AQ152" s="1418">
        <f t="shared" si="55"/>
        <v>-8.1212399527430534E-3</v>
      </c>
    </row>
    <row r="153" spans="1:44" s="1410" customFormat="1" ht="15.75">
      <c r="A153" s="2102"/>
      <c r="B153" s="1272" t="s">
        <v>2319</v>
      </c>
      <c r="C153" s="1262" t="s">
        <v>2961</v>
      </c>
      <c r="D153" s="1273"/>
      <c r="E153" s="1415"/>
      <c r="F153" s="1267"/>
      <c r="G153" s="1480"/>
      <c r="H153" s="1416"/>
      <c r="I153" s="1477">
        <f t="shared" si="49"/>
        <v>0</v>
      </c>
      <c r="J153" s="1477">
        <f t="shared" si="50"/>
        <v>0</v>
      </c>
      <c r="K153" s="1477"/>
      <c r="L153" s="1477">
        <f t="shared" si="56"/>
        <v>0</v>
      </c>
      <c r="M153" s="1477"/>
      <c r="N153" s="1477">
        <f t="shared" si="57"/>
        <v>0</v>
      </c>
      <c r="O153" s="1477">
        <f t="shared" si="58"/>
        <v>0</v>
      </c>
      <c r="P153" s="1477">
        <f t="shared" si="59"/>
        <v>0</v>
      </c>
      <c r="Q153" s="1477">
        <f t="shared" si="60"/>
        <v>0</v>
      </c>
      <c r="R153" s="1576">
        <f t="shared" si="61"/>
        <v>0</v>
      </c>
      <c r="S153" s="1869"/>
      <c r="T153" s="1866"/>
      <c r="U153" s="2442"/>
      <c r="V153" s="1866">
        <f t="shared" si="63"/>
        <v>0</v>
      </c>
      <c r="W153" s="1869"/>
      <c r="X153" s="1870"/>
      <c r="Y153" s="1871" t="str">
        <f t="shared" si="65"/>
        <v/>
      </c>
      <c r="Z153" s="1694"/>
      <c r="AA153" s="1872">
        <f t="shared" si="66"/>
        <v>0</v>
      </c>
      <c r="AB153" s="1873" t="str">
        <f t="shared" si="67"/>
        <v/>
      </c>
      <c r="AC153" s="1418">
        <f t="shared" si="51"/>
        <v>0</v>
      </c>
      <c r="AD153" s="1418">
        <f t="shared" si="52"/>
        <v>0</v>
      </c>
      <c r="AE153" s="1418"/>
      <c r="AF153" s="1418">
        <f t="shared" si="53"/>
        <v>0</v>
      </c>
      <c r="AG153" s="1418"/>
      <c r="AH153" s="1418">
        <f t="shared" si="54"/>
        <v>0</v>
      </c>
      <c r="AI153" s="1428"/>
      <c r="AO153" s="2504"/>
      <c r="AP153" s="1418">
        <f t="shared" si="62"/>
        <v>0</v>
      </c>
      <c r="AQ153" s="1418">
        <f t="shared" si="55"/>
        <v>0</v>
      </c>
    </row>
    <row r="154" spans="1:44" s="1423" customFormat="1" ht="15.75">
      <c r="A154" s="2228"/>
      <c r="B154" s="2130" t="s">
        <v>2320</v>
      </c>
      <c r="C154" s="2131" t="s">
        <v>2962</v>
      </c>
      <c r="D154" s="2222" t="s">
        <v>40</v>
      </c>
      <c r="E154" s="2223">
        <v>24.35</v>
      </c>
      <c r="F154" s="2224">
        <v>440.81</v>
      </c>
      <c r="G154" s="2225">
        <v>442.22</v>
      </c>
      <c r="H154" s="2226">
        <v>442.98</v>
      </c>
      <c r="I154" s="2227">
        <f t="shared" si="49"/>
        <v>10733.72</v>
      </c>
      <c r="J154" s="2227">
        <f t="shared" si="50"/>
        <v>10768.06</v>
      </c>
      <c r="K154" s="2227">
        <v>4.8901249999999994</v>
      </c>
      <c r="L154" s="2227">
        <f t="shared" si="56"/>
        <v>4.8900000000000006</v>
      </c>
      <c r="M154" s="2227">
        <v>19.459875000000004</v>
      </c>
      <c r="N154" s="2227">
        <f t="shared" si="57"/>
        <v>19.46</v>
      </c>
      <c r="O154" s="2227">
        <f t="shared" si="58"/>
        <v>2162.46</v>
      </c>
      <c r="P154" s="2227">
        <f t="shared" si="59"/>
        <v>8605.6</v>
      </c>
      <c r="Q154" s="2227">
        <f t="shared" si="60"/>
        <v>8620.39</v>
      </c>
      <c r="R154" s="1576">
        <f t="shared" si="61"/>
        <v>10782.849999999999</v>
      </c>
      <c r="S154" s="1865">
        <v>11.06608585</v>
      </c>
      <c r="T154" s="2446">
        <v>4898.3382148329993</v>
      </c>
      <c r="U154" s="2442"/>
      <c r="V154" s="2446">
        <f t="shared" si="63"/>
        <v>0</v>
      </c>
      <c r="W154" s="1865">
        <f>S154+U154</f>
        <v>11.06608585</v>
      </c>
      <c r="X154" s="2447">
        <f t="shared" si="64"/>
        <v>4898.3382148329993</v>
      </c>
      <c r="Y154" s="2448">
        <f t="shared" si="65"/>
        <v>0.45427120054837078</v>
      </c>
      <c r="Z154" s="2449">
        <f>+E154-W154</f>
        <v>13.283914150000001</v>
      </c>
      <c r="AA154" s="2450">
        <f t="shared" si="66"/>
        <v>5884.5082901670003</v>
      </c>
      <c r="AB154" s="2451">
        <f t="shared" si="67"/>
        <v>0.54572847532581836</v>
      </c>
      <c r="AC154" s="1630">
        <f t="shared" si="51"/>
        <v>3.4949999990203651E-3</v>
      </c>
      <c r="AD154" s="1630">
        <f t="shared" si="52"/>
        <v>0</v>
      </c>
      <c r="AE154" s="1630">
        <v>10782.846505000001</v>
      </c>
      <c r="AF154" s="1630">
        <f t="shared" si="53"/>
        <v>-3.4949999972013757E-3</v>
      </c>
      <c r="AG154" s="1630">
        <v>442.98</v>
      </c>
      <c r="AH154" s="1630">
        <f t="shared" si="54"/>
        <v>0</v>
      </c>
      <c r="AI154" s="1629"/>
      <c r="AO154" s="2507">
        <v>4898.3382148329993</v>
      </c>
      <c r="AP154" s="1418">
        <f t="shared" si="62"/>
        <v>0</v>
      </c>
      <c r="AQ154" s="1630">
        <f t="shared" si="55"/>
        <v>-3.4949999990203651E-3</v>
      </c>
    </row>
    <row r="155" spans="1:44" s="1423" customFormat="1" ht="15.75">
      <c r="A155" s="2228"/>
      <c r="B155" s="2130" t="s">
        <v>2321</v>
      </c>
      <c r="C155" s="2131" t="s">
        <v>2963</v>
      </c>
      <c r="D155" s="2222" t="s">
        <v>37</v>
      </c>
      <c r="E155" s="2223">
        <v>287.35000000000002</v>
      </c>
      <c r="F155" s="2224">
        <v>57.79</v>
      </c>
      <c r="G155" s="2225">
        <v>59.89</v>
      </c>
      <c r="H155" s="2226">
        <v>61.03</v>
      </c>
      <c r="I155" s="2227">
        <f t="shared" si="49"/>
        <v>16605.96</v>
      </c>
      <c r="J155" s="2227">
        <f t="shared" si="50"/>
        <v>17209.39</v>
      </c>
      <c r="K155" s="2227">
        <v>58.757499999999993</v>
      </c>
      <c r="L155" s="2227">
        <f t="shared" si="56"/>
        <v>58.760000000000019</v>
      </c>
      <c r="M155" s="2227">
        <v>228.59250000000003</v>
      </c>
      <c r="N155" s="2227">
        <f t="shared" si="57"/>
        <v>228.59</v>
      </c>
      <c r="O155" s="2227">
        <f t="shared" si="58"/>
        <v>3519.14</v>
      </c>
      <c r="P155" s="2227">
        <f t="shared" si="59"/>
        <v>13690.26</v>
      </c>
      <c r="Q155" s="2227">
        <f t="shared" si="60"/>
        <v>13950.85</v>
      </c>
      <c r="R155" s="1576">
        <f t="shared" si="61"/>
        <v>17469.990000000002</v>
      </c>
      <c r="S155" s="1865">
        <v>149.47749999999999</v>
      </c>
      <c r="T155" s="2446">
        <v>9055.6282749999991</v>
      </c>
      <c r="U155" s="2442"/>
      <c r="V155" s="2446">
        <f t="shared" si="63"/>
        <v>0</v>
      </c>
      <c r="W155" s="1865">
        <f>S155+U155</f>
        <v>149.47749999999999</v>
      </c>
      <c r="X155" s="2447">
        <f t="shared" si="64"/>
        <v>9055.6282749999991</v>
      </c>
      <c r="Y155" s="2448">
        <f t="shared" si="65"/>
        <v>0.51835337484451904</v>
      </c>
      <c r="Z155" s="2449">
        <f>+E155-W155</f>
        <v>137.87250000000003</v>
      </c>
      <c r="AA155" s="2450">
        <f t="shared" si="66"/>
        <v>8414.3586750000013</v>
      </c>
      <c r="AB155" s="2451">
        <f t="shared" si="67"/>
        <v>0.48164645057037814</v>
      </c>
      <c r="AC155" s="1630">
        <f t="shared" si="51"/>
        <v>3.0500000011670636E-3</v>
      </c>
      <c r="AD155" s="1630">
        <f t="shared" si="52"/>
        <v>0</v>
      </c>
      <c r="AE155" s="1630">
        <v>17469.986950000002</v>
      </c>
      <c r="AF155" s="1630">
        <f t="shared" si="53"/>
        <v>-3.0499999993480742E-3</v>
      </c>
      <c r="AG155" s="1630">
        <v>61.03</v>
      </c>
      <c r="AH155" s="1630">
        <f t="shared" si="54"/>
        <v>0</v>
      </c>
      <c r="AI155" s="1629"/>
      <c r="AO155" s="2507">
        <v>9055.6282749999991</v>
      </c>
      <c r="AP155" s="1418">
        <f t="shared" si="62"/>
        <v>0</v>
      </c>
      <c r="AQ155" s="1630">
        <f t="shared" si="55"/>
        <v>-3.050000002986053E-3</v>
      </c>
    </row>
    <row r="156" spans="1:44" s="1423" customFormat="1" ht="15.75">
      <c r="A156" s="2228"/>
      <c r="B156" s="2130" t="s">
        <v>2322</v>
      </c>
      <c r="C156" s="2131" t="s">
        <v>2964</v>
      </c>
      <c r="D156" s="2222" t="s">
        <v>48</v>
      </c>
      <c r="E156" s="2223">
        <v>10199.700000000001</v>
      </c>
      <c r="F156" s="2224">
        <v>4.9400000000000004</v>
      </c>
      <c r="G156" s="2225">
        <v>5.05</v>
      </c>
      <c r="H156" s="2226">
        <v>5.1100000000000003</v>
      </c>
      <c r="I156" s="2227">
        <f t="shared" si="49"/>
        <v>50386.52</v>
      </c>
      <c r="J156" s="2227">
        <f t="shared" si="50"/>
        <v>51508.49</v>
      </c>
      <c r="K156" s="2227">
        <v>3100.2843187500002</v>
      </c>
      <c r="L156" s="2227">
        <f t="shared" si="56"/>
        <v>3100.2800000000007</v>
      </c>
      <c r="M156" s="2227">
        <v>7099.4156812500005</v>
      </c>
      <c r="N156" s="2227">
        <f t="shared" si="57"/>
        <v>7099.42</v>
      </c>
      <c r="O156" s="2227">
        <f t="shared" si="58"/>
        <v>15656.41</v>
      </c>
      <c r="P156" s="2227">
        <f t="shared" si="59"/>
        <v>35852.07</v>
      </c>
      <c r="Q156" s="2227">
        <f t="shared" si="60"/>
        <v>36278.04</v>
      </c>
      <c r="R156" s="1576">
        <f t="shared" si="61"/>
        <v>51934.45</v>
      </c>
      <c r="S156" s="1865">
        <v>5023.300418750001</v>
      </c>
      <c r="T156" s="2446">
        <v>25483.048080687506</v>
      </c>
      <c r="U156" s="2442"/>
      <c r="V156" s="2446">
        <f t="shared" si="63"/>
        <v>0</v>
      </c>
      <c r="W156" s="1865">
        <f>S156+U156</f>
        <v>5023.300418750001</v>
      </c>
      <c r="X156" s="2447">
        <f t="shared" si="64"/>
        <v>25483.048080687506</v>
      </c>
      <c r="Y156" s="2448">
        <f t="shared" si="65"/>
        <v>0.49067715323234401</v>
      </c>
      <c r="Z156" s="2449">
        <f>+E156-W156</f>
        <v>5176.3995812499998</v>
      </c>
      <c r="AA156" s="2450">
        <f t="shared" si="66"/>
        <v>26451.4018601875</v>
      </c>
      <c r="AB156" s="2451">
        <f t="shared" si="67"/>
        <v>0.50932284562920183</v>
      </c>
      <c r="AC156" s="1630">
        <f t="shared" si="51"/>
        <v>5.9124991821590811E-5</v>
      </c>
      <c r="AD156" s="1630">
        <f t="shared" si="52"/>
        <v>0</v>
      </c>
      <c r="AE156" s="1630">
        <v>51934.449940875013</v>
      </c>
      <c r="AF156" s="1630">
        <f t="shared" si="53"/>
        <v>-5.9124984545633197E-5</v>
      </c>
      <c r="AG156" s="1630">
        <v>5.1100000000000003</v>
      </c>
      <c r="AH156" s="1630">
        <f t="shared" si="54"/>
        <v>0</v>
      </c>
      <c r="AI156" s="1629"/>
      <c r="AO156" s="2507">
        <v>25483.048080687506</v>
      </c>
      <c r="AP156" s="1418">
        <f t="shared" si="62"/>
        <v>0</v>
      </c>
      <c r="AQ156" s="1630">
        <f t="shared" si="55"/>
        <v>-5.9124991821590811E-5</v>
      </c>
    </row>
    <row r="157" spans="1:44" s="1423" customFormat="1" ht="15.75">
      <c r="A157" s="2228"/>
      <c r="B157" s="2130" t="s">
        <v>2323</v>
      </c>
      <c r="C157" s="2131" t="s">
        <v>2965</v>
      </c>
      <c r="D157" s="2222" t="s">
        <v>36</v>
      </c>
      <c r="E157" s="2223">
        <v>2567.64</v>
      </c>
      <c r="F157" s="2224">
        <v>5.07</v>
      </c>
      <c r="G157" s="2225">
        <v>5.18</v>
      </c>
      <c r="H157" s="2226">
        <v>5.22</v>
      </c>
      <c r="I157" s="2227">
        <f t="shared" si="49"/>
        <v>13017.93</v>
      </c>
      <c r="J157" s="2227">
        <f t="shared" si="50"/>
        <v>13300.38</v>
      </c>
      <c r="K157" s="2227">
        <v>489.44997499999999</v>
      </c>
      <c r="L157" s="2227">
        <f t="shared" si="56"/>
        <v>489.44999999999982</v>
      </c>
      <c r="M157" s="2227">
        <v>2078.1900249999999</v>
      </c>
      <c r="N157" s="2227">
        <f t="shared" si="57"/>
        <v>2078.19</v>
      </c>
      <c r="O157" s="2227">
        <f t="shared" si="58"/>
        <v>2535.35</v>
      </c>
      <c r="P157" s="2227">
        <f t="shared" si="59"/>
        <v>10765.02</v>
      </c>
      <c r="Q157" s="2227">
        <f t="shared" si="60"/>
        <v>10848.15</v>
      </c>
      <c r="R157" s="1576">
        <f t="shared" si="61"/>
        <v>13383.5</v>
      </c>
      <c r="S157" s="1865">
        <v>1264.7728750000001</v>
      </c>
      <c r="T157" s="2446">
        <v>6582.5364085000001</v>
      </c>
      <c r="U157" s="2442"/>
      <c r="V157" s="2446">
        <f t="shared" si="63"/>
        <v>0</v>
      </c>
      <c r="W157" s="1865">
        <f>S157+U157</f>
        <v>1264.7728750000001</v>
      </c>
      <c r="X157" s="2447">
        <f t="shared" si="64"/>
        <v>6582.5364085000001</v>
      </c>
      <c r="Y157" s="2448">
        <f t="shared" si="65"/>
        <v>0.49183968382710053</v>
      </c>
      <c r="Z157" s="2449">
        <f>+E157-W157</f>
        <v>1302.8671249999998</v>
      </c>
      <c r="AA157" s="2450">
        <f t="shared" si="66"/>
        <v>6800.9663924999986</v>
      </c>
      <c r="AB157" s="2451">
        <f t="shared" si="67"/>
        <v>0.50816052546045498</v>
      </c>
      <c r="AC157" s="1630">
        <f t="shared" si="51"/>
        <v>-2.8009999987261835E-3</v>
      </c>
      <c r="AD157" s="1630">
        <f t="shared" si="52"/>
        <v>0</v>
      </c>
      <c r="AE157" s="1630">
        <v>13383.502800999999</v>
      </c>
      <c r="AF157" s="1630">
        <f t="shared" si="53"/>
        <v>2.8009999987261835E-3</v>
      </c>
      <c r="AG157" s="1630">
        <v>5.22</v>
      </c>
      <c r="AH157" s="1630">
        <f t="shared" si="54"/>
        <v>0</v>
      </c>
      <c r="AI157" s="1629"/>
      <c r="AO157" s="2507">
        <v>6582.5364085000001</v>
      </c>
      <c r="AP157" s="1418">
        <f t="shared" si="62"/>
        <v>0</v>
      </c>
      <c r="AQ157" s="1630">
        <f t="shared" si="55"/>
        <v>2.8009999987261835E-3</v>
      </c>
    </row>
    <row r="158" spans="1:44" s="1410" customFormat="1" ht="15.75">
      <c r="A158" s="2102"/>
      <c r="B158" s="1272" t="s">
        <v>2324</v>
      </c>
      <c r="C158" s="1262" t="s">
        <v>2966</v>
      </c>
      <c r="D158" s="1273"/>
      <c r="E158" s="1415"/>
      <c r="F158" s="1267"/>
      <c r="G158" s="1480"/>
      <c r="H158" s="1416"/>
      <c r="I158" s="1477">
        <f t="shared" si="49"/>
        <v>0</v>
      </c>
      <c r="J158" s="1477">
        <f t="shared" si="50"/>
        <v>0</v>
      </c>
      <c r="K158" s="1477"/>
      <c r="L158" s="1477">
        <f t="shared" si="56"/>
        <v>0</v>
      </c>
      <c r="M158" s="1477"/>
      <c r="N158" s="1477">
        <f t="shared" si="57"/>
        <v>0</v>
      </c>
      <c r="O158" s="1477">
        <f t="shared" si="58"/>
        <v>0</v>
      </c>
      <c r="P158" s="1477">
        <f t="shared" si="59"/>
        <v>0</v>
      </c>
      <c r="Q158" s="1477">
        <f t="shared" si="60"/>
        <v>0</v>
      </c>
      <c r="R158" s="1576">
        <f t="shared" si="61"/>
        <v>0</v>
      </c>
      <c r="S158" s="1869"/>
      <c r="T158" s="1866"/>
      <c r="U158" s="2442"/>
      <c r="V158" s="1866">
        <f t="shared" si="63"/>
        <v>0</v>
      </c>
      <c r="W158" s="1869"/>
      <c r="X158" s="1870"/>
      <c r="Y158" s="1871" t="str">
        <f t="shared" si="65"/>
        <v/>
      </c>
      <c r="Z158" s="1694"/>
      <c r="AA158" s="1872">
        <f t="shared" si="66"/>
        <v>0</v>
      </c>
      <c r="AB158" s="1873" t="str">
        <f t="shared" si="67"/>
        <v/>
      </c>
      <c r="AC158" s="1418">
        <f t="shared" si="51"/>
        <v>0</v>
      </c>
      <c r="AD158" s="1418">
        <f t="shared" si="52"/>
        <v>0</v>
      </c>
      <c r="AE158" s="1418"/>
      <c r="AF158" s="1418">
        <f t="shared" si="53"/>
        <v>0</v>
      </c>
      <c r="AG158" s="1418"/>
      <c r="AH158" s="1418">
        <f t="shared" si="54"/>
        <v>0</v>
      </c>
      <c r="AI158" s="1428"/>
      <c r="AO158" s="2504"/>
      <c r="AP158" s="1418">
        <f t="shared" si="62"/>
        <v>0</v>
      </c>
      <c r="AQ158" s="1418">
        <f t="shared" si="55"/>
        <v>0</v>
      </c>
    </row>
    <row r="159" spans="1:44" s="1410" customFormat="1" ht="15.75">
      <c r="A159" s="2102"/>
      <c r="B159" s="1268" t="s">
        <v>2325</v>
      </c>
      <c r="C159" s="1241" t="s">
        <v>2962</v>
      </c>
      <c r="D159" s="1245" t="s">
        <v>40</v>
      </c>
      <c r="E159" s="1413">
        <v>2.2400000000000002</v>
      </c>
      <c r="F159" s="1555">
        <v>440.81</v>
      </c>
      <c r="G159" s="1480">
        <v>442.22</v>
      </c>
      <c r="H159" s="1414">
        <v>442.98</v>
      </c>
      <c r="I159" s="1477">
        <f t="shared" si="49"/>
        <v>987.41</v>
      </c>
      <c r="J159" s="1477">
        <f t="shared" si="50"/>
        <v>990.57</v>
      </c>
      <c r="K159" s="1477">
        <v>2.2400000000000002</v>
      </c>
      <c r="L159" s="1477">
        <f t="shared" si="56"/>
        <v>2.2400000000000002</v>
      </c>
      <c r="M159" s="1477">
        <v>0</v>
      </c>
      <c r="N159" s="1477">
        <f t="shared" si="57"/>
        <v>0</v>
      </c>
      <c r="O159" s="1477">
        <f t="shared" si="58"/>
        <v>990.57</v>
      </c>
      <c r="P159" s="1477">
        <f t="shared" si="59"/>
        <v>0</v>
      </c>
      <c r="Q159" s="1477">
        <f t="shared" si="60"/>
        <v>0</v>
      </c>
      <c r="R159" s="1576">
        <f t="shared" si="61"/>
        <v>990.57</v>
      </c>
      <c r="S159" s="1869">
        <v>2.2400000000000002</v>
      </c>
      <c r="T159" s="1866">
        <v>990.57280000000014</v>
      </c>
      <c r="U159" s="2442"/>
      <c r="V159" s="1866">
        <f t="shared" si="63"/>
        <v>0</v>
      </c>
      <c r="W159" s="1869">
        <f>S159+U159</f>
        <v>2.2400000000000002</v>
      </c>
      <c r="X159" s="1870">
        <f t="shared" si="64"/>
        <v>990.57280000000014</v>
      </c>
      <c r="Y159" s="1871">
        <f t="shared" si="65"/>
        <v>1.0000028266553602</v>
      </c>
      <c r="Z159" s="1694">
        <f>+E159-W159</f>
        <v>0</v>
      </c>
      <c r="AA159" s="1872">
        <f t="shared" si="66"/>
        <v>0</v>
      </c>
      <c r="AB159" s="1873">
        <f t="shared" si="67"/>
        <v>0</v>
      </c>
      <c r="AC159" s="1418">
        <f t="shared" si="51"/>
        <v>-2.8000000000929504E-3</v>
      </c>
      <c r="AD159" s="1418">
        <f t="shared" si="52"/>
        <v>0</v>
      </c>
      <c r="AE159" s="1418">
        <v>990.57280000000014</v>
      </c>
      <c r="AF159" s="1418">
        <f t="shared" si="53"/>
        <v>2.8000000000929504E-3</v>
      </c>
      <c r="AG159" s="1418">
        <v>442.98</v>
      </c>
      <c r="AH159" s="1418">
        <f t="shared" si="54"/>
        <v>0</v>
      </c>
      <c r="AI159" s="1428" t="s">
        <v>3666</v>
      </c>
      <c r="AO159" s="2504">
        <v>990.57280000000014</v>
      </c>
      <c r="AP159" s="1418">
        <f t="shared" si="62"/>
        <v>0</v>
      </c>
      <c r="AQ159" s="1418">
        <f t="shared" si="55"/>
        <v>2.8000000000929504E-3</v>
      </c>
    </row>
    <row r="160" spans="1:44" s="1410" customFormat="1" ht="15.75">
      <c r="A160" s="2102"/>
      <c r="B160" s="1268" t="s">
        <v>2326</v>
      </c>
      <c r="C160" s="1241" t="s">
        <v>2963</v>
      </c>
      <c r="D160" s="1245" t="s">
        <v>37</v>
      </c>
      <c r="E160" s="1413">
        <v>20.25</v>
      </c>
      <c r="F160" s="1555">
        <v>57.79</v>
      </c>
      <c r="G160" s="1480">
        <v>59.89</v>
      </c>
      <c r="H160" s="1414">
        <v>61.03</v>
      </c>
      <c r="I160" s="1477">
        <f t="shared" si="49"/>
        <v>1170.25</v>
      </c>
      <c r="J160" s="1477">
        <f t="shared" si="50"/>
        <v>1212.77</v>
      </c>
      <c r="K160" s="1477">
        <v>20.25</v>
      </c>
      <c r="L160" s="1477">
        <f t="shared" si="56"/>
        <v>20.25</v>
      </c>
      <c r="M160" s="1477">
        <v>0</v>
      </c>
      <c r="N160" s="1477">
        <f t="shared" si="57"/>
        <v>0</v>
      </c>
      <c r="O160" s="1477">
        <f t="shared" si="58"/>
        <v>1212.77</v>
      </c>
      <c r="P160" s="1477">
        <f t="shared" si="59"/>
        <v>0</v>
      </c>
      <c r="Q160" s="1477">
        <f t="shared" si="60"/>
        <v>0</v>
      </c>
      <c r="R160" s="1576">
        <f t="shared" si="61"/>
        <v>1212.77</v>
      </c>
      <c r="S160" s="1869">
        <v>20.25</v>
      </c>
      <c r="T160" s="1866">
        <v>1212.7725</v>
      </c>
      <c r="U160" s="2442"/>
      <c r="V160" s="1866">
        <f t="shared" si="63"/>
        <v>0</v>
      </c>
      <c r="W160" s="1869">
        <f>S160+U160</f>
        <v>20.25</v>
      </c>
      <c r="X160" s="1870">
        <f t="shared" si="64"/>
        <v>1212.7725</v>
      </c>
      <c r="Y160" s="1871">
        <f t="shared" si="65"/>
        <v>1.0000020613966374</v>
      </c>
      <c r="Z160" s="1694">
        <f>+E160-W160</f>
        <v>0</v>
      </c>
      <c r="AA160" s="1872">
        <f t="shared" si="66"/>
        <v>0</v>
      </c>
      <c r="AB160" s="1873">
        <f t="shared" si="67"/>
        <v>0</v>
      </c>
      <c r="AC160" s="1418">
        <f t="shared" si="51"/>
        <v>-2.5000000000545697E-3</v>
      </c>
      <c r="AD160" s="1418">
        <f t="shared" si="52"/>
        <v>0</v>
      </c>
      <c r="AE160" s="1418">
        <v>1212.7725</v>
      </c>
      <c r="AF160" s="1418">
        <f t="shared" si="53"/>
        <v>2.5000000000545697E-3</v>
      </c>
      <c r="AG160" s="1418">
        <v>61.03</v>
      </c>
      <c r="AH160" s="1418">
        <f t="shared" si="54"/>
        <v>0</v>
      </c>
      <c r="AI160" s="1428" t="s">
        <v>3666</v>
      </c>
      <c r="AO160" s="2504">
        <v>1212.7725</v>
      </c>
      <c r="AP160" s="1418">
        <f t="shared" si="62"/>
        <v>0</v>
      </c>
      <c r="AQ160" s="1418">
        <f t="shared" si="55"/>
        <v>2.5000000000545697E-3</v>
      </c>
    </row>
    <row r="161" spans="1:43" s="1410" customFormat="1" ht="15.75">
      <c r="A161" s="2102"/>
      <c r="B161" s="1268" t="s">
        <v>2327</v>
      </c>
      <c r="C161" s="1241" t="s">
        <v>2964</v>
      </c>
      <c r="D161" s="1245" t="s">
        <v>48</v>
      </c>
      <c r="E161" s="1413">
        <v>216.65</v>
      </c>
      <c r="F161" s="1555">
        <v>4.9400000000000004</v>
      </c>
      <c r="G161" s="1480">
        <v>5.05</v>
      </c>
      <c r="H161" s="1414">
        <v>5.1100000000000003</v>
      </c>
      <c r="I161" s="1477">
        <f t="shared" si="49"/>
        <v>1070.25</v>
      </c>
      <c r="J161" s="1477">
        <f t="shared" si="50"/>
        <v>1094.08</v>
      </c>
      <c r="K161" s="1477">
        <v>216.65</v>
      </c>
      <c r="L161" s="1477">
        <f t="shared" si="56"/>
        <v>216.65</v>
      </c>
      <c r="M161" s="1477">
        <v>0</v>
      </c>
      <c r="N161" s="1477">
        <f t="shared" si="57"/>
        <v>0</v>
      </c>
      <c r="O161" s="1477">
        <f t="shared" si="58"/>
        <v>1094.08</v>
      </c>
      <c r="P161" s="1477">
        <f t="shared" si="59"/>
        <v>0</v>
      </c>
      <c r="Q161" s="1477">
        <f t="shared" si="60"/>
        <v>0</v>
      </c>
      <c r="R161" s="1576">
        <f t="shared" si="61"/>
        <v>1094.08</v>
      </c>
      <c r="S161" s="1869">
        <v>216.65</v>
      </c>
      <c r="T161" s="1866">
        <v>1094.0825</v>
      </c>
      <c r="U161" s="2442"/>
      <c r="V161" s="1866">
        <f t="shared" si="63"/>
        <v>0</v>
      </c>
      <c r="W161" s="1869">
        <f>S161+U161</f>
        <v>216.65</v>
      </c>
      <c r="X161" s="1870">
        <f t="shared" si="64"/>
        <v>1094.0825</v>
      </c>
      <c r="Y161" s="1871">
        <f t="shared" si="65"/>
        <v>1.0000022850248611</v>
      </c>
      <c r="Z161" s="1694">
        <f>+E161-W161</f>
        <v>0</v>
      </c>
      <c r="AA161" s="1872">
        <f t="shared" si="66"/>
        <v>0</v>
      </c>
      <c r="AB161" s="1873">
        <f t="shared" si="67"/>
        <v>0</v>
      </c>
      <c r="AC161" s="1418">
        <f t="shared" si="51"/>
        <v>-2.5000000000545697E-3</v>
      </c>
      <c r="AD161" s="1418">
        <f t="shared" si="52"/>
        <v>0</v>
      </c>
      <c r="AE161" s="1418">
        <v>1094.0825</v>
      </c>
      <c r="AF161" s="1418">
        <f t="shared" si="53"/>
        <v>2.5000000000545697E-3</v>
      </c>
      <c r="AG161" s="1418">
        <v>5.1100000000000003</v>
      </c>
      <c r="AH161" s="1418">
        <f t="shared" si="54"/>
        <v>0</v>
      </c>
      <c r="AI161" s="1428" t="s">
        <v>3666</v>
      </c>
      <c r="AO161" s="2504">
        <v>1094.0825</v>
      </c>
      <c r="AP161" s="1418">
        <f t="shared" si="62"/>
        <v>0</v>
      </c>
      <c r="AQ161" s="1418">
        <f t="shared" si="55"/>
        <v>2.5000000000545697E-3</v>
      </c>
    </row>
    <row r="162" spans="1:43" s="1410" customFormat="1" ht="15.75">
      <c r="A162" s="2102"/>
      <c r="B162" s="1268" t="s">
        <v>2328</v>
      </c>
      <c r="C162" s="1241" t="s">
        <v>2967</v>
      </c>
      <c r="D162" s="1245" t="s">
        <v>36</v>
      </c>
      <c r="E162" s="1413">
        <v>169</v>
      </c>
      <c r="F162" s="1555">
        <v>5.41</v>
      </c>
      <c r="G162" s="1480">
        <v>5.52</v>
      </c>
      <c r="H162" s="1414">
        <v>5.56</v>
      </c>
      <c r="I162" s="1477">
        <f t="shared" si="49"/>
        <v>914.29</v>
      </c>
      <c r="J162" s="1477">
        <f t="shared" si="50"/>
        <v>932.88</v>
      </c>
      <c r="K162" s="1477">
        <v>169</v>
      </c>
      <c r="L162" s="1477">
        <f t="shared" si="56"/>
        <v>169</v>
      </c>
      <c r="M162" s="1477">
        <v>0</v>
      </c>
      <c r="N162" s="1477">
        <f t="shared" si="57"/>
        <v>0</v>
      </c>
      <c r="O162" s="1477">
        <f t="shared" si="58"/>
        <v>932.88</v>
      </c>
      <c r="P162" s="1477">
        <f t="shared" si="59"/>
        <v>0</v>
      </c>
      <c r="Q162" s="1477">
        <f t="shared" si="60"/>
        <v>0</v>
      </c>
      <c r="R162" s="1576">
        <f t="shared" si="61"/>
        <v>932.88</v>
      </c>
      <c r="S162" s="1869">
        <v>169</v>
      </c>
      <c r="T162" s="1866">
        <v>932.87999999999988</v>
      </c>
      <c r="U162" s="2442"/>
      <c r="V162" s="1866">
        <f t="shared" si="63"/>
        <v>0</v>
      </c>
      <c r="W162" s="1869">
        <f>S162+U162</f>
        <v>169</v>
      </c>
      <c r="X162" s="1870">
        <f t="shared" si="64"/>
        <v>932.87999999999988</v>
      </c>
      <c r="Y162" s="1871">
        <f t="shared" si="65"/>
        <v>0.99999999999999989</v>
      </c>
      <c r="Z162" s="1694">
        <f>+E162-W162</f>
        <v>0</v>
      </c>
      <c r="AA162" s="1872">
        <f t="shared" si="66"/>
        <v>0</v>
      </c>
      <c r="AB162" s="1873">
        <f t="shared" si="67"/>
        <v>0</v>
      </c>
      <c r="AC162" s="1418">
        <f t="shared" si="51"/>
        <v>1.1368683772161603E-13</v>
      </c>
      <c r="AD162" s="1418">
        <f t="shared" si="52"/>
        <v>0</v>
      </c>
      <c r="AE162" s="1418">
        <v>932.87999999999988</v>
      </c>
      <c r="AF162" s="1418">
        <f t="shared" si="53"/>
        <v>0</v>
      </c>
      <c r="AG162" s="1418">
        <v>5.96</v>
      </c>
      <c r="AH162" s="1418">
        <f t="shared" si="54"/>
        <v>0.40000000000000036</v>
      </c>
      <c r="AI162" s="1428" t="s">
        <v>3666</v>
      </c>
      <c r="AO162" s="2504">
        <v>932.87999999999988</v>
      </c>
      <c r="AP162" s="1418">
        <f t="shared" si="62"/>
        <v>0</v>
      </c>
      <c r="AQ162" s="1418">
        <f t="shared" si="55"/>
        <v>0</v>
      </c>
    </row>
    <row r="163" spans="1:43" s="1410" customFormat="1" ht="15.75">
      <c r="A163" s="2102"/>
      <c r="B163" s="1272" t="s">
        <v>2329</v>
      </c>
      <c r="C163" s="1262" t="s">
        <v>2968</v>
      </c>
      <c r="D163" s="1273"/>
      <c r="E163" s="1415"/>
      <c r="F163" s="1267"/>
      <c r="G163" s="1480"/>
      <c r="H163" s="1416"/>
      <c r="I163" s="1477">
        <f t="shared" si="49"/>
        <v>0</v>
      </c>
      <c r="J163" s="1477">
        <f t="shared" si="50"/>
        <v>0</v>
      </c>
      <c r="K163" s="1477"/>
      <c r="L163" s="1477">
        <f t="shared" si="56"/>
        <v>0</v>
      </c>
      <c r="M163" s="1477"/>
      <c r="N163" s="1477">
        <f t="shared" si="57"/>
        <v>0</v>
      </c>
      <c r="O163" s="1477">
        <f t="shared" si="58"/>
        <v>0</v>
      </c>
      <c r="P163" s="1477">
        <f t="shared" si="59"/>
        <v>0</v>
      </c>
      <c r="Q163" s="1477">
        <f t="shared" si="60"/>
        <v>0</v>
      </c>
      <c r="R163" s="1576">
        <f t="shared" si="61"/>
        <v>0</v>
      </c>
      <c r="S163" s="1869"/>
      <c r="T163" s="1866"/>
      <c r="U163" s="2442"/>
      <c r="V163" s="1866">
        <f t="shared" si="63"/>
        <v>0</v>
      </c>
      <c r="W163" s="1869"/>
      <c r="X163" s="1870"/>
      <c r="Y163" s="1871" t="str">
        <f t="shared" si="65"/>
        <v/>
      </c>
      <c r="Z163" s="1694"/>
      <c r="AA163" s="1872">
        <f t="shared" si="66"/>
        <v>0</v>
      </c>
      <c r="AB163" s="1873" t="str">
        <f t="shared" si="67"/>
        <v/>
      </c>
      <c r="AC163" s="1418">
        <f t="shared" si="51"/>
        <v>0</v>
      </c>
      <c r="AD163" s="1418">
        <f t="shared" si="52"/>
        <v>0</v>
      </c>
      <c r="AE163" s="1418"/>
      <c r="AF163" s="1418">
        <f t="shared" si="53"/>
        <v>0</v>
      </c>
      <c r="AG163" s="1418"/>
      <c r="AH163" s="1418">
        <f t="shared" si="54"/>
        <v>0</v>
      </c>
      <c r="AI163" s="1428"/>
      <c r="AO163" s="2504"/>
      <c r="AP163" s="1418">
        <f t="shared" si="62"/>
        <v>0</v>
      </c>
      <c r="AQ163" s="1418">
        <f t="shared" si="55"/>
        <v>0</v>
      </c>
    </row>
    <row r="164" spans="1:43" s="1410" customFormat="1" ht="15.75">
      <c r="A164" s="2102"/>
      <c r="B164" s="1268" t="s">
        <v>2330</v>
      </c>
      <c r="C164" s="1241" t="s">
        <v>2962</v>
      </c>
      <c r="D164" s="1245" t="s">
        <v>40</v>
      </c>
      <c r="E164" s="1413">
        <v>33.19</v>
      </c>
      <c r="F164" s="1555">
        <v>440.81</v>
      </c>
      <c r="G164" s="1480">
        <v>442.22</v>
      </c>
      <c r="H164" s="1414">
        <v>442.98</v>
      </c>
      <c r="I164" s="1477">
        <f t="shared" si="49"/>
        <v>14630.48</v>
      </c>
      <c r="J164" s="1477">
        <f t="shared" si="50"/>
        <v>14677.28</v>
      </c>
      <c r="K164" s="1477">
        <v>11.482199999999999</v>
      </c>
      <c r="L164" s="1477">
        <f t="shared" si="56"/>
        <v>11.479999999999997</v>
      </c>
      <c r="M164" s="1477">
        <v>21.707799999999999</v>
      </c>
      <c r="N164" s="1477">
        <f t="shared" si="57"/>
        <v>21.71</v>
      </c>
      <c r="O164" s="1477">
        <f t="shared" si="58"/>
        <v>5076.6899999999996</v>
      </c>
      <c r="P164" s="1477">
        <f t="shared" si="59"/>
        <v>9600.6</v>
      </c>
      <c r="Q164" s="1477">
        <f t="shared" si="60"/>
        <v>9617.1</v>
      </c>
      <c r="R164" s="1576">
        <f t="shared" si="61"/>
        <v>14693.79</v>
      </c>
      <c r="S164" s="1869">
        <v>14.240105300000003</v>
      </c>
      <c r="T164" s="1866">
        <v>6299.3553737940019</v>
      </c>
      <c r="U164" s="2442"/>
      <c r="V164" s="1866">
        <f t="shared" si="63"/>
        <v>0</v>
      </c>
      <c r="W164" s="1869">
        <f>S164+U164</f>
        <v>14.240105300000003</v>
      </c>
      <c r="X164" s="1870">
        <f t="shared" si="64"/>
        <v>6299.3553737940019</v>
      </c>
      <c r="Y164" s="1871">
        <f t="shared" si="65"/>
        <v>0.42870868399466722</v>
      </c>
      <c r="Z164" s="1694">
        <f>+E164-W164</f>
        <v>18.949894699999994</v>
      </c>
      <c r="AA164" s="1872">
        <f t="shared" si="66"/>
        <v>8394.4243542059976</v>
      </c>
      <c r="AB164" s="1873">
        <f t="shared" si="67"/>
        <v>0.57129061693450067</v>
      </c>
      <c r="AC164" s="1418">
        <f t="shared" si="51"/>
        <v>1.0272000001350534E-2</v>
      </c>
      <c r="AD164" s="1418">
        <f t="shared" si="52"/>
        <v>0</v>
      </c>
      <c r="AE164" s="1418">
        <v>14677.281799999999</v>
      </c>
      <c r="AF164" s="1418">
        <f t="shared" si="53"/>
        <v>-16.508200000002034</v>
      </c>
      <c r="AG164" s="1418">
        <v>442.22</v>
      </c>
      <c r="AH164" s="1418">
        <f t="shared" si="54"/>
        <v>-0.75999999999999091</v>
      </c>
      <c r="AI164" s="1428"/>
      <c r="AO164" s="2504">
        <v>6299.3553737940019</v>
      </c>
      <c r="AP164" s="1418">
        <f t="shared" si="62"/>
        <v>0</v>
      </c>
      <c r="AQ164" s="1418">
        <f t="shared" si="55"/>
        <v>-1.0272000001350534E-2</v>
      </c>
    </row>
    <row r="165" spans="1:43" s="1410" customFormat="1" ht="15.75">
      <c r="A165" s="2102"/>
      <c r="B165" s="1268" t="s">
        <v>2331</v>
      </c>
      <c r="C165" s="1241" t="s">
        <v>2963</v>
      </c>
      <c r="D165" s="1245" t="s">
        <v>37</v>
      </c>
      <c r="E165" s="1413">
        <v>257.39999999999998</v>
      </c>
      <c r="F165" s="1555">
        <v>57.79</v>
      </c>
      <c r="G165" s="1480">
        <v>59.89</v>
      </c>
      <c r="H165" s="1414">
        <v>61.03</v>
      </c>
      <c r="I165" s="1477">
        <f t="shared" si="49"/>
        <v>14875.15</v>
      </c>
      <c r="J165" s="1477">
        <f t="shared" si="50"/>
        <v>15415.69</v>
      </c>
      <c r="K165" s="1477">
        <v>120.68399999999998</v>
      </c>
      <c r="L165" s="1477">
        <f t="shared" si="56"/>
        <v>120.67999999999998</v>
      </c>
      <c r="M165" s="1477">
        <v>136.71600000000001</v>
      </c>
      <c r="N165" s="1477">
        <f t="shared" si="57"/>
        <v>136.72</v>
      </c>
      <c r="O165" s="1477">
        <f t="shared" si="58"/>
        <v>7227.53</v>
      </c>
      <c r="P165" s="1477">
        <f t="shared" si="59"/>
        <v>8188.16</v>
      </c>
      <c r="Q165" s="1477">
        <f t="shared" si="60"/>
        <v>8344.02</v>
      </c>
      <c r="R165" s="1576">
        <f t="shared" si="61"/>
        <v>15571.55</v>
      </c>
      <c r="S165" s="1869">
        <v>145.41999999999999</v>
      </c>
      <c r="T165" s="1866">
        <v>8737.4028400000007</v>
      </c>
      <c r="U165" s="2442"/>
      <c r="V165" s="1866">
        <f t="shared" si="63"/>
        <v>0</v>
      </c>
      <c r="W165" s="1869">
        <f>S165+U165</f>
        <v>145.41999999999999</v>
      </c>
      <c r="X165" s="1870">
        <f t="shared" si="64"/>
        <v>8737.4028400000007</v>
      </c>
      <c r="Y165" s="1871">
        <f t="shared" si="65"/>
        <v>0.56111323792429146</v>
      </c>
      <c r="Z165" s="1694">
        <f>+E165-W165</f>
        <v>111.97999999999999</v>
      </c>
      <c r="AA165" s="1872">
        <f t="shared" si="66"/>
        <v>6834.1393999999991</v>
      </c>
      <c r="AB165" s="1873">
        <f t="shared" si="67"/>
        <v>0.43888626373097089</v>
      </c>
      <c r="AC165" s="1418">
        <f t="shared" si="51"/>
        <v>7.7599999995072722E-3</v>
      </c>
      <c r="AD165" s="1418">
        <f t="shared" si="52"/>
        <v>0</v>
      </c>
      <c r="AE165" s="1418">
        <v>15415.686</v>
      </c>
      <c r="AF165" s="1418">
        <f t="shared" si="53"/>
        <v>-155.86399999999958</v>
      </c>
      <c r="AG165" s="1418">
        <v>59.89</v>
      </c>
      <c r="AH165" s="1418">
        <f t="shared" si="54"/>
        <v>-1.1400000000000006</v>
      </c>
      <c r="AI165" s="1428"/>
      <c r="AO165" s="2504">
        <v>8737.4028400000007</v>
      </c>
      <c r="AP165" s="1418">
        <f t="shared" si="62"/>
        <v>0</v>
      </c>
      <c r="AQ165" s="1418">
        <f t="shared" si="55"/>
        <v>-7.7600000004167669E-3</v>
      </c>
    </row>
    <row r="166" spans="1:43" s="1410" customFormat="1" ht="15.75">
      <c r="A166" s="2102"/>
      <c r="B166" s="1268" t="s">
        <v>2332</v>
      </c>
      <c r="C166" s="1241" t="s">
        <v>2964</v>
      </c>
      <c r="D166" s="1245" t="s">
        <v>48</v>
      </c>
      <c r="E166" s="1413">
        <v>2507.41</v>
      </c>
      <c r="F166" s="1555">
        <v>4.9400000000000004</v>
      </c>
      <c r="G166" s="1480">
        <v>5.05</v>
      </c>
      <c r="H166" s="1414">
        <v>5.1100000000000003</v>
      </c>
      <c r="I166" s="1477">
        <f t="shared" si="49"/>
        <v>12386.61</v>
      </c>
      <c r="J166" s="1477">
        <f t="shared" si="50"/>
        <v>12662.42</v>
      </c>
      <c r="K166" s="1477">
        <v>1172.5899999999999</v>
      </c>
      <c r="L166" s="1477">
        <f t="shared" si="56"/>
        <v>1172.5899999999999</v>
      </c>
      <c r="M166" s="1477">
        <v>1334.82</v>
      </c>
      <c r="N166" s="1477">
        <f t="shared" si="57"/>
        <v>1334.82</v>
      </c>
      <c r="O166" s="1477">
        <f t="shared" si="58"/>
        <v>5921.58</v>
      </c>
      <c r="P166" s="1477">
        <f t="shared" si="59"/>
        <v>6740.84</v>
      </c>
      <c r="Q166" s="1477">
        <f t="shared" si="60"/>
        <v>6820.93</v>
      </c>
      <c r="R166" s="1576">
        <f t="shared" si="61"/>
        <v>12742.51</v>
      </c>
      <c r="S166" s="1869">
        <v>1962.63168</v>
      </c>
      <c r="T166" s="1866">
        <v>9958.6924848000017</v>
      </c>
      <c r="U166" s="2442"/>
      <c r="V166" s="1866">
        <f t="shared" si="63"/>
        <v>0</v>
      </c>
      <c r="W166" s="1869">
        <f>S166+U166</f>
        <v>1962.63168</v>
      </c>
      <c r="X166" s="1870">
        <f t="shared" si="64"/>
        <v>9958.6924848000017</v>
      </c>
      <c r="Y166" s="1871">
        <f t="shared" si="65"/>
        <v>0.78153303272275254</v>
      </c>
      <c r="Z166" s="1694">
        <f>+E166-W166</f>
        <v>544.77831999999989</v>
      </c>
      <c r="AA166" s="1872">
        <f t="shared" si="66"/>
        <v>2783.8172151999997</v>
      </c>
      <c r="AB166" s="1873">
        <f t="shared" si="67"/>
        <v>0.2184669437340053</v>
      </c>
      <c r="AC166" s="1418">
        <f t="shared" si="51"/>
        <v>2.9999999878782546E-4</v>
      </c>
      <c r="AD166" s="1418">
        <f t="shared" si="52"/>
        <v>0</v>
      </c>
      <c r="AE166" s="1418">
        <v>12662.4205</v>
      </c>
      <c r="AF166" s="1418">
        <f t="shared" si="53"/>
        <v>-80.089500000000044</v>
      </c>
      <c r="AG166" s="1418">
        <v>5.05</v>
      </c>
      <c r="AH166" s="1418">
        <f t="shared" si="54"/>
        <v>-6.0000000000000497E-2</v>
      </c>
      <c r="AI166" s="1428"/>
      <c r="AO166" s="2504">
        <v>9958.6924848000017</v>
      </c>
      <c r="AP166" s="1418">
        <f t="shared" si="62"/>
        <v>0</v>
      </c>
      <c r="AQ166" s="1418">
        <f t="shared" si="55"/>
        <v>-2.9999999787833076E-4</v>
      </c>
    </row>
    <row r="167" spans="1:43" s="1410" customFormat="1" ht="15.75">
      <c r="A167" s="2102"/>
      <c r="B167" s="1268" t="s">
        <v>2333</v>
      </c>
      <c r="C167" s="1241" t="s">
        <v>2969</v>
      </c>
      <c r="D167" s="1245" t="s">
        <v>36</v>
      </c>
      <c r="E167" s="1413">
        <v>1824.37</v>
      </c>
      <c r="F167" s="1555">
        <v>5.81</v>
      </c>
      <c r="G167" s="1480">
        <v>5.92</v>
      </c>
      <c r="H167" s="1414">
        <v>5.96</v>
      </c>
      <c r="I167" s="1477">
        <f t="shared" si="49"/>
        <v>10599.59</v>
      </c>
      <c r="J167" s="1477">
        <f t="shared" si="50"/>
        <v>10800.27</v>
      </c>
      <c r="K167" s="1477">
        <v>805.09924000000001</v>
      </c>
      <c r="L167" s="1477">
        <f t="shared" si="56"/>
        <v>805.09999999999991</v>
      </c>
      <c r="M167" s="1477">
        <v>1019.2707599999999</v>
      </c>
      <c r="N167" s="1477">
        <f t="shared" si="57"/>
        <v>1019.27</v>
      </c>
      <c r="O167" s="1477">
        <f t="shared" si="58"/>
        <v>4766.1899999999996</v>
      </c>
      <c r="P167" s="1477">
        <f t="shared" si="59"/>
        <v>6034.08</v>
      </c>
      <c r="Q167" s="1477">
        <f t="shared" si="60"/>
        <v>6074.85</v>
      </c>
      <c r="R167" s="1576">
        <f t="shared" si="61"/>
        <v>10841.04</v>
      </c>
      <c r="S167" s="1869">
        <v>1212</v>
      </c>
      <c r="T167" s="1866">
        <v>7191.3160303999994</v>
      </c>
      <c r="U167" s="2442"/>
      <c r="V167" s="1866">
        <f t="shared" si="63"/>
        <v>0</v>
      </c>
      <c r="W167" s="1869">
        <f>S167+U167</f>
        <v>1212</v>
      </c>
      <c r="X167" s="1870">
        <f t="shared" si="64"/>
        <v>7191.3160303999994</v>
      </c>
      <c r="Y167" s="1871">
        <f t="shared" si="65"/>
        <v>0.66334189620184025</v>
      </c>
      <c r="Z167" s="1694">
        <f>+E167-W167</f>
        <v>612.36999999999989</v>
      </c>
      <c r="AA167" s="1872">
        <f t="shared" si="66"/>
        <v>3649.7251999999994</v>
      </c>
      <c r="AB167" s="1873">
        <f t="shared" si="67"/>
        <v>0.33665821729280576</v>
      </c>
      <c r="AC167" s="1418">
        <f t="shared" si="51"/>
        <v>-1.2303999978939828E-3</v>
      </c>
      <c r="AD167" s="1418">
        <f t="shared" si="52"/>
        <v>0</v>
      </c>
      <c r="AE167" s="1418">
        <v>10800.270399999998</v>
      </c>
      <c r="AF167" s="1418">
        <f t="shared" si="53"/>
        <v>-40.769600000003265</v>
      </c>
      <c r="AG167" s="1418">
        <v>5.92</v>
      </c>
      <c r="AH167" s="1418">
        <f t="shared" si="54"/>
        <v>-4.0000000000000036E-2</v>
      </c>
      <c r="AI167" s="1428"/>
      <c r="AO167" s="2504">
        <v>7191.3160303999994</v>
      </c>
      <c r="AP167" s="1418">
        <f t="shared" si="62"/>
        <v>0</v>
      </c>
      <c r="AQ167" s="1418">
        <f t="shared" si="55"/>
        <v>1.2303999974392354E-3</v>
      </c>
    </row>
    <row r="168" spans="1:43" s="1410" customFormat="1" ht="15.75">
      <c r="A168" s="2102" t="s">
        <v>3619</v>
      </c>
      <c r="B168" s="1272" t="s">
        <v>2334</v>
      </c>
      <c r="C168" s="1262" t="s">
        <v>2970</v>
      </c>
      <c r="D168" s="1273"/>
      <c r="E168" s="1415"/>
      <c r="F168" s="1267"/>
      <c r="G168" s="1480"/>
      <c r="H168" s="1416"/>
      <c r="I168" s="1477">
        <f t="shared" si="49"/>
        <v>0</v>
      </c>
      <c r="J168" s="1477">
        <f t="shared" si="50"/>
        <v>0</v>
      </c>
      <c r="K168" s="1477"/>
      <c r="L168" s="1477">
        <f t="shared" si="56"/>
        <v>0</v>
      </c>
      <c r="M168" s="1477"/>
      <c r="N168" s="1477">
        <f t="shared" si="57"/>
        <v>0</v>
      </c>
      <c r="O168" s="1477">
        <f t="shared" si="58"/>
        <v>0</v>
      </c>
      <c r="P168" s="1477">
        <f t="shared" si="59"/>
        <v>0</v>
      </c>
      <c r="Q168" s="1477">
        <f t="shared" si="60"/>
        <v>0</v>
      </c>
      <c r="R168" s="1576">
        <f t="shared" si="61"/>
        <v>0</v>
      </c>
      <c r="S168" s="1869"/>
      <c r="T168" s="1866"/>
      <c r="U168" s="2442"/>
      <c r="V168" s="1866">
        <f t="shared" si="63"/>
        <v>0</v>
      </c>
      <c r="W168" s="1869"/>
      <c r="X168" s="1870"/>
      <c r="Y168" s="1871" t="str">
        <f t="shared" si="65"/>
        <v/>
      </c>
      <c r="Z168" s="1694"/>
      <c r="AA168" s="1872">
        <f t="shared" si="66"/>
        <v>0</v>
      </c>
      <c r="AB168" s="1873" t="str">
        <f t="shared" si="67"/>
        <v/>
      </c>
      <c r="AC168" s="1418">
        <f t="shared" si="51"/>
        <v>0</v>
      </c>
      <c r="AD168" s="1418">
        <f t="shared" si="52"/>
        <v>0</v>
      </c>
      <c r="AE168" s="1418"/>
      <c r="AF168" s="1418">
        <f t="shared" si="53"/>
        <v>0</v>
      </c>
      <c r="AG168" s="1418"/>
      <c r="AH168" s="1418">
        <f t="shared" si="54"/>
        <v>0</v>
      </c>
      <c r="AI168" s="1428"/>
      <c r="AO168" s="2504"/>
      <c r="AP168" s="1418">
        <f t="shared" si="62"/>
        <v>0</v>
      </c>
      <c r="AQ168" s="1418">
        <f t="shared" si="55"/>
        <v>0</v>
      </c>
    </row>
    <row r="169" spans="1:43" s="1410" customFormat="1" ht="15.75">
      <c r="A169" s="2102" t="s">
        <v>3619</v>
      </c>
      <c r="B169" s="1268" t="s">
        <v>2335</v>
      </c>
      <c r="C169" s="1241" t="s">
        <v>2971</v>
      </c>
      <c r="D169" s="1245" t="s">
        <v>40</v>
      </c>
      <c r="E169" s="1413">
        <v>211.66</v>
      </c>
      <c r="F169" s="1555">
        <v>440.81</v>
      </c>
      <c r="G169" s="1480">
        <v>442.22</v>
      </c>
      <c r="H169" s="1414">
        <v>442.98</v>
      </c>
      <c r="I169" s="1477">
        <f t="shared" si="49"/>
        <v>93301.84</v>
      </c>
      <c r="J169" s="1477">
        <f t="shared" si="50"/>
        <v>93600.29</v>
      </c>
      <c r="K169" s="1477">
        <v>100.72959</v>
      </c>
      <c r="L169" s="1477">
        <f t="shared" si="56"/>
        <v>100.72999999999999</v>
      </c>
      <c r="M169" s="1477">
        <v>110.93040999999999</v>
      </c>
      <c r="N169" s="1477">
        <f t="shared" si="57"/>
        <v>110.93</v>
      </c>
      <c r="O169" s="1477">
        <f t="shared" si="58"/>
        <v>44544.82</v>
      </c>
      <c r="P169" s="1477">
        <f t="shared" si="59"/>
        <v>49055.46</v>
      </c>
      <c r="Q169" s="1477">
        <f t="shared" si="60"/>
        <v>49139.77</v>
      </c>
      <c r="R169" s="1576">
        <f t="shared" si="61"/>
        <v>93684.59</v>
      </c>
      <c r="S169" s="1869">
        <v>211.66</v>
      </c>
      <c r="T169" s="1866">
        <v>93684.592311600005</v>
      </c>
      <c r="U169" s="2442"/>
      <c r="V169" s="1866">
        <f t="shared" si="63"/>
        <v>0</v>
      </c>
      <c r="W169" s="1869">
        <f>S169+U169</f>
        <v>211.66</v>
      </c>
      <c r="X169" s="1870">
        <f t="shared" si="64"/>
        <v>93684.592311600005</v>
      </c>
      <c r="Y169" s="1871">
        <f t="shared" si="65"/>
        <v>1.0000000246742822</v>
      </c>
      <c r="Z169" s="1694">
        <f>+E169-W169</f>
        <v>0</v>
      </c>
      <c r="AA169" s="1872">
        <f t="shared" si="66"/>
        <v>0</v>
      </c>
      <c r="AB169" s="1873">
        <f t="shared" si="67"/>
        <v>0</v>
      </c>
      <c r="AC169" s="1418">
        <f t="shared" si="51"/>
        <v>-2.3116000083973631E-3</v>
      </c>
      <c r="AD169" s="1418">
        <f t="shared" si="52"/>
        <v>0</v>
      </c>
      <c r="AE169" s="1418">
        <v>93684.592311600005</v>
      </c>
      <c r="AF169" s="1418">
        <f t="shared" si="53"/>
        <v>2.3116000083973631E-3</v>
      </c>
      <c r="AG169" s="1418">
        <v>442.98</v>
      </c>
      <c r="AH169" s="1418">
        <f t="shared" si="54"/>
        <v>0</v>
      </c>
      <c r="AI169" s="1428" t="s">
        <v>3666</v>
      </c>
      <c r="AO169" s="2504">
        <v>93684.592311600005</v>
      </c>
      <c r="AP169" s="1418">
        <f t="shared" si="62"/>
        <v>0</v>
      </c>
      <c r="AQ169" s="1418">
        <f t="shared" si="55"/>
        <v>2.3116000083973631E-3</v>
      </c>
    </row>
    <row r="170" spans="1:43" s="1410" customFormat="1" ht="15.75">
      <c r="A170" s="2102" t="s">
        <v>3619</v>
      </c>
      <c r="B170" s="1268" t="s">
        <v>2336</v>
      </c>
      <c r="C170" s="1241" t="s">
        <v>2972</v>
      </c>
      <c r="D170" s="1245" t="s">
        <v>37</v>
      </c>
      <c r="E170" s="1413">
        <v>1885.39</v>
      </c>
      <c r="F170" s="1555">
        <v>57.79</v>
      </c>
      <c r="G170" s="1480">
        <v>59.89</v>
      </c>
      <c r="H170" s="1414">
        <v>61.03</v>
      </c>
      <c r="I170" s="1477">
        <f t="shared" si="49"/>
        <v>108956.69</v>
      </c>
      <c r="J170" s="1477">
        <f t="shared" si="50"/>
        <v>112916.01</v>
      </c>
      <c r="K170" s="1477">
        <v>913.02599999999995</v>
      </c>
      <c r="L170" s="1477">
        <f t="shared" si="56"/>
        <v>913.03000000000009</v>
      </c>
      <c r="M170" s="1477">
        <v>972.36400000000015</v>
      </c>
      <c r="N170" s="1477">
        <f t="shared" si="57"/>
        <v>972.36</v>
      </c>
      <c r="O170" s="1477">
        <f t="shared" si="58"/>
        <v>54681.37</v>
      </c>
      <c r="P170" s="1477">
        <f t="shared" si="59"/>
        <v>58234.64</v>
      </c>
      <c r="Q170" s="1477">
        <f t="shared" si="60"/>
        <v>59343.13</v>
      </c>
      <c r="R170" s="1576">
        <f t="shared" si="61"/>
        <v>114024.5</v>
      </c>
      <c r="S170" s="1869">
        <v>1885.39</v>
      </c>
      <c r="T170" s="1866">
        <v>114024.50206</v>
      </c>
      <c r="U170" s="2442"/>
      <c r="V170" s="1866">
        <f t="shared" si="63"/>
        <v>0</v>
      </c>
      <c r="W170" s="1869">
        <f>S170+U170</f>
        <v>1885.39</v>
      </c>
      <c r="X170" s="1870">
        <f t="shared" si="64"/>
        <v>114024.50206</v>
      </c>
      <c r="Y170" s="1871">
        <f t="shared" si="65"/>
        <v>1.0000000180662927</v>
      </c>
      <c r="Z170" s="1694">
        <f>+E170-W170</f>
        <v>0</v>
      </c>
      <c r="AA170" s="1872">
        <f t="shared" si="66"/>
        <v>0</v>
      </c>
      <c r="AB170" s="1873">
        <f t="shared" si="67"/>
        <v>0</v>
      </c>
      <c r="AC170" s="1418">
        <f t="shared" si="51"/>
        <v>-2.0599999988917261E-3</v>
      </c>
      <c r="AD170" s="1418">
        <f t="shared" si="52"/>
        <v>0</v>
      </c>
      <c r="AE170" s="1418">
        <v>114024.50206</v>
      </c>
      <c r="AF170" s="1418">
        <f t="shared" si="53"/>
        <v>2.0599999988917261E-3</v>
      </c>
      <c r="AG170" s="1418">
        <v>61.03</v>
      </c>
      <c r="AH170" s="1418">
        <f t="shared" si="54"/>
        <v>0</v>
      </c>
      <c r="AI170" s="1428" t="s">
        <v>3666</v>
      </c>
      <c r="AO170" s="2504">
        <v>114024.50206</v>
      </c>
      <c r="AP170" s="1418">
        <f t="shared" si="62"/>
        <v>0</v>
      </c>
      <c r="AQ170" s="1418">
        <f t="shared" si="55"/>
        <v>2.0599999988917261E-3</v>
      </c>
    </row>
    <row r="171" spans="1:43" s="1410" customFormat="1" ht="15.75">
      <c r="A171" s="2102" t="s">
        <v>3619</v>
      </c>
      <c r="B171" s="1268" t="s">
        <v>2337</v>
      </c>
      <c r="C171" s="1241" t="s">
        <v>2973</v>
      </c>
      <c r="D171" s="1245" t="s">
        <v>48</v>
      </c>
      <c r="E171" s="1413">
        <v>35616.83</v>
      </c>
      <c r="F171" s="1555">
        <v>4.9400000000000004</v>
      </c>
      <c r="G171" s="1480">
        <v>5.05</v>
      </c>
      <c r="H171" s="1414">
        <v>5.1100000000000003</v>
      </c>
      <c r="I171" s="1477">
        <f t="shared" si="49"/>
        <v>175947.14</v>
      </c>
      <c r="J171" s="1477">
        <f t="shared" si="50"/>
        <v>179864.99</v>
      </c>
      <c r="K171" s="1477">
        <v>15560.47784</v>
      </c>
      <c r="L171" s="1477">
        <f t="shared" si="56"/>
        <v>15560.480000000003</v>
      </c>
      <c r="M171" s="1477">
        <v>20056.352160000002</v>
      </c>
      <c r="N171" s="1477">
        <f t="shared" si="57"/>
        <v>20056.349999999999</v>
      </c>
      <c r="O171" s="1477">
        <f t="shared" si="58"/>
        <v>78580.42</v>
      </c>
      <c r="P171" s="1477">
        <f t="shared" si="59"/>
        <v>101284.57</v>
      </c>
      <c r="Q171" s="1477">
        <f t="shared" si="60"/>
        <v>102487.95</v>
      </c>
      <c r="R171" s="1576">
        <f t="shared" si="61"/>
        <v>181068.37</v>
      </c>
      <c r="S171" s="1869">
        <v>35616.83</v>
      </c>
      <c r="T171" s="1866">
        <v>181068.37262959999</v>
      </c>
      <c r="U171" s="2442"/>
      <c r="V171" s="1866">
        <f t="shared" si="63"/>
        <v>0</v>
      </c>
      <c r="W171" s="1869">
        <f>S171+U171</f>
        <v>35616.83</v>
      </c>
      <c r="X171" s="1870">
        <f t="shared" si="64"/>
        <v>181068.37262959999</v>
      </c>
      <c r="Y171" s="1871">
        <f t="shared" si="65"/>
        <v>1.000000014522691</v>
      </c>
      <c r="Z171" s="1694">
        <f>+E171-W171</f>
        <v>0</v>
      </c>
      <c r="AA171" s="1872">
        <f t="shared" si="66"/>
        <v>0</v>
      </c>
      <c r="AB171" s="1873">
        <f t="shared" si="67"/>
        <v>0</v>
      </c>
      <c r="AC171" s="1418">
        <f t="shared" si="51"/>
        <v>-2.6295999996364117E-3</v>
      </c>
      <c r="AD171" s="1418">
        <f t="shared" si="52"/>
        <v>0</v>
      </c>
      <c r="AE171" s="1418">
        <v>181068.37262959999</v>
      </c>
      <c r="AF171" s="1418">
        <f t="shared" si="53"/>
        <v>2.6295999996364117E-3</v>
      </c>
      <c r="AG171" s="1418">
        <v>5.1100000000000003</v>
      </c>
      <c r="AH171" s="1418">
        <f t="shared" si="54"/>
        <v>0</v>
      </c>
      <c r="AI171" s="1428" t="s">
        <v>3666</v>
      </c>
      <c r="AO171" s="2504">
        <v>181068.37262959999</v>
      </c>
      <c r="AP171" s="1418">
        <f t="shared" si="62"/>
        <v>0</v>
      </c>
      <c r="AQ171" s="1418">
        <f t="shared" si="55"/>
        <v>2.6295999996364117E-3</v>
      </c>
    </row>
    <row r="172" spans="1:43" s="1410" customFormat="1" ht="15.75">
      <c r="A172" s="2102" t="s">
        <v>3619</v>
      </c>
      <c r="B172" s="1268" t="s">
        <v>2338</v>
      </c>
      <c r="C172" s="1241" t="s">
        <v>2974</v>
      </c>
      <c r="D172" s="1245" t="s">
        <v>36</v>
      </c>
      <c r="E172" s="1413">
        <v>15709</v>
      </c>
      <c r="F172" s="1555">
        <v>6.18</v>
      </c>
      <c r="G172" s="1480">
        <v>6.26</v>
      </c>
      <c r="H172" s="1414">
        <v>6.3</v>
      </c>
      <c r="I172" s="1477">
        <f t="shared" si="49"/>
        <v>97081.62</v>
      </c>
      <c r="J172" s="1477">
        <f t="shared" si="50"/>
        <v>98338.34</v>
      </c>
      <c r="K172" s="1477">
        <v>6976.0998</v>
      </c>
      <c r="L172" s="1477">
        <f t="shared" si="56"/>
        <v>6976.1</v>
      </c>
      <c r="M172" s="1477">
        <v>8732.9002</v>
      </c>
      <c r="N172" s="1477">
        <f t="shared" si="57"/>
        <v>8732.9</v>
      </c>
      <c r="O172" s="1477">
        <f t="shared" si="58"/>
        <v>43670.39</v>
      </c>
      <c r="P172" s="1477">
        <f t="shared" si="59"/>
        <v>54667.95</v>
      </c>
      <c r="Q172" s="1477">
        <f t="shared" si="60"/>
        <v>55017.27</v>
      </c>
      <c r="R172" s="1576">
        <f t="shared" si="61"/>
        <v>98687.66</v>
      </c>
      <c r="S172" s="1869">
        <v>15709</v>
      </c>
      <c r="T172" s="1866">
        <v>98687.656007999991</v>
      </c>
      <c r="U172" s="2442"/>
      <c r="V172" s="1866">
        <f t="shared" si="63"/>
        <v>0</v>
      </c>
      <c r="W172" s="1869">
        <f>S172+U172</f>
        <v>15709</v>
      </c>
      <c r="X172" s="1870">
        <f t="shared" si="64"/>
        <v>98687.656007999991</v>
      </c>
      <c r="Y172" s="1871">
        <f t="shared" si="65"/>
        <v>0.99999995954914711</v>
      </c>
      <c r="Z172" s="1694">
        <f>+E172-W172</f>
        <v>0</v>
      </c>
      <c r="AA172" s="1872">
        <f t="shared" si="66"/>
        <v>0</v>
      </c>
      <c r="AB172" s="1873">
        <f t="shared" si="67"/>
        <v>0</v>
      </c>
      <c r="AC172" s="1418">
        <f t="shared" si="51"/>
        <v>3.9920000126585364E-3</v>
      </c>
      <c r="AD172" s="1418">
        <f t="shared" si="52"/>
        <v>0</v>
      </c>
      <c r="AE172" s="1418">
        <v>98687.656007999991</v>
      </c>
      <c r="AF172" s="1418">
        <f t="shared" si="53"/>
        <v>-3.9920000126585364E-3</v>
      </c>
      <c r="AG172" s="1418">
        <v>6.3</v>
      </c>
      <c r="AH172" s="1418">
        <f t="shared" si="54"/>
        <v>0</v>
      </c>
      <c r="AI172" s="1428" t="s">
        <v>3666</v>
      </c>
      <c r="AO172" s="2504">
        <v>98687.656007999991</v>
      </c>
      <c r="AP172" s="1418">
        <f t="shared" si="62"/>
        <v>0</v>
      </c>
      <c r="AQ172" s="1418">
        <f t="shared" si="55"/>
        <v>-3.9920000126585364E-3</v>
      </c>
    </row>
    <row r="173" spans="1:43" s="1410" customFormat="1" ht="15.75">
      <c r="A173" s="2102"/>
      <c r="B173" s="1272" t="s">
        <v>2339</v>
      </c>
      <c r="C173" s="1262" t="s">
        <v>2975</v>
      </c>
      <c r="D173" s="1273"/>
      <c r="E173" s="1415"/>
      <c r="F173" s="1267"/>
      <c r="G173" s="1480"/>
      <c r="H173" s="1416"/>
      <c r="I173" s="1477">
        <f t="shared" si="49"/>
        <v>0</v>
      </c>
      <c r="J173" s="1477">
        <f t="shared" si="50"/>
        <v>0</v>
      </c>
      <c r="K173" s="1477"/>
      <c r="L173" s="1477">
        <f t="shared" si="56"/>
        <v>0</v>
      </c>
      <c r="M173" s="1477"/>
      <c r="N173" s="1477">
        <f t="shared" si="57"/>
        <v>0</v>
      </c>
      <c r="O173" s="1477">
        <f t="shared" si="58"/>
        <v>0</v>
      </c>
      <c r="P173" s="1477">
        <f t="shared" si="59"/>
        <v>0</v>
      </c>
      <c r="Q173" s="1477">
        <f t="shared" si="60"/>
        <v>0</v>
      </c>
      <c r="R173" s="1576">
        <f t="shared" si="61"/>
        <v>0</v>
      </c>
      <c r="S173" s="1869"/>
      <c r="T173" s="1866"/>
      <c r="U173" s="2442"/>
      <c r="V173" s="1866">
        <f t="shared" si="63"/>
        <v>0</v>
      </c>
      <c r="W173" s="1869"/>
      <c r="X173" s="1870"/>
      <c r="Y173" s="1871" t="str">
        <f t="shared" si="65"/>
        <v/>
      </c>
      <c r="Z173" s="1694"/>
      <c r="AA173" s="1872">
        <f t="shared" si="66"/>
        <v>0</v>
      </c>
      <c r="AB173" s="1873" t="str">
        <f t="shared" si="67"/>
        <v/>
      </c>
      <c r="AC173" s="1418">
        <f t="shared" si="51"/>
        <v>0</v>
      </c>
      <c r="AD173" s="1418">
        <f t="shared" si="52"/>
        <v>0</v>
      </c>
      <c r="AE173" s="1418"/>
      <c r="AF173" s="1418">
        <f t="shared" si="53"/>
        <v>0</v>
      </c>
      <c r="AG173" s="1418"/>
      <c r="AH173" s="1418">
        <f t="shared" si="54"/>
        <v>0</v>
      </c>
      <c r="AI173" s="1428"/>
      <c r="AO173" s="2504"/>
      <c r="AP173" s="1418">
        <f t="shared" si="62"/>
        <v>0</v>
      </c>
      <c r="AQ173" s="1418">
        <f t="shared" si="55"/>
        <v>0</v>
      </c>
    </row>
    <row r="174" spans="1:43" s="1410" customFormat="1" ht="15.75">
      <c r="A174" s="2102"/>
      <c r="B174" s="1268" t="s">
        <v>2340</v>
      </c>
      <c r="C174" s="1241" t="s">
        <v>2971</v>
      </c>
      <c r="D174" s="1245" t="s">
        <v>40</v>
      </c>
      <c r="E174" s="1413">
        <v>62.08</v>
      </c>
      <c r="F174" s="1555">
        <v>440.81</v>
      </c>
      <c r="G174" s="1480">
        <v>442.22</v>
      </c>
      <c r="H174" s="1414">
        <v>442.98</v>
      </c>
      <c r="I174" s="1477">
        <f t="shared" si="49"/>
        <v>27365.48</v>
      </c>
      <c r="J174" s="1477">
        <f t="shared" si="50"/>
        <v>27453.02</v>
      </c>
      <c r="K174" s="1477">
        <v>62.08</v>
      </c>
      <c r="L174" s="1477">
        <f t="shared" si="56"/>
        <v>62.08</v>
      </c>
      <c r="M174" s="1477">
        <v>0</v>
      </c>
      <c r="N174" s="1477">
        <f t="shared" si="57"/>
        <v>0</v>
      </c>
      <c r="O174" s="1477">
        <f t="shared" si="58"/>
        <v>27453.02</v>
      </c>
      <c r="P174" s="1477">
        <f t="shared" si="59"/>
        <v>0</v>
      </c>
      <c r="Q174" s="1477">
        <f t="shared" si="60"/>
        <v>0</v>
      </c>
      <c r="R174" s="1576">
        <f t="shared" si="61"/>
        <v>27453.02</v>
      </c>
      <c r="S174" s="1869">
        <v>62.08</v>
      </c>
      <c r="T174" s="1866">
        <v>27453.017599999999</v>
      </c>
      <c r="U174" s="2442"/>
      <c r="V174" s="1866">
        <f t="shared" si="63"/>
        <v>0</v>
      </c>
      <c r="W174" s="1869">
        <f>S174+U174</f>
        <v>62.08</v>
      </c>
      <c r="X174" s="1870">
        <f t="shared" si="64"/>
        <v>27453.017599999999</v>
      </c>
      <c r="Y174" s="1871">
        <f t="shared" si="65"/>
        <v>0.99999991257792398</v>
      </c>
      <c r="Z174" s="1694">
        <f>+E174-W174</f>
        <v>0</v>
      </c>
      <c r="AA174" s="1872">
        <f t="shared" si="66"/>
        <v>0</v>
      </c>
      <c r="AB174" s="1873">
        <f t="shared" si="67"/>
        <v>0</v>
      </c>
      <c r="AC174" s="1418">
        <f t="shared" si="51"/>
        <v>2.4000000012165401E-3</v>
      </c>
      <c r="AD174" s="1418">
        <f t="shared" si="52"/>
        <v>0</v>
      </c>
      <c r="AE174" s="1418">
        <v>27453.017599999999</v>
      </c>
      <c r="AF174" s="1418">
        <f t="shared" si="53"/>
        <v>-2.4000000012165401E-3</v>
      </c>
      <c r="AG174" s="1418">
        <v>442.22</v>
      </c>
      <c r="AH174" s="1418">
        <f t="shared" si="54"/>
        <v>-0.75999999999999091</v>
      </c>
      <c r="AI174" s="1428"/>
      <c r="AO174" s="2504">
        <v>27453.017599999999</v>
      </c>
      <c r="AP174" s="1418">
        <f t="shared" si="62"/>
        <v>0</v>
      </c>
      <c r="AQ174" s="1418">
        <f t="shared" si="55"/>
        <v>-2.4000000012165401E-3</v>
      </c>
    </row>
    <row r="175" spans="1:43" s="1410" customFormat="1" ht="15.75">
      <c r="A175" s="2102"/>
      <c r="B175" s="1268" t="s">
        <v>2341</v>
      </c>
      <c r="C175" s="1241" t="s">
        <v>2972</v>
      </c>
      <c r="D175" s="1245" t="s">
        <v>37</v>
      </c>
      <c r="E175" s="1413">
        <v>400.5</v>
      </c>
      <c r="F175" s="1555">
        <v>57.79</v>
      </c>
      <c r="G175" s="1480">
        <v>59.89</v>
      </c>
      <c r="H175" s="1414">
        <v>61.03</v>
      </c>
      <c r="I175" s="1477">
        <f t="shared" si="49"/>
        <v>23144.9</v>
      </c>
      <c r="J175" s="1477">
        <f t="shared" si="50"/>
        <v>23985.95</v>
      </c>
      <c r="K175" s="1477">
        <v>400.5</v>
      </c>
      <c r="L175" s="1477">
        <f t="shared" si="56"/>
        <v>400.5</v>
      </c>
      <c r="M175" s="1477">
        <v>0</v>
      </c>
      <c r="N175" s="1477">
        <f t="shared" si="57"/>
        <v>0</v>
      </c>
      <c r="O175" s="1477">
        <f t="shared" si="58"/>
        <v>23985.95</v>
      </c>
      <c r="P175" s="1477">
        <f t="shared" si="59"/>
        <v>0</v>
      </c>
      <c r="Q175" s="1477">
        <f t="shared" si="60"/>
        <v>0</v>
      </c>
      <c r="R175" s="1576">
        <f t="shared" si="61"/>
        <v>23985.95</v>
      </c>
      <c r="S175" s="1869">
        <v>400.5</v>
      </c>
      <c r="T175" s="1866">
        <v>23985.945</v>
      </c>
      <c r="U175" s="2442"/>
      <c r="V175" s="1866">
        <f t="shared" si="63"/>
        <v>0</v>
      </c>
      <c r="W175" s="1869">
        <f>S175+U175</f>
        <v>400.5</v>
      </c>
      <c r="X175" s="1870">
        <f t="shared" si="64"/>
        <v>23985.945</v>
      </c>
      <c r="Y175" s="1871">
        <f t="shared" si="65"/>
        <v>0.99999979154463337</v>
      </c>
      <c r="Z175" s="1694">
        <f>+E175-W175</f>
        <v>0</v>
      </c>
      <c r="AA175" s="1872">
        <f t="shared" si="66"/>
        <v>0</v>
      </c>
      <c r="AB175" s="1873">
        <f t="shared" si="67"/>
        <v>0</v>
      </c>
      <c r="AC175" s="1418">
        <f t="shared" si="51"/>
        <v>5.0000000010186341E-3</v>
      </c>
      <c r="AD175" s="1418">
        <f t="shared" si="52"/>
        <v>0</v>
      </c>
      <c r="AE175" s="1418">
        <v>23985.945</v>
      </c>
      <c r="AF175" s="1418">
        <f t="shared" si="53"/>
        <v>-5.0000000010186341E-3</v>
      </c>
      <c r="AG175" s="1418">
        <v>59.89</v>
      </c>
      <c r="AH175" s="1418">
        <f t="shared" si="54"/>
        <v>-1.1400000000000006</v>
      </c>
      <c r="AI175" s="1428"/>
      <c r="AO175" s="2504">
        <v>23985.945</v>
      </c>
      <c r="AP175" s="1418">
        <f t="shared" si="62"/>
        <v>0</v>
      </c>
      <c r="AQ175" s="1418">
        <f t="shared" si="55"/>
        <v>-5.0000000010186341E-3</v>
      </c>
    </row>
    <row r="176" spans="1:43" s="1410" customFormat="1" ht="15.75">
      <c r="A176" s="2102"/>
      <c r="B176" s="1268" t="s">
        <v>2342</v>
      </c>
      <c r="C176" s="1241" t="s">
        <v>2973</v>
      </c>
      <c r="D176" s="1245" t="s">
        <v>48</v>
      </c>
      <c r="E176" s="1413">
        <v>7517.7</v>
      </c>
      <c r="F176" s="1555">
        <v>4.9400000000000004</v>
      </c>
      <c r="G176" s="1480">
        <v>5.05</v>
      </c>
      <c r="H176" s="1414">
        <v>5.1100000000000003</v>
      </c>
      <c r="I176" s="1477">
        <f t="shared" si="49"/>
        <v>37137.440000000002</v>
      </c>
      <c r="J176" s="1477">
        <f t="shared" si="50"/>
        <v>37964.39</v>
      </c>
      <c r="K176" s="1477">
        <v>7452.8919999999998</v>
      </c>
      <c r="L176" s="1477">
        <f t="shared" si="56"/>
        <v>7452.8899999999994</v>
      </c>
      <c r="M176" s="1477">
        <v>64.807999999999993</v>
      </c>
      <c r="N176" s="1477">
        <f t="shared" si="57"/>
        <v>64.81</v>
      </c>
      <c r="O176" s="1477">
        <f t="shared" si="58"/>
        <v>37637.089999999997</v>
      </c>
      <c r="P176" s="1477">
        <f t="shared" si="59"/>
        <v>327.29000000000002</v>
      </c>
      <c r="Q176" s="1477">
        <f t="shared" si="60"/>
        <v>331.18</v>
      </c>
      <c r="R176" s="1576">
        <f t="shared" si="61"/>
        <v>37968.269999999997</v>
      </c>
      <c r="S176" s="1869">
        <v>7517.7</v>
      </c>
      <c r="T176" s="1866">
        <v>37968.273479999996</v>
      </c>
      <c r="U176" s="2442"/>
      <c r="V176" s="1866">
        <f t="shared" si="63"/>
        <v>0</v>
      </c>
      <c r="W176" s="1869">
        <f>S176+U176</f>
        <v>7517.7</v>
      </c>
      <c r="X176" s="1870">
        <f t="shared" si="64"/>
        <v>37968.273479999996</v>
      </c>
      <c r="Y176" s="1871">
        <f t="shared" si="65"/>
        <v>1.0000000916554797</v>
      </c>
      <c r="Z176" s="1694">
        <f>+E176-W176</f>
        <v>0</v>
      </c>
      <c r="AA176" s="1872">
        <f t="shared" si="66"/>
        <v>0</v>
      </c>
      <c r="AB176" s="1873">
        <f t="shared" si="67"/>
        <v>0</v>
      </c>
      <c r="AC176" s="1418">
        <f t="shared" si="51"/>
        <v>-3.4799999993992969E-3</v>
      </c>
      <c r="AD176" s="1418">
        <f t="shared" si="52"/>
        <v>0</v>
      </c>
      <c r="AE176" s="1418">
        <v>37968.273479999996</v>
      </c>
      <c r="AF176" s="1418">
        <f t="shared" si="53"/>
        <v>3.4799999993992969E-3</v>
      </c>
      <c r="AG176" s="1418">
        <v>5.1100000000000003</v>
      </c>
      <c r="AH176" s="1418">
        <f t="shared" si="54"/>
        <v>0</v>
      </c>
      <c r="AI176" s="1428"/>
      <c r="AO176" s="2504">
        <v>37968.273479999996</v>
      </c>
      <c r="AP176" s="1418">
        <f t="shared" si="62"/>
        <v>0</v>
      </c>
      <c r="AQ176" s="1418">
        <f t="shared" si="55"/>
        <v>3.4799999993992969E-3</v>
      </c>
    </row>
    <row r="177" spans="1:43" s="1410" customFormat="1" ht="15.75">
      <c r="A177" s="2102"/>
      <c r="B177" s="1268" t="s">
        <v>2343</v>
      </c>
      <c r="C177" s="1241" t="s">
        <v>2976</v>
      </c>
      <c r="D177" s="1245" t="s">
        <v>36</v>
      </c>
      <c r="E177" s="1413">
        <v>834.25</v>
      </c>
      <c r="F177" s="1555">
        <v>24.03</v>
      </c>
      <c r="G177" s="1480">
        <v>24.11</v>
      </c>
      <c r="H177" s="1414">
        <v>24.15</v>
      </c>
      <c r="I177" s="1477">
        <f t="shared" si="49"/>
        <v>20047.03</v>
      </c>
      <c r="J177" s="1477">
        <f t="shared" si="50"/>
        <v>20113.77</v>
      </c>
      <c r="K177" s="1477">
        <v>0</v>
      </c>
      <c r="L177" s="1477">
        <f t="shared" si="56"/>
        <v>0</v>
      </c>
      <c r="M177" s="1477">
        <v>834.25</v>
      </c>
      <c r="N177" s="1477">
        <f t="shared" si="57"/>
        <v>834.25</v>
      </c>
      <c r="O177" s="1477">
        <f t="shared" si="58"/>
        <v>0</v>
      </c>
      <c r="P177" s="1477">
        <f t="shared" si="59"/>
        <v>20113.77</v>
      </c>
      <c r="Q177" s="1477">
        <f t="shared" si="60"/>
        <v>20147.14</v>
      </c>
      <c r="R177" s="1576">
        <f t="shared" si="61"/>
        <v>20147.14</v>
      </c>
      <c r="S177" s="1869">
        <v>0</v>
      </c>
      <c r="T177" s="1866">
        <v>0</v>
      </c>
      <c r="U177" s="2442"/>
      <c r="V177" s="1866">
        <f t="shared" si="63"/>
        <v>0</v>
      </c>
      <c r="W177" s="1869">
        <f>S177+U177</f>
        <v>0</v>
      </c>
      <c r="X177" s="1870">
        <f t="shared" si="64"/>
        <v>0</v>
      </c>
      <c r="Y177" s="1871">
        <f t="shared" si="65"/>
        <v>0</v>
      </c>
      <c r="Z177" s="1694">
        <f>+E177-W177</f>
        <v>834.25</v>
      </c>
      <c r="AA177" s="1872">
        <f t="shared" si="66"/>
        <v>20147.137499999997</v>
      </c>
      <c r="AB177" s="1873">
        <f t="shared" si="67"/>
        <v>0.99999987591290862</v>
      </c>
      <c r="AC177" s="1418">
        <f t="shared" si="51"/>
        <v>2.5000000023283064E-3</v>
      </c>
      <c r="AD177" s="1418">
        <f t="shared" si="52"/>
        <v>0</v>
      </c>
      <c r="AE177" s="1418">
        <v>20147.137499999997</v>
      </c>
      <c r="AF177" s="1418">
        <f t="shared" si="53"/>
        <v>-2.5000000023283064E-3</v>
      </c>
      <c r="AG177" s="1418">
        <v>24.15</v>
      </c>
      <c r="AH177" s="1418">
        <f t="shared" si="54"/>
        <v>0</v>
      </c>
      <c r="AI177" s="1428"/>
      <c r="AO177" s="2504">
        <v>0</v>
      </c>
      <c r="AP177" s="1418">
        <f t="shared" si="62"/>
        <v>0</v>
      </c>
      <c r="AQ177" s="1418">
        <f t="shared" si="55"/>
        <v>-2.5000000023283064E-3</v>
      </c>
    </row>
    <row r="178" spans="1:43" s="1410" customFormat="1" ht="15.75">
      <c r="A178" s="2102"/>
      <c r="B178" s="1272" t="s">
        <v>2344</v>
      </c>
      <c r="C178" s="1262" t="s">
        <v>2977</v>
      </c>
      <c r="D178" s="1273"/>
      <c r="E178" s="1415"/>
      <c r="F178" s="1267"/>
      <c r="G178" s="1480"/>
      <c r="H178" s="1416"/>
      <c r="I178" s="1477">
        <f t="shared" si="49"/>
        <v>0</v>
      </c>
      <c r="J178" s="1477">
        <f t="shared" si="50"/>
        <v>0</v>
      </c>
      <c r="K178" s="1477"/>
      <c r="L178" s="1477">
        <f t="shared" si="56"/>
        <v>0</v>
      </c>
      <c r="M178" s="1477"/>
      <c r="N178" s="1477">
        <f t="shared" si="57"/>
        <v>0</v>
      </c>
      <c r="O178" s="1477">
        <f t="shared" si="58"/>
        <v>0</v>
      </c>
      <c r="P178" s="1477">
        <f t="shared" si="59"/>
        <v>0</v>
      </c>
      <c r="Q178" s="1477">
        <f t="shared" si="60"/>
        <v>0</v>
      </c>
      <c r="R178" s="1576">
        <f t="shared" si="61"/>
        <v>0</v>
      </c>
      <c r="S178" s="1869"/>
      <c r="T178" s="1866"/>
      <c r="U178" s="2442"/>
      <c r="V178" s="1866">
        <f t="shared" si="63"/>
        <v>0</v>
      </c>
      <c r="W178" s="1869"/>
      <c r="X178" s="1870"/>
      <c r="Y178" s="1871" t="str">
        <f t="shared" si="65"/>
        <v/>
      </c>
      <c r="Z178" s="1694"/>
      <c r="AA178" s="1872">
        <f t="shared" si="66"/>
        <v>0</v>
      </c>
      <c r="AB178" s="1873" t="str">
        <f t="shared" si="67"/>
        <v/>
      </c>
      <c r="AC178" s="1418">
        <f t="shared" si="51"/>
        <v>0</v>
      </c>
      <c r="AD178" s="1418">
        <f t="shared" si="52"/>
        <v>0</v>
      </c>
      <c r="AE178" s="1418"/>
      <c r="AF178" s="1418">
        <f t="shared" si="53"/>
        <v>0</v>
      </c>
      <c r="AG178" s="1418"/>
      <c r="AH178" s="1418">
        <f t="shared" si="54"/>
        <v>0</v>
      </c>
      <c r="AI178" s="1428"/>
      <c r="AO178" s="2504"/>
      <c r="AP178" s="1418">
        <f t="shared" si="62"/>
        <v>0</v>
      </c>
      <c r="AQ178" s="1418">
        <f t="shared" si="55"/>
        <v>0</v>
      </c>
    </row>
    <row r="179" spans="1:43" s="1410" customFormat="1" ht="15.75">
      <c r="A179" s="2102"/>
      <c r="B179" s="1268" t="s">
        <v>2345</v>
      </c>
      <c r="C179" s="1241" t="s">
        <v>2971</v>
      </c>
      <c r="D179" s="1245" t="s">
        <v>40</v>
      </c>
      <c r="E179" s="1413">
        <v>106.84</v>
      </c>
      <c r="F179" s="1555">
        <v>440.81</v>
      </c>
      <c r="G179" s="1480">
        <v>442.22</v>
      </c>
      <c r="H179" s="1414">
        <v>442.98</v>
      </c>
      <c r="I179" s="1477">
        <f t="shared" si="49"/>
        <v>47096.14</v>
      </c>
      <c r="J179" s="1477">
        <f t="shared" si="50"/>
        <v>47246.78</v>
      </c>
      <c r="K179" s="1477">
        <v>37.788719999999998</v>
      </c>
      <c r="L179" s="1477">
        <f t="shared" si="56"/>
        <v>37.790000000000006</v>
      </c>
      <c r="M179" s="1477">
        <v>69.051280000000006</v>
      </c>
      <c r="N179" s="1477">
        <f t="shared" si="57"/>
        <v>69.05</v>
      </c>
      <c r="O179" s="1477">
        <f t="shared" si="58"/>
        <v>16711.490000000002</v>
      </c>
      <c r="P179" s="1477">
        <f t="shared" si="59"/>
        <v>30535.29</v>
      </c>
      <c r="Q179" s="1477">
        <f t="shared" si="60"/>
        <v>30587.77</v>
      </c>
      <c r="R179" s="1576">
        <f t="shared" si="61"/>
        <v>47299.26</v>
      </c>
      <c r="S179" s="1869">
        <v>106.84</v>
      </c>
      <c r="T179" s="1866">
        <v>47299.263772799997</v>
      </c>
      <c r="U179" s="2442"/>
      <c r="V179" s="1866">
        <f t="shared" si="63"/>
        <v>0</v>
      </c>
      <c r="W179" s="1869">
        <f>S179+U179</f>
        <v>106.84</v>
      </c>
      <c r="X179" s="1870">
        <f t="shared" si="64"/>
        <v>47299.263772799997</v>
      </c>
      <c r="Y179" s="1871">
        <f t="shared" si="65"/>
        <v>1.0000000797644613</v>
      </c>
      <c r="Z179" s="1694">
        <f>+E179-W179</f>
        <v>0</v>
      </c>
      <c r="AA179" s="1872">
        <f t="shared" si="66"/>
        <v>0</v>
      </c>
      <c r="AB179" s="1873">
        <f t="shared" si="67"/>
        <v>0</v>
      </c>
      <c r="AC179" s="1418">
        <f t="shared" si="51"/>
        <v>-3.7727999952039681E-3</v>
      </c>
      <c r="AD179" s="1418">
        <f t="shared" si="52"/>
        <v>0</v>
      </c>
      <c r="AE179" s="1418">
        <v>47299.263772800005</v>
      </c>
      <c r="AF179" s="1418">
        <f t="shared" si="53"/>
        <v>3.7728000024799258E-3</v>
      </c>
      <c r="AG179" s="1418">
        <v>442.98</v>
      </c>
      <c r="AH179" s="1418">
        <f t="shared" si="54"/>
        <v>0</v>
      </c>
      <c r="AI179" s="1428"/>
      <c r="AO179" s="2504">
        <v>47299.263772799997</v>
      </c>
      <c r="AP179" s="1418">
        <f t="shared" si="62"/>
        <v>0</v>
      </c>
      <c r="AQ179" s="1418">
        <f t="shared" si="55"/>
        <v>3.7727999952039681E-3</v>
      </c>
    </row>
    <row r="180" spans="1:43" s="1410" customFormat="1" ht="15.75">
      <c r="A180" s="2102"/>
      <c r="B180" s="1268" t="s">
        <v>2346</v>
      </c>
      <c r="C180" s="1241" t="s">
        <v>2972</v>
      </c>
      <c r="D180" s="1245" t="s">
        <v>37</v>
      </c>
      <c r="E180" s="1413">
        <v>1022.88</v>
      </c>
      <c r="F180" s="1555">
        <v>57.79</v>
      </c>
      <c r="G180" s="1480">
        <v>59.89</v>
      </c>
      <c r="H180" s="1414">
        <v>61.03</v>
      </c>
      <c r="I180" s="1477">
        <f t="shared" si="49"/>
        <v>59112.24</v>
      </c>
      <c r="J180" s="1477">
        <f t="shared" si="50"/>
        <v>61260.28</v>
      </c>
      <c r="K180" s="1477">
        <v>334.81199999999995</v>
      </c>
      <c r="L180" s="1477">
        <f t="shared" si="56"/>
        <v>334.80999999999995</v>
      </c>
      <c r="M180" s="1477">
        <v>688.06799999999998</v>
      </c>
      <c r="N180" s="1477">
        <f t="shared" si="57"/>
        <v>688.07</v>
      </c>
      <c r="O180" s="1477">
        <f t="shared" si="58"/>
        <v>20051.77</v>
      </c>
      <c r="P180" s="1477">
        <f t="shared" si="59"/>
        <v>41208.51</v>
      </c>
      <c r="Q180" s="1477">
        <f t="shared" si="60"/>
        <v>41992.91</v>
      </c>
      <c r="R180" s="1576">
        <f t="shared" si="61"/>
        <v>62044.680000000008</v>
      </c>
      <c r="S180" s="1869">
        <v>1022.88</v>
      </c>
      <c r="T180" s="1866">
        <v>62044.680720000004</v>
      </c>
      <c r="U180" s="2442"/>
      <c r="V180" s="1866">
        <f t="shared" si="63"/>
        <v>0</v>
      </c>
      <c r="W180" s="1869">
        <f>S180+U180</f>
        <v>1022.88</v>
      </c>
      <c r="X180" s="1870">
        <f t="shared" si="64"/>
        <v>62044.680720000004</v>
      </c>
      <c r="Y180" s="1871">
        <f t="shared" si="65"/>
        <v>1.0000000116045404</v>
      </c>
      <c r="Z180" s="1694">
        <f>+E180-W180</f>
        <v>0</v>
      </c>
      <c r="AA180" s="1872">
        <f t="shared" si="66"/>
        <v>0</v>
      </c>
      <c r="AB180" s="1873">
        <f t="shared" si="67"/>
        <v>0</v>
      </c>
      <c r="AC180" s="1418">
        <f t="shared" si="51"/>
        <v>-7.1999999636318535E-4</v>
      </c>
      <c r="AD180" s="1418">
        <f t="shared" si="52"/>
        <v>0</v>
      </c>
      <c r="AE180" s="1418">
        <v>62044.680720000004</v>
      </c>
      <c r="AF180" s="1418">
        <f t="shared" si="53"/>
        <v>7.1999999636318535E-4</v>
      </c>
      <c r="AG180" s="1418">
        <v>61.03</v>
      </c>
      <c r="AH180" s="1418">
        <f t="shared" si="54"/>
        <v>0</v>
      </c>
      <c r="AI180" s="1428"/>
      <c r="AO180" s="2504">
        <v>62044.680720000004</v>
      </c>
      <c r="AP180" s="1418">
        <f t="shared" si="62"/>
        <v>0</v>
      </c>
      <c r="AQ180" s="1418">
        <f t="shared" si="55"/>
        <v>7.1999999636318535E-4</v>
      </c>
    </row>
    <row r="181" spans="1:43" s="1410" customFormat="1" ht="15.75">
      <c r="A181" s="2102"/>
      <c r="B181" s="1268" t="s">
        <v>2347</v>
      </c>
      <c r="C181" s="1241" t="s">
        <v>2973</v>
      </c>
      <c r="D181" s="1245" t="s">
        <v>48</v>
      </c>
      <c r="E181" s="1413">
        <v>12374.66</v>
      </c>
      <c r="F181" s="1555">
        <v>4.9400000000000004</v>
      </c>
      <c r="G181" s="1480">
        <v>5.05</v>
      </c>
      <c r="H181" s="1414">
        <v>5.1100000000000003</v>
      </c>
      <c r="I181" s="1477">
        <f t="shared" si="49"/>
        <v>61130.82</v>
      </c>
      <c r="J181" s="1477">
        <f t="shared" si="50"/>
        <v>62492.03</v>
      </c>
      <c r="K181" s="1477">
        <v>4529.8517499999998</v>
      </c>
      <c r="L181" s="1477">
        <f t="shared" si="56"/>
        <v>4529.8499999999995</v>
      </c>
      <c r="M181" s="1477">
        <v>7844.80825</v>
      </c>
      <c r="N181" s="1477">
        <f t="shared" si="57"/>
        <v>7844.81</v>
      </c>
      <c r="O181" s="1477">
        <f t="shared" si="58"/>
        <v>22875.74</v>
      </c>
      <c r="P181" s="1477">
        <f t="shared" si="59"/>
        <v>39616.29</v>
      </c>
      <c r="Q181" s="1477">
        <f t="shared" si="60"/>
        <v>40086.980000000003</v>
      </c>
      <c r="R181" s="1576">
        <f t="shared" si="61"/>
        <v>62962.720000000001</v>
      </c>
      <c r="S181" s="1869">
        <v>12374.66</v>
      </c>
      <c r="T181" s="1866">
        <v>62962.721495000005</v>
      </c>
      <c r="U181" s="2442"/>
      <c r="V181" s="1866">
        <f t="shared" si="63"/>
        <v>0</v>
      </c>
      <c r="W181" s="1869">
        <f>S181+U181</f>
        <v>12374.66</v>
      </c>
      <c r="X181" s="1870">
        <f t="shared" si="64"/>
        <v>62962.721495000005</v>
      </c>
      <c r="Y181" s="1871">
        <f t="shared" si="65"/>
        <v>1.0000000237442093</v>
      </c>
      <c r="Z181" s="1694">
        <f>+E181-W181</f>
        <v>0</v>
      </c>
      <c r="AA181" s="1872">
        <f t="shared" si="66"/>
        <v>0</v>
      </c>
      <c r="AB181" s="1873">
        <f t="shared" si="67"/>
        <v>0</v>
      </c>
      <c r="AC181" s="1418">
        <f t="shared" si="51"/>
        <v>-1.4950000040698797E-3</v>
      </c>
      <c r="AD181" s="1418">
        <f t="shared" si="52"/>
        <v>0</v>
      </c>
      <c r="AE181" s="1418">
        <v>62962.721495000005</v>
      </c>
      <c r="AF181" s="1418">
        <f t="shared" si="53"/>
        <v>1.4950000040698797E-3</v>
      </c>
      <c r="AG181" s="1418">
        <v>5.1100000000000003</v>
      </c>
      <c r="AH181" s="1418">
        <f t="shared" si="54"/>
        <v>0</v>
      </c>
      <c r="AI181" s="1428"/>
      <c r="AO181" s="2504">
        <v>62962.721495000005</v>
      </c>
      <c r="AP181" s="1418">
        <f t="shared" si="62"/>
        <v>0</v>
      </c>
      <c r="AQ181" s="1418">
        <f t="shared" si="55"/>
        <v>1.4950000040698797E-3</v>
      </c>
    </row>
    <row r="182" spans="1:43" s="1410" customFormat="1" ht="15.75">
      <c r="A182" s="2102"/>
      <c r="B182" s="1268" t="s">
        <v>2348</v>
      </c>
      <c r="C182" s="1241" t="s">
        <v>2974</v>
      </c>
      <c r="D182" s="1245" t="s">
        <v>36</v>
      </c>
      <c r="E182" s="1413">
        <v>8524</v>
      </c>
      <c r="F182" s="1555">
        <v>6.18</v>
      </c>
      <c r="G182" s="1480">
        <v>6.26</v>
      </c>
      <c r="H182" s="1414">
        <v>6.3</v>
      </c>
      <c r="I182" s="1477">
        <f t="shared" si="49"/>
        <v>52678.32</v>
      </c>
      <c r="J182" s="1477">
        <f t="shared" si="50"/>
        <v>53360.24</v>
      </c>
      <c r="K182" s="1477">
        <v>2788.58412</v>
      </c>
      <c r="L182" s="1477">
        <f t="shared" si="56"/>
        <v>2788.58</v>
      </c>
      <c r="M182" s="1477">
        <v>5735.4158800000005</v>
      </c>
      <c r="N182" s="1477">
        <f t="shared" si="57"/>
        <v>5735.42</v>
      </c>
      <c r="O182" s="1477">
        <f t="shared" si="58"/>
        <v>17456.509999999998</v>
      </c>
      <c r="P182" s="1477">
        <f t="shared" si="59"/>
        <v>35903.730000000003</v>
      </c>
      <c r="Q182" s="1477">
        <f t="shared" si="60"/>
        <v>36133.15</v>
      </c>
      <c r="R182" s="1576">
        <f t="shared" si="61"/>
        <v>53589.66</v>
      </c>
      <c r="S182" s="1869">
        <v>8524</v>
      </c>
      <c r="T182" s="1866">
        <v>53589.656635199994</v>
      </c>
      <c r="U182" s="2442"/>
      <c r="V182" s="1866">
        <f t="shared" si="63"/>
        <v>0</v>
      </c>
      <c r="W182" s="1869">
        <f>S182+U182</f>
        <v>8524</v>
      </c>
      <c r="X182" s="1870">
        <f t="shared" si="64"/>
        <v>53589.656635199994</v>
      </c>
      <c r="Y182" s="1871">
        <f t="shared" si="65"/>
        <v>0.99999993721176794</v>
      </c>
      <c r="Z182" s="1694">
        <f>+E182-W182</f>
        <v>0</v>
      </c>
      <c r="AA182" s="1872">
        <f t="shared" si="66"/>
        <v>0</v>
      </c>
      <c r="AB182" s="1873">
        <f t="shared" si="67"/>
        <v>0</v>
      </c>
      <c r="AC182" s="1418">
        <f t="shared" si="51"/>
        <v>3.3648000098764896E-3</v>
      </c>
      <c r="AD182" s="1418">
        <f t="shared" si="52"/>
        <v>0</v>
      </c>
      <c r="AE182" s="1418">
        <v>53589.656635199994</v>
      </c>
      <c r="AF182" s="1418">
        <f t="shared" si="53"/>
        <v>-3.3648000098764896E-3</v>
      </c>
      <c r="AG182" s="1418">
        <v>6.3</v>
      </c>
      <c r="AH182" s="1418">
        <f t="shared" si="54"/>
        <v>0</v>
      </c>
      <c r="AI182" s="1428"/>
      <c r="AO182" s="2504">
        <v>53589.656635199994</v>
      </c>
      <c r="AP182" s="1418">
        <f t="shared" si="62"/>
        <v>0</v>
      </c>
      <c r="AQ182" s="1418">
        <f t="shared" si="55"/>
        <v>-3.3648000098764896E-3</v>
      </c>
    </row>
    <row r="183" spans="1:43" s="1410" customFormat="1" ht="15.75">
      <c r="A183" s="2102"/>
      <c r="B183" s="1272" t="s">
        <v>2349</v>
      </c>
      <c r="C183" s="1262" t="s">
        <v>2978</v>
      </c>
      <c r="D183" s="1273"/>
      <c r="E183" s="1415"/>
      <c r="F183" s="1267"/>
      <c r="G183" s="1480"/>
      <c r="H183" s="1416"/>
      <c r="I183" s="1477">
        <f t="shared" si="49"/>
        <v>0</v>
      </c>
      <c r="J183" s="1477">
        <f t="shared" si="50"/>
        <v>0</v>
      </c>
      <c r="K183" s="1477"/>
      <c r="L183" s="1477">
        <f t="shared" si="56"/>
        <v>0</v>
      </c>
      <c r="M183" s="1477"/>
      <c r="N183" s="1477">
        <f t="shared" si="57"/>
        <v>0</v>
      </c>
      <c r="O183" s="1477">
        <f t="shared" si="58"/>
        <v>0</v>
      </c>
      <c r="P183" s="1477">
        <f t="shared" si="59"/>
        <v>0</v>
      </c>
      <c r="Q183" s="1477">
        <f t="shared" si="60"/>
        <v>0</v>
      </c>
      <c r="R183" s="1576">
        <f t="shared" si="61"/>
        <v>0</v>
      </c>
      <c r="S183" s="1869"/>
      <c r="T183" s="1866"/>
      <c r="U183" s="2442"/>
      <c r="V183" s="1866">
        <f t="shared" si="63"/>
        <v>0</v>
      </c>
      <c r="W183" s="1869"/>
      <c r="X183" s="1870"/>
      <c r="Y183" s="1871" t="str">
        <f t="shared" si="65"/>
        <v/>
      </c>
      <c r="Z183" s="1694"/>
      <c r="AA183" s="1872">
        <f t="shared" si="66"/>
        <v>0</v>
      </c>
      <c r="AB183" s="1873" t="str">
        <f t="shared" si="67"/>
        <v/>
      </c>
      <c r="AC183" s="1418">
        <f t="shared" si="51"/>
        <v>0</v>
      </c>
      <c r="AD183" s="1418">
        <f t="shared" si="52"/>
        <v>0</v>
      </c>
      <c r="AE183" s="1418"/>
      <c r="AF183" s="1418">
        <f t="shared" si="53"/>
        <v>0</v>
      </c>
      <c r="AG183" s="1418"/>
      <c r="AH183" s="1418">
        <f t="shared" si="54"/>
        <v>0</v>
      </c>
      <c r="AI183" s="1428"/>
      <c r="AO183" s="2504"/>
      <c r="AP183" s="1418">
        <f t="shared" si="62"/>
        <v>0</v>
      </c>
      <c r="AQ183" s="1418">
        <f t="shared" si="55"/>
        <v>0</v>
      </c>
    </row>
    <row r="184" spans="1:43" s="1410" customFormat="1" ht="15.75">
      <c r="A184" s="2102"/>
      <c r="B184" s="1268" t="s">
        <v>2350</v>
      </c>
      <c r="C184" s="1241" t="s">
        <v>2979</v>
      </c>
      <c r="D184" s="1245" t="s">
        <v>40</v>
      </c>
      <c r="E184" s="1413">
        <v>31.11</v>
      </c>
      <c r="F184" s="1555">
        <v>440.81</v>
      </c>
      <c r="G184" s="1480">
        <v>442.22</v>
      </c>
      <c r="H184" s="1414">
        <v>442.98</v>
      </c>
      <c r="I184" s="1477">
        <f t="shared" si="49"/>
        <v>13713.6</v>
      </c>
      <c r="J184" s="1477">
        <f t="shared" si="50"/>
        <v>13757.46</v>
      </c>
      <c r="K184" s="1477">
        <v>5.7780399999999998</v>
      </c>
      <c r="L184" s="1477">
        <f t="shared" si="56"/>
        <v>5.7800000000000011</v>
      </c>
      <c r="M184" s="1477">
        <v>25.331959999999999</v>
      </c>
      <c r="N184" s="1477">
        <f t="shared" si="57"/>
        <v>25.33</v>
      </c>
      <c r="O184" s="1477">
        <f t="shared" si="58"/>
        <v>2556.0300000000002</v>
      </c>
      <c r="P184" s="1477">
        <f t="shared" si="59"/>
        <v>11201.43</v>
      </c>
      <c r="Q184" s="1477">
        <f t="shared" si="60"/>
        <v>11220.68</v>
      </c>
      <c r="R184" s="1576">
        <f t="shared" si="61"/>
        <v>13776.710000000001</v>
      </c>
      <c r="S184" s="1869">
        <v>31.11</v>
      </c>
      <c r="T184" s="1866">
        <v>13776.716489599999</v>
      </c>
      <c r="U184" s="2442"/>
      <c r="V184" s="1866">
        <f t="shared" si="63"/>
        <v>0</v>
      </c>
      <c r="W184" s="1869">
        <f>S184+U184</f>
        <v>31.11</v>
      </c>
      <c r="X184" s="1870">
        <f t="shared" si="64"/>
        <v>13776.716489599999</v>
      </c>
      <c r="Y184" s="1871">
        <f t="shared" si="65"/>
        <v>1.0000004710558617</v>
      </c>
      <c r="Z184" s="1694">
        <f>+E184-W184</f>
        <v>0</v>
      </c>
      <c r="AA184" s="1872">
        <f t="shared" si="66"/>
        <v>0</v>
      </c>
      <c r="AB184" s="1873">
        <f t="shared" si="67"/>
        <v>0</v>
      </c>
      <c r="AC184" s="1418">
        <f t="shared" si="51"/>
        <v>-6.4895999985310482E-3</v>
      </c>
      <c r="AD184" s="1418">
        <f t="shared" si="52"/>
        <v>0</v>
      </c>
      <c r="AE184" s="1418">
        <v>13776.716489599999</v>
      </c>
      <c r="AF184" s="1418">
        <f t="shared" si="53"/>
        <v>6.4895999985310482E-3</v>
      </c>
      <c r="AG184" s="1418">
        <v>442.98</v>
      </c>
      <c r="AH184" s="1418">
        <f t="shared" si="54"/>
        <v>0</v>
      </c>
      <c r="AI184" s="1428" t="s">
        <v>3666</v>
      </c>
      <c r="AO184" s="2504">
        <v>13776.716489599999</v>
      </c>
      <c r="AP184" s="1418">
        <f t="shared" si="62"/>
        <v>0</v>
      </c>
      <c r="AQ184" s="1418">
        <f t="shared" si="55"/>
        <v>6.4895999985310482E-3</v>
      </c>
    </row>
    <row r="185" spans="1:43" s="1410" customFormat="1" ht="15.75">
      <c r="A185" s="2102"/>
      <c r="B185" s="1268" t="s">
        <v>2351</v>
      </c>
      <c r="C185" s="1241" t="s">
        <v>2980</v>
      </c>
      <c r="D185" s="1245" t="s">
        <v>37</v>
      </c>
      <c r="E185" s="1413">
        <v>154.43</v>
      </c>
      <c r="F185" s="1555">
        <v>69.099999999999994</v>
      </c>
      <c r="G185" s="1480">
        <v>71.72</v>
      </c>
      <c r="H185" s="1414">
        <v>73.150000000000006</v>
      </c>
      <c r="I185" s="1477">
        <f t="shared" si="49"/>
        <v>10671.11</v>
      </c>
      <c r="J185" s="1477">
        <f t="shared" si="50"/>
        <v>11075.72</v>
      </c>
      <c r="K185" s="1477">
        <v>7.476</v>
      </c>
      <c r="L185" s="1477">
        <f t="shared" si="56"/>
        <v>7.4800000000000182</v>
      </c>
      <c r="M185" s="1477">
        <v>146.95400000000001</v>
      </c>
      <c r="N185" s="1477">
        <f t="shared" si="57"/>
        <v>146.94999999999999</v>
      </c>
      <c r="O185" s="1477">
        <f t="shared" si="58"/>
        <v>536.47</v>
      </c>
      <c r="P185" s="1477">
        <f t="shared" si="59"/>
        <v>10539.25</v>
      </c>
      <c r="Q185" s="1477">
        <f t="shared" si="60"/>
        <v>10749.39</v>
      </c>
      <c r="R185" s="1576">
        <f t="shared" si="61"/>
        <v>11285.859999999999</v>
      </c>
      <c r="S185" s="1869">
        <v>154.43</v>
      </c>
      <c r="T185" s="1866">
        <v>11285.86382</v>
      </c>
      <c r="U185" s="2442"/>
      <c r="V185" s="1866">
        <f t="shared" si="63"/>
        <v>0</v>
      </c>
      <c r="W185" s="1869">
        <f>S185+U185</f>
        <v>154.43</v>
      </c>
      <c r="X185" s="1870">
        <f t="shared" si="64"/>
        <v>11285.86382</v>
      </c>
      <c r="Y185" s="1871">
        <f t="shared" si="65"/>
        <v>1.0000003384766427</v>
      </c>
      <c r="Z185" s="1694">
        <f>+E185-W185</f>
        <v>0</v>
      </c>
      <c r="AA185" s="1872">
        <f t="shared" si="66"/>
        <v>0</v>
      </c>
      <c r="AB185" s="1873">
        <f t="shared" si="67"/>
        <v>0</v>
      </c>
      <c r="AC185" s="1418">
        <f t="shared" si="51"/>
        <v>-3.8200000017241109E-3</v>
      </c>
      <c r="AD185" s="1418">
        <f t="shared" si="52"/>
        <v>0</v>
      </c>
      <c r="AE185" s="1418">
        <v>11285.86382</v>
      </c>
      <c r="AF185" s="1418">
        <f t="shared" si="53"/>
        <v>3.8200000017241109E-3</v>
      </c>
      <c r="AG185" s="1418">
        <v>73.150000000000006</v>
      </c>
      <c r="AH185" s="1418">
        <f t="shared" si="54"/>
        <v>0</v>
      </c>
      <c r="AI185" s="1428" t="s">
        <v>3666</v>
      </c>
      <c r="AO185" s="2504">
        <v>11285.86382</v>
      </c>
      <c r="AP185" s="1418">
        <f t="shared" si="62"/>
        <v>0</v>
      </c>
      <c r="AQ185" s="1418">
        <f t="shared" si="55"/>
        <v>3.8200000017241109E-3</v>
      </c>
    </row>
    <row r="186" spans="1:43" s="1410" customFormat="1" ht="15.75">
      <c r="A186" s="2102"/>
      <c r="B186" s="1268" t="s">
        <v>2352</v>
      </c>
      <c r="C186" s="1241" t="s">
        <v>2981</v>
      </c>
      <c r="D186" s="1245" t="s">
        <v>48</v>
      </c>
      <c r="E186" s="1413">
        <v>3676.64</v>
      </c>
      <c r="F186" s="1555">
        <v>4.9400000000000004</v>
      </c>
      <c r="G186" s="1480">
        <v>5.05</v>
      </c>
      <c r="H186" s="1414">
        <v>5.1100000000000003</v>
      </c>
      <c r="I186" s="1477">
        <f t="shared" si="49"/>
        <v>18162.599999999999</v>
      </c>
      <c r="J186" s="1477">
        <f t="shared" si="50"/>
        <v>18567.03</v>
      </c>
      <c r="K186" s="1477">
        <v>254.84799999999998</v>
      </c>
      <c r="L186" s="1477">
        <f t="shared" si="56"/>
        <v>254.84999999999991</v>
      </c>
      <c r="M186" s="1477">
        <v>3421.7919999999999</v>
      </c>
      <c r="N186" s="1477">
        <f t="shared" si="57"/>
        <v>3421.79</v>
      </c>
      <c r="O186" s="1477">
        <f t="shared" si="58"/>
        <v>1286.99</v>
      </c>
      <c r="P186" s="1477">
        <f t="shared" si="59"/>
        <v>17280.04</v>
      </c>
      <c r="Q186" s="1477">
        <f t="shared" si="60"/>
        <v>17485.349999999999</v>
      </c>
      <c r="R186" s="1576">
        <f t="shared" si="61"/>
        <v>18772.34</v>
      </c>
      <c r="S186" s="1869">
        <v>3676.64</v>
      </c>
      <c r="T186" s="1866">
        <v>18772.339520000001</v>
      </c>
      <c r="U186" s="2442"/>
      <c r="V186" s="1866">
        <f t="shared" si="63"/>
        <v>0</v>
      </c>
      <c r="W186" s="1869">
        <f>S186+U186</f>
        <v>3676.64</v>
      </c>
      <c r="X186" s="1870">
        <f t="shared" si="64"/>
        <v>18772.339520000001</v>
      </c>
      <c r="Y186" s="1871">
        <f t="shared" si="65"/>
        <v>0.99999997443046529</v>
      </c>
      <c r="Z186" s="1694">
        <f>+E186-W186</f>
        <v>0</v>
      </c>
      <c r="AA186" s="1872">
        <f t="shared" si="66"/>
        <v>0</v>
      </c>
      <c r="AB186" s="1873">
        <f t="shared" si="67"/>
        <v>0</v>
      </c>
      <c r="AC186" s="1418">
        <f t="shared" si="51"/>
        <v>4.799999987881165E-4</v>
      </c>
      <c r="AD186" s="1418">
        <f t="shared" si="52"/>
        <v>0</v>
      </c>
      <c r="AE186" s="1418">
        <v>18772.339520000001</v>
      </c>
      <c r="AF186" s="1418">
        <f t="shared" si="53"/>
        <v>-4.799999987881165E-4</v>
      </c>
      <c r="AG186" s="1418">
        <v>5.1100000000000003</v>
      </c>
      <c r="AH186" s="1418">
        <f t="shared" si="54"/>
        <v>0</v>
      </c>
      <c r="AI186" s="1428" t="s">
        <v>3666</v>
      </c>
      <c r="AO186" s="2504">
        <v>18772.339520000001</v>
      </c>
      <c r="AP186" s="1418">
        <f t="shared" si="62"/>
        <v>0</v>
      </c>
      <c r="AQ186" s="1418">
        <f t="shared" si="55"/>
        <v>-4.799999987881165E-4</v>
      </c>
    </row>
    <row r="187" spans="1:43" s="1410" customFormat="1" ht="15.75">
      <c r="A187" s="2102"/>
      <c r="B187" s="1272" t="s">
        <v>2353</v>
      </c>
      <c r="C187" s="1262" t="s">
        <v>2982</v>
      </c>
      <c r="D187" s="1273"/>
      <c r="E187" s="1415"/>
      <c r="F187" s="1267"/>
      <c r="G187" s="1480"/>
      <c r="H187" s="1416"/>
      <c r="I187" s="1477">
        <f t="shared" si="49"/>
        <v>0</v>
      </c>
      <c r="J187" s="1477">
        <f t="shared" si="50"/>
        <v>0</v>
      </c>
      <c r="K187" s="1477"/>
      <c r="L187" s="1477">
        <f t="shared" si="56"/>
        <v>0</v>
      </c>
      <c r="M187" s="1477"/>
      <c r="N187" s="1477">
        <f t="shared" si="57"/>
        <v>0</v>
      </c>
      <c r="O187" s="1477">
        <f t="shared" si="58"/>
        <v>0</v>
      </c>
      <c r="P187" s="1477">
        <f t="shared" si="59"/>
        <v>0</v>
      </c>
      <c r="Q187" s="1477">
        <f t="shared" si="60"/>
        <v>0</v>
      </c>
      <c r="R187" s="1576">
        <f t="shared" si="61"/>
        <v>0</v>
      </c>
      <c r="S187" s="1869"/>
      <c r="T187" s="1866"/>
      <c r="U187" s="2442"/>
      <c r="V187" s="1866">
        <f t="shared" si="63"/>
        <v>0</v>
      </c>
      <c r="W187" s="1869"/>
      <c r="X187" s="1870"/>
      <c r="Y187" s="1871" t="str">
        <f t="shared" si="65"/>
        <v/>
      </c>
      <c r="Z187" s="1694"/>
      <c r="AA187" s="1872">
        <f t="shared" si="66"/>
        <v>0</v>
      </c>
      <c r="AB187" s="1873" t="str">
        <f t="shared" si="67"/>
        <v/>
      </c>
      <c r="AC187" s="1418">
        <f t="shared" si="51"/>
        <v>0</v>
      </c>
      <c r="AD187" s="1418">
        <f t="shared" si="52"/>
        <v>0</v>
      </c>
      <c r="AE187" s="1418"/>
      <c r="AF187" s="1418">
        <f t="shared" si="53"/>
        <v>0</v>
      </c>
      <c r="AG187" s="1418"/>
      <c r="AH187" s="1418">
        <f t="shared" si="54"/>
        <v>0</v>
      </c>
      <c r="AI187" s="1428"/>
      <c r="AO187" s="2504"/>
      <c r="AP187" s="1418">
        <f t="shared" si="62"/>
        <v>0</v>
      </c>
      <c r="AQ187" s="1418">
        <f t="shared" si="55"/>
        <v>0</v>
      </c>
    </row>
    <row r="188" spans="1:43" s="1410" customFormat="1" ht="15.75">
      <c r="A188" s="2102"/>
      <c r="B188" s="1268" t="s">
        <v>2354</v>
      </c>
      <c r="C188" s="1241" t="s">
        <v>2983</v>
      </c>
      <c r="D188" s="1245" t="s">
        <v>40</v>
      </c>
      <c r="E188" s="1413">
        <v>9.3800000000000008</v>
      </c>
      <c r="F188" s="1555">
        <v>447.17</v>
      </c>
      <c r="G188" s="1480">
        <v>449.17</v>
      </c>
      <c r="H188" s="1414">
        <v>450.19</v>
      </c>
      <c r="I188" s="1477">
        <f t="shared" si="49"/>
        <v>4194.45</v>
      </c>
      <c r="J188" s="1477">
        <f t="shared" si="50"/>
        <v>4213.21</v>
      </c>
      <c r="K188" s="1477">
        <v>0</v>
      </c>
      <c r="L188" s="1477">
        <f t="shared" si="56"/>
        <v>0</v>
      </c>
      <c r="M188" s="1477">
        <v>9.3800000000000008</v>
      </c>
      <c r="N188" s="1477">
        <f t="shared" si="57"/>
        <v>9.3800000000000008</v>
      </c>
      <c r="O188" s="1477">
        <f t="shared" si="58"/>
        <v>0</v>
      </c>
      <c r="P188" s="1477">
        <f t="shared" si="59"/>
        <v>4213.21</v>
      </c>
      <c r="Q188" s="1477">
        <f t="shared" si="60"/>
        <v>4222.78</v>
      </c>
      <c r="R188" s="1576">
        <f t="shared" si="61"/>
        <v>4222.78</v>
      </c>
      <c r="S188" s="1869">
        <v>4.37</v>
      </c>
      <c r="T188" s="1866">
        <v>1967.3303000000001</v>
      </c>
      <c r="U188" s="2442"/>
      <c r="V188" s="1866">
        <f t="shared" si="63"/>
        <v>0</v>
      </c>
      <c r="W188" s="1869">
        <f>S188+U188</f>
        <v>4.37</v>
      </c>
      <c r="X188" s="1870">
        <f t="shared" si="64"/>
        <v>1967.3303000000001</v>
      </c>
      <c r="Y188" s="1871">
        <f t="shared" si="65"/>
        <v>0.46588510412571815</v>
      </c>
      <c r="Z188" s="1694">
        <f>+E188-W188</f>
        <v>5.0100000000000007</v>
      </c>
      <c r="AA188" s="1872">
        <f t="shared" si="66"/>
        <v>2255.4519000000005</v>
      </c>
      <c r="AB188" s="1873">
        <f t="shared" si="67"/>
        <v>0.53411541685808894</v>
      </c>
      <c r="AC188" s="1418">
        <f t="shared" si="51"/>
        <v>-2.2000000008119969E-3</v>
      </c>
      <c r="AD188" s="1418">
        <f t="shared" si="52"/>
        <v>0</v>
      </c>
      <c r="AE188" s="1418">
        <v>4222.7822000000006</v>
      </c>
      <c r="AF188" s="1418">
        <f t="shared" si="53"/>
        <v>2.2000000008119969E-3</v>
      </c>
      <c r="AG188" s="1418">
        <v>450.19</v>
      </c>
      <c r="AH188" s="1418">
        <f t="shared" si="54"/>
        <v>0</v>
      </c>
      <c r="AI188" s="1428"/>
      <c r="AO188" s="2504">
        <v>1260.5319999999999</v>
      </c>
      <c r="AP188" s="1418">
        <f t="shared" si="62"/>
        <v>-706.79830000000015</v>
      </c>
      <c r="AQ188" s="1418">
        <f t="shared" si="55"/>
        <v>2.2000000008119969E-3</v>
      </c>
    </row>
    <row r="189" spans="1:43" s="1410" customFormat="1" ht="15.75">
      <c r="A189" s="2102"/>
      <c r="B189" s="1268" t="s">
        <v>2355</v>
      </c>
      <c r="C189" s="1241" t="s">
        <v>2984</v>
      </c>
      <c r="D189" s="1245" t="s">
        <v>37</v>
      </c>
      <c r="E189" s="1413">
        <v>50.26</v>
      </c>
      <c r="F189" s="1555">
        <v>100.2</v>
      </c>
      <c r="G189" s="1480">
        <v>105.46</v>
      </c>
      <c r="H189" s="1414">
        <v>108.33</v>
      </c>
      <c r="I189" s="1477">
        <f t="shared" si="49"/>
        <v>5036.05</v>
      </c>
      <c r="J189" s="1477">
        <f t="shared" si="50"/>
        <v>5300.42</v>
      </c>
      <c r="K189" s="1477">
        <v>0</v>
      </c>
      <c r="L189" s="1477">
        <f t="shared" si="56"/>
        <v>0</v>
      </c>
      <c r="M189" s="1477">
        <v>50.26</v>
      </c>
      <c r="N189" s="1477">
        <f t="shared" si="57"/>
        <v>50.26</v>
      </c>
      <c r="O189" s="1477">
        <f t="shared" si="58"/>
        <v>0</v>
      </c>
      <c r="P189" s="1477">
        <f t="shared" si="59"/>
        <v>5300.42</v>
      </c>
      <c r="Q189" s="1477">
        <f t="shared" si="60"/>
        <v>5444.67</v>
      </c>
      <c r="R189" s="1576">
        <f t="shared" si="61"/>
        <v>5444.67</v>
      </c>
      <c r="S189" s="1869">
        <v>14.73</v>
      </c>
      <c r="T189" s="1866">
        <v>1595.7009</v>
      </c>
      <c r="U189" s="2442"/>
      <c r="V189" s="1866">
        <f t="shared" si="63"/>
        <v>0</v>
      </c>
      <c r="W189" s="1869">
        <f>S189+U189</f>
        <v>14.73</v>
      </c>
      <c r="X189" s="1870">
        <f t="shared" si="64"/>
        <v>1595.7009</v>
      </c>
      <c r="Y189" s="1871">
        <f t="shared" si="65"/>
        <v>0.29307577869733153</v>
      </c>
      <c r="Z189" s="1694">
        <f>+E189-W189</f>
        <v>35.53</v>
      </c>
      <c r="AA189" s="1872">
        <f t="shared" si="66"/>
        <v>3848.9648999999999</v>
      </c>
      <c r="AB189" s="1873">
        <f t="shared" si="67"/>
        <v>0.70692344990605493</v>
      </c>
      <c r="AC189" s="1418">
        <f t="shared" si="51"/>
        <v>4.2000000003099558E-3</v>
      </c>
      <c r="AD189" s="1418">
        <f t="shared" si="52"/>
        <v>0</v>
      </c>
      <c r="AE189" s="1418">
        <v>5444.6657999999998</v>
      </c>
      <c r="AF189" s="1418">
        <f t="shared" si="53"/>
        <v>-4.2000000003099558E-3</v>
      </c>
      <c r="AG189" s="1418">
        <v>108.33</v>
      </c>
      <c r="AH189" s="1418">
        <f t="shared" si="54"/>
        <v>0</v>
      </c>
      <c r="AI189" s="1428"/>
      <c r="AO189" s="2504">
        <v>441.9864</v>
      </c>
      <c r="AP189" s="1418">
        <f t="shared" si="62"/>
        <v>-1153.7145</v>
      </c>
      <c r="AQ189" s="1418">
        <f t="shared" si="55"/>
        <v>-4.2000000003099558E-3</v>
      </c>
    </row>
    <row r="190" spans="1:43" s="1410" customFormat="1" ht="15.75">
      <c r="A190" s="2102"/>
      <c r="B190" s="1268" t="s">
        <v>2356</v>
      </c>
      <c r="C190" s="1241" t="s">
        <v>2985</v>
      </c>
      <c r="D190" s="1245" t="s">
        <v>48</v>
      </c>
      <c r="E190" s="1413">
        <v>359.77</v>
      </c>
      <c r="F190" s="1555">
        <v>4.9400000000000004</v>
      </c>
      <c r="G190" s="1480">
        <v>5.05</v>
      </c>
      <c r="H190" s="1414">
        <v>5.1100000000000003</v>
      </c>
      <c r="I190" s="1477">
        <f t="shared" si="49"/>
        <v>1777.26</v>
      </c>
      <c r="J190" s="1477">
        <f t="shared" si="50"/>
        <v>1816.84</v>
      </c>
      <c r="K190" s="1477">
        <v>0</v>
      </c>
      <c r="L190" s="1477">
        <f t="shared" si="56"/>
        <v>0</v>
      </c>
      <c r="M190" s="1477">
        <v>359.77</v>
      </c>
      <c r="N190" s="1477">
        <f t="shared" si="57"/>
        <v>359.77</v>
      </c>
      <c r="O190" s="1477">
        <f t="shared" si="58"/>
        <v>0</v>
      </c>
      <c r="P190" s="1477">
        <f t="shared" si="59"/>
        <v>1816.84</v>
      </c>
      <c r="Q190" s="1477">
        <f t="shared" si="60"/>
        <v>1838.42</v>
      </c>
      <c r="R190" s="1576">
        <f t="shared" si="61"/>
        <v>1838.42</v>
      </c>
      <c r="S190" s="1869">
        <v>213.23000000000002</v>
      </c>
      <c r="T190" s="1866">
        <v>1089.6053000000002</v>
      </c>
      <c r="U190" s="2442"/>
      <c r="V190" s="1866">
        <f t="shared" si="63"/>
        <v>0</v>
      </c>
      <c r="W190" s="1869">
        <f>S190+U190</f>
        <v>213.23000000000002</v>
      </c>
      <c r="X190" s="1870">
        <f t="shared" si="64"/>
        <v>1089.6053000000002</v>
      </c>
      <c r="Y190" s="1871">
        <f t="shared" si="65"/>
        <v>0.59268573013783576</v>
      </c>
      <c r="Z190" s="1694">
        <f>+E190-W190</f>
        <v>146.53999999999996</v>
      </c>
      <c r="AA190" s="1872">
        <f t="shared" si="66"/>
        <v>748.81939999999986</v>
      </c>
      <c r="AB190" s="1873">
        <f t="shared" si="67"/>
        <v>0.40731682640528272</v>
      </c>
      <c r="AC190" s="1418">
        <f t="shared" si="51"/>
        <v>-4.6999999999570719E-3</v>
      </c>
      <c r="AD190" s="1418">
        <f t="shared" si="52"/>
        <v>0</v>
      </c>
      <c r="AE190" s="1418">
        <v>1838.4247</v>
      </c>
      <c r="AF190" s="1418">
        <f t="shared" si="53"/>
        <v>4.6999999999570719E-3</v>
      </c>
      <c r="AG190" s="1418">
        <v>5.1100000000000003</v>
      </c>
      <c r="AH190" s="1418">
        <f t="shared" si="54"/>
        <v>0</v>
      </c>
      <c r="AI190" s="1428"/>
      <c r="AO190" s="2504">
        <v>552.4932</v>
      </c>
      <c r="AP190" s="1418">
        <f t="shared" si="62"/>
        <v>-537.11210000000017</v>
      </c>
      <c r="AQ190" s="1418">
        <f t="shared" si="55"/>
        <v>4.6999999999570719E-3</v>
      </c>
    </row>
    <row r="191" spans="1:43" s="1410" customFormat="1" ht="15.75">
      <c r="A191" s="2102" t="s">
        <v>3619</v>
      </c>
      <c r="B191" s="1272" t="s">
        <v>2357</v>
      </c>
      <c r="C191" s="1262" t="s">
        <v>2986</v>
      </c>
      <c r="D191" s="1273"/>
      <c r="E191" s="1415"/>
      <c r="F191" s="1267"/>
      <c r="G191" s="1480"/>
      <c r="H191" s="1416"/>
      <c r="I191" s="1477">
        <f t="shared" si="49"/>
        <v>0</v>
      </c>
      <c r="J191" s="1477">
        <f t="shared" si="50"/>
        <v>0</v>
      </c>
      <c r="K191" s="1477"/>
      <c r="L191" s="1477">
        <f t="shared" si="56"/>
        <v>0</v>
      </c>
      <c r="M191" s="1477"/>
      <c r="N191" s="1477">
        <f t="shared" si="57"/>
        <v>0</v>
      </c>
      <c r="O191" s="1477">
        <f t="shared" si="58"/>
        <v>0</v>
      </c>
      <c r="P191" s="1477">
        <f t="shared" si="59"/>
        <v>0</v>
      </c>
      <c r="Q191" s="1477">
        <f t="shared" si="60"/>
        <v>0</v>
      </c>
      <c r="R191" s="1576">
        <f t="shared" si="61"/>
        <v>0</v>
      </c>
      <c r="S191" s="1869"/>
      <c r="T191" s="1866"/>
      <c r="U191" s="2442"/>
      <c r="V191" s="1866">
        <f t="shared" si="63"/>
        <v>0</v>
      </c>
      <c r="W191" s="1869"/>
      <c r="X191" s="1870"/>
      <c r="Y191" s="1871" t="str">
        <f t="shared" si="65"/>
        <v/>
      </c>
      <c r="Z191" s="1694"/>
      <c r="AA191" s="1872">
        <f t="shared" si="66"/>
        <v>0</v>
      </c>
      <c r="AB191" s="1873" t="str">
        <f t="shared" si="67"/>
        <v/>
      </c>
      <c r="AC191" s="1418">
        <f t="shared" si="51"/>
        <v>0</v>
      </c>
      <c r="AD191" s="1418">
        <f t="shared" si="52"/>
        <v>0</v>
      </c>
      <c r="AE191" s="1418"/>
      <c r="AF191" s="1418">
        <f t="shared" si="53"/>
        <v>0</v>
      </c>
      <c r="AG191" s="1418"/>
      <c r="AH191" s="1418">
        <f t="shared" si="54"/>
        <v>0</v>
      </c>
      <c r="AI191" s="1428"/>
      <c r="AO191" s="2504"/>
      <c r="AP191" s="1418">
        <f t="shared" si="62"/>
        <v>0</v>
      </c>
      <c r="AQ191" s="1418">
        <f t="shared" si="55"/>
        <v>0</v>
      </c>
    </row>
    <row r="192" spans="1:43" s="1410" customFormat="1" ht="15.75">
      <c r="A192" s="2102" t="s">
        <v>3619</v>
      </c>
      <c r="B192" s="1268" t="s">
        <v>2358</v>
      </c>
      <c r="C192" s="1241" t="s">
        <v>2987</v>
      </c>
      <c r="D192" s="1245" t="s">
        <v>40</v>
      </c>
      <c r="E192" s="1413">
        <v>82.49</v>
      </c>
      <c r="F192" s="1555">
        <v>541.74</v>
      </c>
      <c r="G192" s="1480">
        <v>563.97</v>
      </c>
      <c r="H192" s="1414">
        <v>575.34</v>
      </c>
      <c r="I192" s="1477">
        <f t="shared" si="49"/>
        <v>44688.13</v>
      </c>
      <c r="J192" s="1477">
        <f t="shared" si="50"/>
        <v>46521.89</v>
      </c>
      <c r="K192" s="1477">
        <v>17.870625</v>
      </c>
      <c r="L192" s="1477">
        <f t="shared" si="56"/>
        <v>17.86999999999999</v>
      </c>
      <c r="M192" s="1477">
        <v>64.619374999999991</v>
      </c>
      <c r="N192" s="1477">
        <f t="shared" si="57"/>
        <v>64.62</v>
      </c>
      <c r="O192" s="1477">
        <f t="shared" si="58"/>
        <v>10078.14</v>
      </c>
      <c r="P192" s="1477">
        <f t="shared" si="59"/>
        <v>36443.74</v>
      </c>
      <c r="Q192" s="1477">
        <f t="shared" si="60"/>
        <v>37178.47</v>
      </c>
      <c r="R192" s="1576">
        <f t="shared" si="61"/>
        <v>47256.61</v>
      </c>
      <c r="S192" s="1869">
        <v>82.49</v>
      </c>
      <c r="T192" s="1866">
        <v>47256.607593749999</v>
      </c>
      <c r="U192" s="2442"/>
      <c r="V192" s="1866">
        <f t="shared" si="63"/>
        <v>0</v>
      </c>
      <c r="W192" s="1869">
        <f>S192+U192</f>
        <v>82.49</v>
      </c>
      <c r="X192" s="1870">
        <f t="shared" si="64"/>
        <v>47256.607593749999</v>
      </c>
      <c r="Y192" s="1871">
        <f t="shared" si="65"/>
        <v>0.99999994908119727</v>
      </c>
      <c r="Z192" s="1694">
        <f>+E192-W192</f>
        <v>0</v>
      </c>
      <c r="AA192" s="1872">
        <f t="shared" si="66"/>
        <v>0</v>
      </c>
      <c r="AB192" s="1873">
        <f t="shared" si="67"/>
        <v>0</v>
      </c>
      <c r="AC192" s="2092">
        <f t="shared" si="51"/>
        <v>2.4062500015133992E-3</v>
      </c>
      <c r="AD192" s="2092">
        <f t="shared" si="52"/>
        <v>0</v>
      </c>
      <c r="AE192" s="1418">
        <v>47256.607593749999</v>
      </c>
      <c r="AF192" s="1418">
        <f t="shared" si="53"/>
        <v>-2.4062500015133992E-3</v>
      </c>
      <c r="AG192" s="1418">
        <v>575.34</v>
      </c>
      <c r="AH192" s="1418">
        <f t="shared" si="54"/>
        <v>0</v>
      </c>
      <c r="AI192" s="1428"/>
      <c r="AO192" s="2504">
        <v>47256.607593749999</v>
      </c>
      <c r="AP192" s="1418">
        <f t="shared" si="62"/>
        <v>0</v>
      </c>
      <c r="AQ192" s="1418">
        <f t="shared" si="55"/>
        <v>-2.4062500015133992E-3</v>
      </c>
    </row>
    <row r="193" spans="1:43" s="1410" customFormat="1" ht="15.75">
      <c r="A193" s="2102" t="s">
        <v>3619</v>
      </c>
      <c r="B193" s="1268" t="s">
        <v>2359</v>
      </c>
      <c r="C193" s="1241" t="s">
        <v>2988</v>
      </c>
      <c r="D193" s="1245" t="s">
        <v>37</v>
      </c>
      <c r="E193" s="1413">
        <v>1542.07</v>
      </c>
      <c r="F193" s="1555">
        <v>71.88</v>
      </c>
      <c r="G193" s="1480">
        <v>75.03</v>
      </c>
      <c r="H193" s="1414">
        <v>76.75</v>
      </c>
      <c r="I193" s="1477">
        <f t="shared" si="49"/>
        <v>110843.99</v>
      </c>
      <c r="J193" s="1477">
        <f t="shared" si="50"/>
        <v>115701.51</v>
      </c>
      <c r="K193" s="1477">
        <v>198.5</v>
      </c>
      <c r="L193" s="1477">
        <f t="shared" si="56"/>
        <v>198.5</v>
      </c>
      <c r="M193" s="1477">
        <v>1343.57</v>
      </c>
      <c r="N193" s="1477">
        <f t="shared" si="57"/>
        <v>1343.57</v>
      </c>
      <c r="O193" s="1477">
        <f t="shared" si="58"/>
        <v>14893.46</v>
      </c>
      <c r="P193" s="1477">
        <f t="shared" si="59"/>
        <v>100808.06</v>
      </c>
      <c r="Q193" s="1477">
        <f t="shared" si="60"/>
        <v>103119</v>
      </c>
      <c r="R193" s="1576">
        <f t="shared" si="61"/>
        <v>118012.45999999999</v>
      </c>
      <c r="S193" s="1869">
        <v>1542.07</v>
      </c>
      <c r="T193" s="1866">
        <v>118012.45250000001</v>
      </c>
      <c r="U193" s="2442"/>
      <c r="V193" s="1866">
        <f t="shared" si="63"/>
        <v>0</v>
      </c>
      <c r="W193" s="1869">
        <f>S193+U193</f>
        <v>1542.07</v>
      </c>
      <c r="X193" s="1870">
        <f t="shared" si="64"/>
        <v>118012.45250000001</v>
      </c>
      <c r="Y193" s="1871">
        <f t="shared" si="65"/>
        <v>0.99999993644738883</v>
      </c>
      <c r="Z193" s="1694">
        <f>+E193-W193</f>
        <v>0</v>
      </c>
      <c r="AA193" s="1872">
        <f t="shared" si="66"/>
        <v>0</v>
      </c>
      <c r="AB193" s="1873">
        <f t="shared" si="67"/>
        <v>0</v>
      </c>
      <c r="AC193" s="2092">
        <f t="shared" si="51"/>
        <v>7.4999999778810889E-3</v>
      </c>
      <c r="AD193" s="2092">
        <f t="shared" si="52"/>
        <v>0</v>
      </c>
      <c r="AE193" s="1418">
        <v>118012.4525</v>
      </c>
      <c r="AF193" s="1418">
        <f t="shared" si="53"/>
        <v>-7.4999999924330041E-3</v>
      </c>
      <c r="AG193" s="1418">
        <v>76.75</v>
      </c>
      <c r="AH193" s="1418">
        <f t="shared" si="54"/>
        <v>0</v>
      </c>
      <c r="AI193" s="1428"/>
      <c r="AO193" s="2504">
        <v>118012.45250000001</v>
      </c>
      <c r="AP193" s="1418">
        <f t="shared" si="62"/>
        <v>0</v>
      </c>
      <c r="AQ193" s="1418">
        <f t="shared" si="55"/>
        <v>-7.4999999778810889E-3</v>
      </c>
    </row>
    <row r="194" spans="1:43" s="1410" customFormat="1" ht="15.75">
      <c r="A194" s="2102" t="s">
        <v>3619</v>
      </c>
      <c r="B194" s="1268" t="s">
        <v>2360</v>
      </c>
      <c r="C194" s="1241" t="s">
        <v>2989</v>
      </c>
      <c r="D194" s="1245" t="s">
        <v>48</v>
      </c>
      <c r="E194" s="1413">
        <v>8056.7</v>
      </c>
      <c r="F194" s="1555">
        <v>4.9400000000000004</v>
      </c>
      <c r="G194" s="1480">
        <v>5.05</v>
      </c>
      <c r="H194" s="1414">
        <v>5.1100000000000003</v>
      </c>
      <c r="I194" s="1477">
        <f t="shared" si="49"/>
        <v>39800.1</v>
      </c>
      <c r="J194" s="1477">
        <f t="shared" si="50"/>
        <v>40686.339999999997</v>
      </c>
      <c r="K194" s="1477">
        <v>4417.6779999999999</v>
      </c>
      <c r="L194" s="1477">
        <f t="shared" si="56"/>
        <v>4417.68</v>
      </c>
      <c r="M194" s="1477">
        <v>3639.0219999999999</v>
      </c>
      <c r="N194" s="1477">
        <f t="shared" si="57"/>
        <v>3639.02</v>
      </c>
      <c r="O194" s="1477">
        <f t="shared" si="58"/>
        <v>22309.279999999999</v>
      </c>
      <c r="P194" s="1477">
        <f t="shared" si="59"/>
        <v>18377.05</v>
      </c>
      <c r="Q194" s="1477">
        <f t="shared" si="60"/>
        <v>18595.39</v>
      </c>
      <c r="R194" s="1576">
        <f t="shared" si="61"/>
        <v>40904.67</v>
      </c>
      <c r="S194" s="1869">
        <v>8056.7</v>
      </c>
      <c r="T194" s="1866">
        <v>40904.676319999999</v>
      </c>
      <c r="U194" s="2442"/>
      <c r="V194" s="1866">
        <f t="shared" si="63"/>
        <v>0</v>
      </c>
      <c r="W194" s="1869">
        <f>S194+U194</f>
        <v>8056.7</v>
      </c>
      <c r="X194" s="1870">
        <f t="shared" si="64"/>
        <v>40904.676319999999</v>
      </c>
      <c r="Y194" s="1871">
        <f t="shared" si="65"/>
        <v>1.0000001545055859</v>
      </c>
      <c r="Z194" s="1694">
        <f>+E194-W194</f>
        <v>0</v>
      </c>
      <c r="AA194" s="1872">
        <f t="shared" si="66"/>
        <v>0</v>
      </c>
      <c r="AB194" s="1873">
        <f t="shared" si="67"/>
        <v>0</v>
      </c>
      <c r="AC194" s="1418">
        <f t="shared" si="51"/>
        <v>-6.3200000004144385E-3</v>
      </c>
      <c r="AD194" s="1418">
        <f t="shared" si="52"/>
        <v>0</v>
      </c>
      <c r="AE194" s="1418">
        <v>40904.676319999999</v>
      </c>
      <c r="AF194" s="1418">
        <f t="shared" si="53"/>
        <v>6.3200000004144385E-3</v>
      </c>
      <c r="AG194" s="1418">
        <v>5.1100000000000003</v>
      </c>
      <c r="AH194" s="1418">
        <f t="shared" si="54"/>
        <v>0</v>
      </c>
      <c r="AI194" s="1428" t="s">
        <v>3666</v>
      </c>
      <c r="AO194" s="2504">
        <v>40904.676319999999</v>
      </c>
      <c r="AP194" s="1418">
        <f t="shared" si="62"/>
        <v>0</v>
      </c>
      <c r="AQ194" s="1418">
        <f t="shared" si="55"/>
        <v>6.3200000004144385E-3</v>
      </c>
    </row>
    <row r="195" spans="1:43" s="1410" customFormat="1" ht="15.75">
      <c r="A195" s="2102" t="s">
        <v>3619</v>
      </c>
      <c r="B195" s="1272" t="s">
        <v>2361</v>
      </c>
      <c r="C195" s="1262" t="s">
        <v>2990</v>
      </c>
      <c r="D195" s="1273"/>
      <c r="E195" s="1415"/>
      <c r="F195" s="1267"/>
      <c r="G195" s="1480"/>
      <c r="H195" s="1416"/>
      <c r="I195" s="1477">
        <f t="shared" si="49"/>
        <v>0</v>
      </c>
      <c r="J195" s="1477">
        <f t="shared" si="50"/>
        <v>0</v>
      </c>
      <c r="K195" s="1477"/>
      <c r="L195" s="1477">
        <f t="shared" si="56"/>
        <v>0</v>
      </c>
      <c r="M195" s="1477"/>
      <c r="N195" s="1477">
        <f t="shared" si="57"/>
        <v>0</v>
      </c>
      <c r="O195" s="1477">
        <f t="shared" si="58"/>
        <v>0</v>
      </c>
      <c r="P195" s="1477">
        <f t="shared" si="59"/>
        <v>0</v>
      </c>
      <c r="Q195" s="1477">
        <f t="shared" si="60"/>
        <v>0</v>
      </c>
      <c r="R195" s="1576">
        <f t="shared" si="61"/>
        <v>0</v>
      </c>
      <c r="S195" s="1869"/>
      <c r="T195" s="1866"/>
      <c r="U195" s="2442"/>
      <c r="V195" s="1866">
        <f t="shared" si="63"/>
        <v>0</v>
      </c>
      <c r="W195" s="1869"/>
      <c r="X195" s="1870"/>
      <c r="Y195" s="1871" t="str">
        <f t="shared" si="65"/>
        <v/>
      </c>
      <c r="Z195" s="1694"/>
      <c r="AA195" s="1872">
        <f t="shared" si="66"/>
        <v>0</v>
      </c>
      <c r="AB195" s="1873" t="str">
        <f t="shared" si="67"/>
        <v/>
      </c>
      <c r="AC195" s="1418">
        <f t="shared" si="51"/>
        <v>0</v>
      </c>
      <c r="AD195" s="1418">
        <f t="shared" si="52"/>
        <v>0</v>
      </c>
      <c r="AE195" s="1418"/>
      <c r="AF195" s="1418">
        <f t="shared" si="53"/>
        <v>0</v>
      </c>
      <c r="AG195" s="1418"/>
      <c r="AH195" s="1418">
        <f t="shared" si="54"/>
        <v>0</v>
      </c>
      <c r="AI195" s="1428"/>
      <c r="AO195" s="2504"/>
      <c r="AP195" s="1418">
        <f t="shared" si="62"/>
        <v>0</v>
      </c>
      <c r="AQ195" s="1418">
        <f t="shared" si="55"/>
        <v>0</v>
      </c>
    </row>
    <row r="196" spans="1:43" s="1410" customFormat="1" ht="15.75">
      <c r="A196" s="2102"/>
      <c r="B196" s="1268" t="s">
        <v>2362</v>
      </c>
      <c r="C196" s="1241" t="s">
        <v>3665</v>
      </c>
      <c r="D196" s="1245" t="s">
        <v>40</v>
      </c>
      <c r="E196" s="1413">
        <v>12.18</v>
      </c>
      <c r="F196" s="1555">
        <v>400.27</v>
      </c>
      <c r="G196" s="1480">
        <v>411.38</v>
      </c>
      <c r="H196" s="1414">
        <v>417.07</v>
      </c>
      <c r="I196" s="1477">
        <f t="shared" si="49"/>
        <v>4875.29</v>
      </c>
      <c r="J196" s="1477">
        <f t="shared" si="50"/>
        <v>5010.6099999999997</v>
      </c>
      <c r="K196" s="1477">
        <v>12.18</v>
      </c>
      <c r="L196" s="1477">
        <f t="shared" si="56"/>
        <v>12.18</v>
      </c>
      <c r="M196" s="1477">
        <v>0</v>
      </c>
      <c r="N196" s="1477">
        <f t="shared" si="57"/>
        <v>0</v>
      </c>
      <c r="O196" s="1477">
        <f t="shared" si="58"/>
        <v>5010.6099999999997</v>
      </c>
      <c r="P196" s="1477">
        <f t="shared" si="59"/>
        <v>0</v>
      </c>
      <c r="Q196" s="1477">
        <f t="shared" si="60"/>
        <v>0</v>
      </c>
      <c r="R196" s="1576">
        <f t="shared" si="61"/>
        <v>5010.6099999999997</v>
      </c>
      <c r="S196" s="1869">
        <v>12.18</v>
      </c>
      <c r="T196" s="1866">
        <v>5010.6084000000001</v>
      </c>
      <c r="U196" s="2442"/>
      <c r="V196" s="1866">
        <f t="shared" si="63"/>
        <v>0</v>
      </c>
      <c r="W196" s="1869">
        <f>S196+U196</f>
        <v>12.18</v>
      </c>
      <c r="X196" s="1870">
        <f t="shared" si="64"/>
        <v>5010.6084000000001</v>
      </c>
      <c r="Y196" s="1871">
        <f t="shared" si="65"/>
        <v>0.99999968067760225</v>
      </c>
      <c r="Z196" s="1694">
        <f>+E196-W196</f>
        <v>0</v>
      </c>
      <c r="AA196" s="1872">
        <f t="shared" si="66"/>
        <v>0</v>
      </c>
      <c r="AB196" s="1873">
        <f t="shared" si="67"/>
        <v>0</v>
      </c>
      <c r="AC196" s="1418">
        <f t="shared" si="51"/>
        <v>1.5999999995983671E-3</v>
      </c>
      <c r="AD196" s="1418">
        <f t="shared" si="52"/>
        <v>0</v>
      </c>
      <c r="AE196" s="1418">
        <v>5010.6084000000001</v>
      </c>
      <c r="AF196" s="1418">
        <f t="shared" si="53"/>
        <v>-1.5999999995983671E-3</v>
      </c>
      <c r="AG196" s="1418">
        <v>411.38</v>
      </c>
      <c r="AH196" s="1418">
        <f t="shared" si="54"/>
        <v>-5.6899999999999977</v>
      </c>
      <c r="AI196" s="1428" t="s">
        <v>3666</v>
      </c>
      <c r="AO196" s="2504">
        <v>5010.6084000000001</v>
      </c>
      <c r="AP196" s="1418">
        <f t="shared" si="62"/>
        <v>0</v>
      </c>
      <c r="AQ196" s="1418">
        <f t="shared" si="55"/>
        <v>-1.5999999995983671E-3</v>
      </c>
    </row>
    <row r="197" spans="1:43" s="1410" customFormat="1" ht="13.5" customHeight="1">
      <c r="A197" s="2102" t="s">
        <v>3619</v>
      </c>
      <c r="B197" s="1268" t="s">
        <v>2363</v>
      </c>
      <c r="C197" s="1241" t="s">
        <v>2991</v>
      </c>
      <c r="D197" s="1245" t="s">
        <v>37</v>
      </c>
      <c r="E197" s="1413">
        <v>501.14</v>
      </c>
      <c r="F197" s="1555">
        <v>85.41</v>
      </c>
      <c r="G197" s="1480">
        <v>88.92</v>
      </c>
      <c r="H197" s="1414">
        <v>90.83</v>
      </c>
      <c r="I197" s="1477">
        <f t="shared" si="49"/>
        <v>42802.37</v>
      </c>
      <c r="J197" s="1477">
        <f t="shared" si="50"/>
        <v>44561.37</v>
      </c>
      <c r="K197" s="1477">
        <v>119.69</v>
      </c>
      <c r="L197" s="1477">
        <f t="shared" si="56"/>
        <v>119.69</v>
      </c>
      <c r="M197" s="1477">
        <v>381.45</v>
      </c>
      <c r="N197" s="1477">
        <f t="shared" si="57"/>
        <v>381.45</v>
      </c>
      <c r="O197" s="1477">
        <f t="shared" si="58"/>
        <v>10642.83</v>
      </c>
      <c r="P197" s="1477">
        <f t="shared" si="59"/>
        <v>33918.53</v>
      </c>
      <c r="Q197" s="1477">
        <f t="shared" si="60"/>
        <v>34647.1</v>
      </c>
      <c r="R197" s="1576">
        <f t="shared" si="61"/>
        <v>45289.93</v>
      </c>
      <c r="S197" s="1869">
        <v>501.14</v>
      </c>
      <c r="T197" s="1866">
        <v>45289.938300000002</v>
      </c>
      <c r="U197" s="2442"/>
      <c r="V197" s="1866">
        <f t="shared" si="63"/>
        <v>0</v>
      </c>
      <c r="W197" s="1869">
        <f>S197+U197</f>
        <v>501.14</v>
      </c>
      <c r="X197" s="1870">
        <f t="shared" si="64"/>
        <v>45289.938300000002</v>
      </c>
      <c r="Y197" s="1871">
        <f t="shared" si="65"/>
        <v>1.0000001832636969</v>
      </c>
      <c r="Z197" s="1694">
        <f>+E197-W197</f>
        <v>0</v>
      </c>
      <c r="AA197" s="1872">
        <f t="shared" si="66"/>
        <v>0</v>
      </c>
      <c r="AB197" s="1873">
        <f t="shared" si="67"/>
        <v>0</v>
      </c>
      <c r="AC197" s="2092">
        <f t="shared" si="51"/>
        <v>-8.3000000013271347E-3</v>
      </c>
      <c r="AD197" s="2092">
        <f t="shared" si="52"/>
        <v>0</v>
      </c>
      <c r="AE197" s="1418">
        <v>45289.938300000002</v>
      </c>
      <c r="AF197" s="1418">
        <f t="shared" si="53"/>
        <v>8.3000000013271347E-3</v>
      </c>
      <c r="AG197" s="1418">
        <v>90.83</v>
      </c>
      <c r="AH197" s="1418">
        <f t="shared" si="54"/>
        <v>0</v>
      </c>
      <c r="AI197" s="1428"/>
      <c r="AO197" s="2504">
        <v>45289.938300000002</v>
      </c>
      <c r="AP197" s="1418">
        <f t="shared" si="62"/>
        <v>0</v>
      </c>
      <c r="AQ197" s="1418">
        <f t="shared" si="55"/>
        <v>8.3000000013271347E-3</v>
      </c>
    </row>
    <row r="198" spans="1:43" s="1410" customFormat="1" ht="15.75">
      <c r="A198" s="2102" t="s">
        <v>3619</v>
      </c>
      <c r="B198" s="1268" t="s">
        <v>2364</v>
      </c>
      <c r="C198" s="1241" t="s">
        <v>2992</v>
      </c>
      <c r="D198" s="1245" t="s">
        <v>48</v>
      </c>
      <c r="E198" s="1413">
        <v>6351.77</v>
      </c>
      <c r="F198" s="1555">
        <v>4.9400000000000004</v>
      </c>
      <c r="G198" s="1480">
        <v>5.05</v>
      </c>
      <c r="H198" s="1414">
        <v>5.1100000000000003</v>
      </c>
      <c r="I198" s="1477">
        <f t="shared" si="49"/>
        <v>31377.74</v>
      </c>
      <c r="J198" s="1477">
        <f t="shared" si="50"/>
        <v>32076.44</v>
      </c>
      <c r="K198" s="1477">
        <v>3443.6756</v>
      </c>
      <c r="L198" s="1477">
        <f t="shared" si="56"/>
        <v>3443.6800000000003</v>
      </c>
      <c r="M198" s="1477">
        <v>2908.0944000000004</v>
      </c>
      <c r="N198" s="1477">
        <f t="shared" si="57"/>
        <v>2908.09</v>
      </c>
      <c r="O198" s="1477">
        <f t="shared" si="58"/>
        <v>17390.580000000002</v>
      </c>
      <c r="P198" s="1477">
        <f t="shared" si="59"/>
        <v>14685.85</v>
      </c>
      <c r="Q198" s="1477">
        <f t="shared" si="60"/>
        <v>14860.34</v>
      </c>
      <c r="R198" s="1576">
        <f t="shared" si="61"/>
        <v>32250.920000000002</v>
      </c>
      <c r="S198" s="1869">
        <v>6351.77</v>
      </c>
      <c r="T198" s="1866">
        <v>32250.924164</v>
      </c>
      <c r="U198" s="2442"/>
      <c r="V198" s="1866">
        <f t="shared" si="63"/>
        <v>0</v>
      </c>
      <c r="W198" s="1869">
        <f>S198+U198</f>
        <v>6351.77</v>
      </c>
      <c r="X198" s="1870">
        <f t="shared" si="64"/>
        <v>32250.924164</v>
      </c>
      <c r="Y198" s="1871">
        <f t="shared" si="65"/>
        <v>1.0000001291125957</v>
      </c>
      <c r="Z198" s="1694">
        <f>+E198-W198</f>
        <v>0</v>
      </c>
      <c r="AA198" s="1872">
        <f t="shared" si="66"/>
        <v>0</v>
      </c>
      <c r="AB198" s="1873">
        <f t="shared" si="67"/>
        <v>0</v>
      </c>
      <c r="AC198" s="1418">
        <f t="shared" si="51"/>
        <v>-4.1639999981271103E-3</v>
      </c>
      <c r="AD198" s="1418">
        <f t="shared" si="52"/>
        <v>0</v>
      </c>
      <c r="AE198" s="1418">
        <v>32250.924164000004</v>
      </c>
      <c r="AF198" s="1418">
        <f t="shared" si="53"/>
        <v>4.1640000017650891E-3</v>
      </c>
      <c r="AG198" s="1418">
        <v>5.1100000000000003</v>
      </c>
      <c r="AH198" s="1418">
        <f t="shared" si="54"/>
        <v>0</v>
      </c>
      <c r="AI198" s="1428"/>
      <c r="AO198" s="2504">
        <v>32250.924164</v>
      </c>
      <c r="AP198" s="1418">
        <f t="shared" si="62"/>
        <v>0</v>
      </c>
      <c r="AQ198" s="1418">
        <f t="shared" si="55"/>
        <v>4.1639999981271103E-3</v>
      </c>
    </row>
    <row r="199" spans="1:43" s="1410" customFormat="1" ht="15.75">
      <c r="A199" s="2102"/>
      <c r="B199" s="1272" t="s">
        <v>2365</v>
      </c>
      <c r="C199" s="1262" t="s">
        <v>2993</v>
      </c>
      <c r="D199" s="1273"/>
      <c r="E199" s="1415"/>
      <c r="F199" s="1267"/>
      <c r="G199" s="1480"/>
      <c r="H199" s="1416"/>
      <c r="I199" s="1477">
        <f t="shared" si="49"/>
        <v>0</v>
      </c>
      <c r="J199" s="1477">
        <f t="shared" si="50"/>
        <v>0</v>
      </c>
      <c r="K199" s="1477"/>
      <c r="L199" s="1477">
        <f t="shared" si="56"/>
        <v>0</v>
      </c>
      <c r="M199" s="1477"/>
      <c r="N199" s="1477">
        <f t="shared" si="57"/>
        <v>0</v>
      </c>
      <c r="O199" s="1477">
        <f t="shared" si="58"/>
        <v>0</v>
      </c>
      <c r="P199" s="1477">
        <f t="shared" si="59"/>
        <v>0</v>
      </c>
      <c r="Q199" s="1477">
        <f t="shared" si="60"/>
        <v>0</v>
      </c>
      <c r="R199" s="1576">
        <f t="shared" si="61"/>
        <v>0</v>
      </c>
      <c r="S199" s="1869"/>
      <c r="T199" s="1866"/>
      <c r="U199" s="2442"/>
      <c r="V199" s="1866">
        <f t="shared" si="63"/>
        <v>0</v>
      </c>
      <c r="W199" s="1869"/>
      <c r="X199" s="1870"/>
      <c r="Y199" s="1871" t="str">
        <f t="shared" si="65"/>
        <v/>
      </c>
      <c r="Z199" s="1694"/>
      <c r="AA199" s="1872">
        <f t="shared" si="66"/>
        <v>0</v>
      </c>
      <c r="AB199" s="1873" t="str">
        <f t="shared" si="67"/>
        <v/>
      </c>
      <c r="AC199" s="1418">
        <f t="shared" si="51"/>
        <v>0</v>
      </c>
      <c r="AD199" s="1418">
        <f t="shared" si="52"/>
        <v>0</v>
      </c>
      <c r="AE199" s="1418"/>
      <c r="AF199" s="1418">
        <f t="shared" si="53"/>
        <v>0</v>
      </c>
      <c r="AG199" s="1418"/>
      <c r="AH199" s="1418">
        <f t="shared" si="54"/>
        <v>0</v>
      </c>
      <c r="AI199" s="1428"/>
      <c r="AO199" s="2504"/>
      <c r="AP199" s="1418">
        <f t="shared" si="62"/>
        <v>0</v>
      </c>
      <c r="AQ199" s="1418">
        <f t="shared" si="55"/>
        <v>0</v>
      </c>
    </row>
    <row r="200" spans="1:43" s="1410" customFormat="1" ht="15.75">
      <c r="A200" s="2102"/>
      <c r="B200" s="1268" t="s">
        <v>2366</v>
      </c>
      <c r="C200" s="2131" t="s">
        <v>2994</v>
      </c>
      <c r="D200" s="1245" t="s">
        <v>40</v>
      </c>
      <c r="E200" s="1413">
        <v>97.05</v>
      </c>
      <c r="F200" s="1555">
        <v>434.77</v>
      </c>
      <c r="G200" s="1480">
        <v>435.75</v>
      </c>
      <c r="H200" s="1414">
        <v>436.26</v>
      </c>
      <c r="I200" s="1477">
        <f t="shared" si="49"/>
        <v>42194.43</v>
      </c>
      <c r="J200" s="1477">
        <f t="shared" si="50"/>
        <v>42289.54</v>
      </c>
      <c r="K200" s="1477">
        <v>0</v>
      </c>
      <c r="L200" s="1477">
        <f t="shared" si="56"/>
        <v>0</v>
      </c>
      <c r="M200" s="1477">
        <v>97.05</v>
      </c>
      <c r="N200" s="1477">
        <f t="shared" si="57"/>
        <v>97.05</v>
      </c>
      <c r="O200" s="1477">
        <f t="shared" si="58"/>
        <v>0</v>
      </c>
      <c r="P200" s="1477">
        <f t="shared" si="59"/>
        <v>42289.54</v>
      </c>
      <c r="Q200" s="1477">
        <f t="shared" si="60"/>
        <v>42339.03</v>
      </c>
      <c r="R200" s="1576">
        <f t="shared" si="61"/>
        <v>42339.03</v>
      </c>
      <c r="S200" s="1869">
        <v>66.780159999999995</v>
      </c>
      <c r="T200" s="1866">
        <v>29133.512601599996</v>
      </c>
      <c r="U200" s="2442">
        <v>30.269840000000002</v>
      </c>
      <c r="V200" s="1866">
        <f t="shared" si="63"/>
        <v>13205.5203984</v>
      </c>
      <c r="W200" s="1869">
        <f>S200+U200</f>
        <v>97.05</v>
      </c>
      <c r="X200" s="1870">
        <f t="shared" si="64"/>
        <v>42339.032999999996</v>
      </c>
      <c r="Y200" s="1871">
        <f t="shared" si="65"/>
        <v>1.0000000708566068</v>
      </c>
      <c r="Z200" s="1694">
        <f>+E200-W200</f>
        <v>0</v>
      </c>
      <c r="AA200" s="1872">
        <f t="shared" si="66"/>
        <v>0</v>
      </c>
      <c r="AB200" s="1873">
        <f t="shared" si="67"/>
        <v>0</v>
      </c>
      <c r="AC200" s="1418">
        <f t="shared" si="51"/>
        <v>-2.9999999969732016E-3</v>
      </c>
      <c r="AD200" s="1418">
        <f t="shared" si="52"/>
        <v>0</v>
      </c>
      <c r="AE200" s="1418">
        <v>42339.032999999996</v>
      </c>
      <c r="AF200" s="1418">
        <f t="shared" si="53"/>
        <v>2.9999999969732016E-3</v>
      </c>
      <c r="AG200" s="1418">
        <v>436.26</v>
      </c>
      <c r="AH200" s="1418">
        <f t="shared" si="54"/>
        <v>0</v>
      </c>
      <c r="AI200" s="1428"/>
      <c r="AO200" s="2504">
        <v>29133.512601599996</v>
      </c>
      <c r="AP200" s="1418">
        <f t="shared" si="62"/>
        <v>-13205.5203984</v>
      </c>
      <c r="AQ200" s="1418">
        <f t="shared" si="55"/>
        <v>2.9999999969732016E-3</v>
      </c>
    </row>
    <row r="201" spans="1:43" s="1410" customFormat="1" ht="15.75">
      <c r="A201" s="2102"/>
      <c r="B201" s="1268" t="s">
        <v>2367</v>
      </c>
      <c r="C201" s="2131" t="s">
        <v>2995</v>
      </c>
      <c r="D201" s="1245" t="s">
        <v>37</v>
      </c>
      <c r="E201" s="1413">
        <v>80.239999999999995</v>
      </c>
      <c r="F201" s="1555">
        <v>59</v>
      </c>
      <c r="G201" s="1480">
        <v>61.62</v>
      </c>
      <c r="H201" s="1414">
        <v>63.05</v>
      </c>
      <c r="I201" s="1477">
        <f t="shared" si="49"/>
        <v>4734.16</v>
      </c>
      <c r="J201" s="1477">
        <f t="shared" si="50"/>
        <v>4944.3900000000003</v>
      </c>
      <c r="K201" s="1477">
        <v>0</v>
      </c>
      <c r="L201" s="1477">
        <f t="shared" si="56"/>
        <v>0</v>
      </c>
      <c r="M201" s="1477">
        <v>80.239999999999995</v>
      </c>
      <c r="N201" s="1477">
        <f t="shared" si="57"/>
        <v>80.239999999999995</v>
      </c>
      <c r="O201" s="1477">
        <f t="shared" si="58"/>
        <v>0</v>
      </c>
      <c r="P201" s="1477">
        <f t="shared" si="59"/>
        <v>4944.3900000000003</v>
      </c>
      <c r="Q201" s="1477">
        <f t="shared" si="60"/>
        <v>5059.13</v>
      </c>
      <c r="R201" s="1576">
        <f t="shared" si="61"/>
        <v>5059.13</v>
      </c>
      <c r="S201" s="1869">
        <v>37.664000000000001</v>
      </c>
      <c r="T201" s="1866">
        <v>2374.7152000000001</v>
      </c>
      <c r="U201" s="2442">
        <v>9.1999999999999993</v>
      </c>
      <c r="V201" s="1866">
        <f t="shared" si="63"/>
        <v>580.05999999999995</v>
      </c>
      <c r="W201" s="1869">
        <f>S201+U201</f>
        <v>46.864000000000004</v>
      </c>
      <c r="X201" s="1870">
        <f t="shared" si="64"/>
        <v>2954.7752</v>
      </c>
      <c r="Y201" s="1871">
        <f t="shared" si="65"/>
        <v>0.5840480873193612</v>
      </c>
      <c r="Z201" s="1694">
        <f>+E201-W201</f>
        <v>33.375999999999991</v>
      </c>
      <c r="AA201" s="1872">
        <f t="shared" si="66"/>
        <v>2104.3567999999991</v>
      </c>
      <c r="AB201" s="1873">
        <f t="shared" si="67"/>
        <v>0.41595230800552646</v>
      </c>
      <c r="AC201" s="1418">
        <f t="shared" si="51"/>
        <v>-1.9999999990432116E-3</v>
      </c>
      <c r="AD201" s="1418">
        <f t="shared" si="52"/>
        <v>0</v>
      </c>
      <c r="AE201" s="1418">
        <v>5059.1319999999996</v>
      </c>
      <c r="AF201" s="1418">
        <f t="shared" si="53"/>
        <v>1.9999999994979589E-3</v>
      </c>
      <c r="AG201" s="1418">
        <v>63.05</v>
      </c>
      <c r="AH201" s="1418">
        <f t="shared" si="54"/>
        <v>0</v>
      </c>
      <c r="AI201" s="1428"/>
      <c r="AO201" s="2504">
        <v>2374.7152000000001</v>
      </c>
      <c r="AP201" s="1418">
        <f t="shared" si="62"/>
        <v>-580.05999999999995</v>
      </c>
      <c r="AQ201" s="1418">
        <f t="shared" si="55"/>
        <v>1.9999999994979589E-3</v>
      </c>
    </row>
    <row r="202" spans="1:43" s="1410" customFormat="1" ht="15.75">
      <c r="A202" s="2102"/>
      <c r="B202" s="1268" t="s">
        <v>2368</v>
      </c>
      <c r="C202" s="2131" t="s">
        <v>2996</v>
      </c>
      <c r="D202" s="1245" t="s">
        <v>48</v>
      </c>
      <c r="E202" s="1413">
        <v>4457.93</v>
      </c>
      <c r="F202" s="1555">
        <v>4.9400000000000004</v>
      </c>
      <c r="G202" s="1480">
        <v>5.05</v>
      </c>
      <c r="H202" s="1414">
        <v>5.1100000000000003</v>
      </c>
      <c r="I202" s="1477">
        <f t="shared" si="49"/>
        <v>22022.17</v>
      </c>
      <c r="J202" s="1477">
        <f t="shared" si="50"/>
        <v>22512.55</v>
      </c>
      <c r="K202" s="1477">
        <v>0</v>
      </c>
      <c r="L202" s="1477">
        <f t="shared" si="56"/>
        <v>0</v>
      </c>
      <c r="M202" s="1477">
        <v>4457.93</v>
      </c>
      <c r="N202" s="1477">
        <f t="shared" si="57"/>
        <v>4457.93</v>
      </c>
      <c r="O202" s="1477">
        <f t="shared" si="58"/>
        <v>0</v>
      </c>
      <c r="P202" s="1477">
        <f t="shared" si="59"/>
        <v>22512.55</v>
      </c>
      <c r="Q202" s="1477">
        <f t="shared" si="60"/>
        <v>22780.02</v>
      </c>
      <c r="R202" s="1576">
        <f t="shared" si="61"/>
        <v>22780.02</v>
      </c>
      <c r="S202" s="1869">
        <v>1357.7503999999999</v>
      </c>
      <c r="T202" s="1866">
        <v>6938.1045439999998</v>
      </c>
      <c r="U202" s="2442">
        <v>930.15</v>
      </c>
      <c r="V202" s="1866">
        <f t="shared" si="63"/>
        <v>4753.0664999999999</v>
      </c>
      <c r="W202" s="1869">
        <f>S202+U202</f>
        <v>2287.9004</v>
      </c>
      <c r="X202" s="1870">
        <f t="shared" si="64"/>
        <v>11691.171043999999</v>
      </c>
      <c r="Y202" s="1871">
        <f t="shared" si="65"/>
        <v>0.51322040296716154</v>
      </c>
      <c r="Z202" s="1694">
        <f>+E202-W202</f>
        <v>2170.0296000000003</v>
      </c>
      <c r="AA202" s="1872">
        <f t="shared" si="66"/>
        <v>11088.851256000002</v>
      </c>
      <c r="AB202" s="1873">
        <f t="shared" si="67"/>
        <v>0.48677969799850929</v>
      </c>
      <c r="AC202" s="1418">
        <f t="shared" si="51"/>
        <v>-2.3000000001047738E-3</v>
      </c>
      <c r="AD202" s="1418">
        <f t="shared" si="52"/>
        <v>0</v>
      </c>
      <c r="AE202" s="1418">
        <v>22780.022300000004</v>
      </c>
      <c r="AF202" s="1418">
        <f t="shared" si="53"/>
        <v>2.3000000037427526E-3</v>
      </c>
      <c r="AG202" s="1418">
        <v>5.1100000000000003</v>
      </c>
      <c r="AH202" s="1418">
        <f t="shared" si="54"/>
        <v>0</v>
      </c>
      <c r="AI202" s="1428"/>
      <c r="AO202" s="2504">
        <v>6938.1045439999998</v>
      </c>
      <c r="AP202" s="1418">
        <f t="shared" si="62"/>
        <v>-4753.066499999999</v>
      </c>
      <c r="AQ202" s="1418">
        <f t="shared" si="55"/>
        <v>2.3000000001047738E-3</v>
      </c>
    </row>
    <row r="203" spans="1:43" s="1410" customFormat="1" ht="15.75">
      <c r="A203" s="2102"/>
      <c r="B203" s="1272" t="s">
        <v>2369</v>
      </c>
      <c r="C203" s="1262" t="s">
        <v>2923</v>
      </c>
      <c r="D203" s="1273"/>
      <c r="E203" s="1415"/>
      <c r="F203" s="1267"/>
      <c r="G203" s="1480"/>
      <c r="H203" s="1416"/>
      <c r="I203" s="1477">
        <f t="shared" si="49"/>
        <v>0</v>
      </c>
      <c r="J203" s="1477">
        <f t="shared" si="50"/>
        <v>0</v>
      </c>
      <c r="K203" s="1477"/>
      <c r="L203" s="1477">
        <f t="shared" si="56"/>
        <v>0</v>
      </c>
      <c r="M203" s="1477"/>
      <c r="N203" s="1477">
        <f t="shared" si="57"/>
        <v>0</v>
      </c>
      <c r="O203" s="1477">
        <f t="shared" si="58"/>
        <v>0</v>
      </c>
      <c r="P203" s="1477">
        <f t="shared" si="59"/>
        <v>0</v>
      </c>
      <c r="Q203" s="1477">
        <f t="shared" si="60"/>
        <v>0</v>
      </c>
      <c r="R203" s="1576">
        <f t="shared" si="61"/>
        <v>0</v>
      </c>
      <c r="S203" s="1869"/>
      <c r="T203" s="1866"/>
      <c r="U203" s="2442"/>
      <c r="V203" s="1866">
        <f t="shared" si="63"/>
        <v>0</v>
      </c>
      <c r="W203" s="1869"/>
      <c r="X203" s="1870"/>
      <c r="Y203" s="1871" t="str">
        <f t="shared" si="65"/>
        <v/>
      </c>
      <c r="Z203" s="1694"/>
      <c r="AA203" s="1872">
        <f t="shared" si="66"/>
        <v>0</v>
      </c>
      <c r="AB203" s="1873" t="str">
        <f t="shared" si="67"/>
        <v/>
      </c>
      <c r="AC203" s="1418">
        <f t="shared" si="51"/>
        <v>0</v>
      </c>
      <c r="AD203" s="1418">
        <f t="shared" si="52"/>
        <v>0</v>
      </c>
      <c r="AE203" s="1418"/>
      <c r="AF203" s="1418">
        <f t="shared" si="53"/>
        <v>0</v>
      </c>
      <c r="AG203" s="1418"/>
      <c r="AH203" s="1418">
        <f t="shared" si="54"/>
        <v>0</v>
      </c>
      <c r="AI203" s="1428"/>
      <c r="AO203" s="2504"/>
      <c r="AP203" s="1418">
        <f t="shared" si="62"/>
        <v>0</v>
      </c>
      <c r="AQ203" s="1418">
        <f t="shared" si="55"/>
        <v>0</v>
      </c>
    </row>
    <row r="204" spans="1:43" s="1410" customFormat="1" ht="15.75">
      <c r="A204" s="2102"/>
      <c r="B204" s="1268" t="s">
        <v>2370</v>
      </c>
      <c r="C204" s="1241" t="s">
        <v>2997</v>
      </c>
      <c r="D204" s="1245" t="s">
        <v>40</v>
      </c>
      <c r="E204" s="1413">
        <v>31.44</v>
      </c>
      <c r="F204" s="1555">
        <v>400.27</v>
      </c>
      <c r="G204" s="1480">
        <v>411.38</v>
      </c>
      <c r="H204" s="1414">
        <v>417.07</v>
      </c>
      <c r="I204" s="1477">
        <f t="shared" si="49"/>
        <v>12584.49</v>
      </c>
      <c r="J204" s="1477">
        <f t="shared" si="50"/>
        <v>12933.79</v>
      </c>
      <c r="K204" s="1477">
        <v>0</v>
      </c>
      <c r="L204" s="1477">
        <f t="shared" si="56"/>
        <v>0</v>
      </c>
      <c r="M204" s="1477">
        <v>31.44</v>
      </c>
      <c r="N204" s="1477">
        <f t="shared" si="57"/>
        <v>31.44</v>
      </c>
      <c r="O204" s="1477">
        <f t="shared" si="58"/>
        <v>0</v>
      </c>
      <c r="P204" s="1477">
        <f t="shared" si="59"/>
        <v>12933.79</v>
      </c>
      <c r="Q204" s="1477">
        <f t="shared" si="60"/>
        <v>13112.68</v>
      </c>
      <c r="R204" s="1576">
        <f t="shared" si="61"/>
        <v>13112.68</v>
      </c>
      <c r="S204" s="1869">
        <v>27.96</v>
      </c>
      <c r="T204" s="1866">
        <v>11661.2772</v>
      </c>
      <c r="U204" s="2442"/>
      <c r="V204" s="1866">
        <f t="shared" si="63"/>
        <v>0</v>
      </c>
      <c r="W204" s="1869">
        <f>S204+U204</f>
        <v>27.96</v>
      </c>
      <c r="X204" s="1870">
        <f t="shared" si="64"/>
        <v>11661.2772</v>
      </c>
      <c r="Y204" s="1871">
        <f t="shared" si="65"/>
        <v>0.889313031355909</v>
      </c>
      <c r="Z204" s="1694">
        <f>+E204-W204</f>
        <v>3.4800000000000004</v>
      </c>
      <c r="AA204" s="1872">
        <f t="shared" si="66"/>
        <v>1451.4036000000001</v>
      </c>
      <c r="AB204" s="1873">
        <f t="shared" si="67"/>
        <v>0.11068702965373975</v>
      </c>
      <c r="AC204" s="1418">
        <f t="shared" si="51"/>
        <v>-8.0000000025393092E-4</v>
      </c>
      <c r="AD204" s="1418">
        <f t="shared" si="52"/>
        <v>0</v>
      </c>
      <c r="AE204" s="1418">
        <v>13112.6808</v>
      </c>
      <c r="AF204" s="1418">
        <f t="shared" si="53"/>
        <v>7.9999999979918357E-4</v>
      </c>
      <c r="AG204" s="1418">
        <v>417.07</v>
      </c>
      <c r="AH204" s="1418">
        <f t="shared" si="54"/>
        <v>0</v>
      </c>
      <c r="AI204" s="1428"/>
      <c r="AO204" s="2504">
        <v>11661.2772</v>
      </c>
      <c r="AP204" s="1418">
        <f t="shared" si="62"/>
        <v>0</v>
      </c>
      <c r="AQ204" s="1418">
        <f t="shared" si="55"/>
        <v>7.9999999979918357E-4</v>
      </c>
    </row>
    <row r="205" spans="1:43" s="1410" customFormat="1" ht="15.75">
      <c r="A205" s="2102"/>
      <c r="B205" s="1268" t="s">
        <v>2371</v>
      </c>
      <c r="C205" s="1241" t="s">
        <v>2925</v>
      </c>
      <c r="D205" s="1245" t="s">
        <v>37</v>
      </c>
      <c r="E205" s="1413">
        <v>163.08000000000001</v>
      </c>
      <c r="F205" s="1555">
        <v>53.42</v>
      </c>
      <c r="G205" s="1480">
        <v>55.52</v>
      </c>
      <c r="H205" s="1414">
        <v>56.66</v>
      </c>
      <c r="I205" s="1477">
        <f t="shared" si="49"/>
        <v>8711.73</v>
      </c>
      <c r="J205" s="1477">
        <f t="shared" si="50"/>
        <v>9054.2000000000007</v>
      </c>
      <c r="K205" s="1477">
        <v>0</v>
      </c>
      <c r="L205" s="1477">
        <f t="shared" si="56"/>
        <v>0</v>
      </c>
      <c r="M205" s="1477">
        <v>163.08000000000001</v>
      </c>
      <c r="N205" s="1477">
        <f t="shared" si="57"/>
        <v>163.08000000000001</v>
      </c>
      <c r="O205" s="1477">
        <f t="shared" si="58"/>
        <v>0</v>
      </c>
      <c r="P205" s="1477">
        <f t="shared" si="59"/>
        <v>9054.2000000000007</v>
      </c>
      <c r="Q205" s="1477">
        <f t="shared" si="60"/>
        <v>9240.11</v>
      </c>
      <c r="R205" s="1576">
        <f t="shared" si="61"/>
        <v>9240.11</v>
      </c>
      <c r="S205" s="1869">
        <v>163.08000000000001</v>
      </c>
      <c r="T205" s="1866">
        <v>9240.1128000000008</v>
      </c>
      <c r="U205" s="2442"/>
      <c r="V205" s="1866">
        <f t="shared" si="63"/>
        <v>0</v>
      </c>
      <c r="W205" s="1869">
        <f>S205+U205</f>
        <v>163.08000000000001</v>
      </c>
      <c r="X205" s="1870">
        <f t="shared" si="64"/>
        <v>9240.1128000000008</v>
      </c>
      <c r="Y205" s="1871">
        <f t="shared" si="65"/>
        <v>1.0000003030266955</v>
      </c>
      <c r="Z205" s="1694">
        <f>+E205-W205</f>
        <v>0</v>
      </c>
      <c r="AA205" s="1872">
        <f t="shared" si="66"/>
        <v>0</v>
      </c>
      <c r="AB205" s="1873">
        <f t="shared" si="67"/>
        <v>0</v>
      </c>
      <c r="AC205" s="1418">
        <f t="shared" si="51"/>
        <v>-2.8000000002066372E-3</v>
      </c>
      <c r="AD205" s="1418">
        <f t="shared" si="52"/>
        <v>0</v>
      </c>
      <c r="AE205" s="1418">
        <v>9240.1128000000008</v>
      </c>
      <c r="AF205" s="1418">
        <f t="shared" si="53"/>
        <v>2.8000000002066372E-3</v>
      </c>
      <c r="AG205" s="1418">
        <v>56.66</v>
      </c>
      <c r="AH205" s="1418">
        <f t="shared" si="54"/>
        <v>0</v>
      </c>
      <c r="AI205" s="1428"/>
      <c r="AO205" s="2504">
        <v>9240.1128000000008</v>
      </c>
      <c r="AP205" s="1418">
        <f t="shared" si="62"/>
        <v>0</v>
      </c>
      <c r="AQ205" s="1418">
        <f t="shared" si="55"/>
        <v>2.8000000002066372E-3</v>
      </c>
    </row>
    <row r="206" spans="1:43" s="1410" customFormat="1" ht="15.75">
      <c r="A206" s="2102"/>
      <c r="B206" s="1268" t="s">
        <v>2372</v>
      </c>
      <c r="C206" s="1241" t="s">
        <v>2998</v>
      </c>
      <c r="D206" s="1245" t="s">
        <v>48</v>
      </c>
      <c r="E206" s="1413">
        <v>740.09</v>
      </c>
      <c r="F206" s="1555">
        <v>4.9400000000000004</v>
      </c>
      <c r="G206" s="1480">
        <v>5.05</v>
      </c>
      <c r="H206" s="1414">
        <v>5.1100000000000003</v>
      </c>
      <c r="I206" s="1477">
        <f t="shared" si="49"/>
        <v>3656.04</v>
      </c>
      <c r="J206" s="1477">
        <f t="shared" si="50"/>
        <v>3737.45</v>
      </c>
      <c r="K206" s="1477">
        <v>0</v>
      </c>
      <c r="L206" s="1477">
        <f t="shared" si="56"/>
        <v>0</v>
      </c>
      <c r="M206" s="1477">
        <v>740.09</v>
      </c>
      <c r="N206" s="1477">
        <f t="shared" si="57"/>
        <v>740.09</v>
      </c>
      <c r="O206" s="1477">
        <f t="shared" si="58"/>
        <v>0</v>
      </c>
      <c r="P206" s="1477">
        <f t="shared" si="59"/>
        <v>3737.45</v>
      </c>
      <c r="Q206" s="1477">
        <f t="shared" si="60"/>
        <v>3781.86</v>
      </c>
      <c r="R206" s="1576">
        <f t="shared" si="61"/>
        <v>3781.86</v>
      </c>
      <c r="S206" s="1869">
        <v>740.09</v>
      </c>
      <c r="T206" s="1866">
        <v>3781.8599000000004</v>
      </c>
      <c r="U206" s="2442"/>
      <c r="V206" s="1866">
        <f t="shared" si="63"/>
        <v>0</v>
      </c>
      <c r="W206" s="1869">
        <f>S206+U206</f>
        <v>740.09</v>
      </c>
      <c r="X206" s="1870">
        <f t="shared" si="64"/>
        <v>3781.8599000000004</v>
      </c>
      <c r="Y206" s="1871">
        <f t="shared" si="65"/>
        <v>0.99999997355798476</v>
      </c>
      <c r="Z206" s="1694">
        <f>+E206-W206</f>
        <v>0</v>
      </c>
      <c r="AA206" s="1872">
        <f t="shared" si="66"/>
        <v>0</v>
      </c>
      <c r="AB206" s="1873">
        <f t="shared" si="67"/>
        <v>0</v>
      </c>
      <c r="AC206" s="1418">
        <f t="shared" si="51"/>
        <v>9.9999999747524271E-5</v>
      </c>
      <c r="AD206" s="1418">
        <f t="shared" si="52"/>
        <v>0</v>
      </c>
      <c r="AE206" s="1418">
        <v>3781.8599000000004</v>
      </c>
      <c r="AF206" s="1418">
        <f t="shared" si="53"/>
        <v>-9.9999999747524271E-5</v>
      </c>
      <c r="AG206" s="1418">
        <v>5.1100000000000003</v>
      </c>
      <c r="AH206" s="1418">
        <f t="shared" si="54"/>
        <v>0</v>
      </c>
      <c r="AI206" s="1428"/>
      <c r="AO206" s="2504">
        <v>3781.8599000000004</v>
      </c>
      <c r="AP206" s="1418">
        <f t="shared" si="62"/>
        <v>0</v>
      </c>
      <c r="AQ206" s="1418">
        <f t="shared" si="55"/>
        <v>-9.9999999747524271E-5</v>
      </c>
    </row>
    <row r="207" spans="1:43" s="1410" customFormat="1" ht="15.75">
      <c r="A207" s="2102"/>
      <c r="B207" s="1272" t="s">
        <v>2373</v>
      </c>
      <c r="C207" s="1262" t="s">
        <v>2999</v>
      </c>
      <c r="D207" s="1273"/>
      <c r="E207" s="1415"/>
      <c r="F207" s="1267"/>
      <c r="G207" s="1480"/>
      <c r="H207" s="1416"/>
      <c r="I207" s="1477">
        <f t="shared" si="49"/>
        <v>0</v>
      </c>
      <c r="J207" s="1477">
        <f t="shared" si="50"/>
        <v>0</v>
      </c>
      <c r="K207" s="1477"/>
      <c r="L207" s="1477">
        <f t="shared" si="56"/>
        <v>0</v>
      </c>
      <c r="M207" s="1477"/>
      <c r="N207" s="1477">
        <f t="shared" si="57"/>
        <v>0</v>
      </c>
      <c r="O207" s="1477">
        <f t="shared" si="58"/>
        <v>0</v>
      </c>
      <c r="P207" s="1477">
        <f t="shared" si="59"/>
        <v>0</v>
      </c>
      <c r="Q207" s="1477">
        <f t="shared" si="60"/>
        <v>0</v>
      </c>
      <c r="R207" s="1576">
        <f t="shared" si="61"/>
        <v>0</v>
      </c>
      <c r="S207" s="1869"/>
      <c r="T207" s="1866"/>
      <c r="U207" s="2442"/>
      <c r="V207" s="1866">
        <f t="shared" si="63"/>
        <v>0</v>
      </c>
      <c r="W207" s="1869"/>
      <c r="X207" s="1870"/>
      <c r="Y207" s="1871" t="str">
        <f t="shared" si="65"/>
        <v/>
      </c>
      <c r="Z207" s="1694"/>
      <c r="AA207" s="1872">
        <f t="shared" si="66"/>
        <v>0</v>
      </c>
      <c r="AB207" s="1873" t="str">
        <f t="shared" si="67"/>
        <v/>
      </c>
      <c r="AC207" s="1418">
        <f t="shared" si="51"/>
        <v>0</v>
      </c>
      <c r="AD207" s="1418">
        <f t="shared" si="52"/>
        <v>0</v>
      </c>
      <c r="AE207" s="1418"/>
      <c r="AF207" s="1418">
        <f t="shared" si="53"/>
        <v>0</v>
      </c>
      <c r="AG207" s="1418"/>
      <c r="AH207" s="1418">
        <f t="shared" si="54"/>
        <v>0</v>
      </c>
      <c r="AI207" s="1428"/>
      <c r="AO207" s="2504"/>
      <c r="AP207" s="1418">
        <f t="shared" si="62"/>
        <v>0</v>
      </c>
      <c r="AQ207" s="1418">
        <f t="shared" si="55"/>
        <v>0</v>
      </c>
    </row>
    <row r="208" spans="1:43" s="1231" customFormat="1" ht="15.75">
      <c r="A208" s="2103"/>
      <c r="B208" s="1543" t="s">
        <v>2374</v>
      </c>
      <c r="C208" s="1544" t="s">
        <v>3000</v>
      </c>
      <c r="D208" s="1545"/>
      <c r="E208" s="1266"/>
      <c r="F208" s="1267"/>
      <c r="G208" s="1480"/>
      <c r="H208" s="1267"/>
      <c r="I208" s="1477">
        <f t="shared" ref="I208:I271" si="68">ROUND(E208*F208,2)</f>
        <v>0</v>
      </c>
      <c r="J208" s="1477">
        <f t="shared" ref="J208:J271" si="69">ROUND(E208*G208,2)</f>
        <v>0</v>
      </c>
      <c r="K208" s="1477"/>
      <c r="L208" s="1477">
        <f t="shared" si="56"/>
        <v>0</v>
      </c>
      <c r="M208" s="1477"/>
      <c r="N208" s="1477">
        <f t="shared" si="57"/>
        <v>0</v>
      </c>
      <c r="O208" s="1477">
        <f t="shared" si="58"/>
        <v>0</v>
      </c>
      <c r="P208" s="1477">
        <f t="shared" si="59"/>
        <v>0</v>
      </c>
      <c r="Q208" s="1477">
        <f t="shared" si="60"/>
        <v>0</v>
      </c>
      <c r="R208" s="1576">
        <f t="shared" si="61"/>
        <v>0</v>
      </c>
      <c r="S208" s="2452"/>
      <c r="T208" s="1866"/>
      <c r="U208" s="2442"/>
      <c r="V208" s="1866">
        <f t="shared" si="63"/>
        <v>0</v>
      </c>
      <c r="W208" s="2452"/>
      <c r="X208" s="1870"/>
      <c r="Y208" s="1871" t="str">
        <f t="shared" si="65"/>
        <v/>
      </c>
      <c r="Z208" s="1694"/>
      <c r="AA208" s="1872">
        <f t="shared" si="66"/>
        <v>0</v>
      </c>
      <c r="AB208" s="1873" t="str">
        <f t="shared" si="67"/>
        <v/>
      </c>
      <c r="AC208" s="1418">
        <f t="shared" ref="AC208:AC271" si="70">+R208-X208-AA208</f>
        <v>0</v>
      </c>
      <c r="AD208" s="1418">
        <f t="shared" ref="AD208:AD271" si="71">+E208-W208-Z208</f>
        <v>0</v>
      </c>
      <c r="AE208" s="1230"/>
      <c r="AF208" s="1230">
        <f t="shared" ref="AF208:AF271" si="72">+AE208-R208</f>
        <v>0</v>
      </c>
      <c r="AG208" s="1230"/>
      <c r="AH208" s="1418">
        <f t="shared" ref="AH208:AH271" si="73">+AG208-H208</f>
        <v>0</v>
      </c>
      <c r="AI208" s="1346"/>
      <c r="AO208" s="1736"/>
      <c r="AP208" s="1418">
        <f t="shared" si="62"/>
        <v>0</v>
      </c>
      <c r="AQ208" s="1418">
        <f t="shared" ref="AQ208:AQ271" si="74">+T208+V208+AA208-R208</f>
        <v>0</v>
      </c>
    </row>
    <row r="209" spans="1:43" s="1410" customFormat="1" ht="15.75">
      <c r="A209" s="2102"/>
      <c r="B209" s="1268" t="s">
        <v>2375</v>
      </c>
      <c r="C209" s="1241" t="s">
        <v>3001</v>
      </c>
      <c r="D209" s="1245" t="s">
        <v>40</v>
      </c>
      <c r="E209" s="1413">
        <v>12.77</v>
      </c>
      <c r="F209" s="1555">
        <v>461.79</v>
      </c>
      <c r="G209" s="1480">
        <v>463.79</v>
      </c>
      <c r="H209" s="1414">
        <v>464.81</v>
      </c>
      <c r="I209" s="1477">
        <f t="shared" si="68"/>
        <v>5897.06</v>
      </c>
      <c r="J209" s="1477">
        <f t="shared" si="69"/>
        <v>5922.6</v>
      </c>
      <c r="K209" s="1477">
        <v>6.3480000000000008</v>
      </c>
      <c r="L209" s="1477">
        <f t="shared" ref="L209:L272" si="75">E209-N209</f>
        <v>6.35</v>
      </c>
      <c r="M209" s="1477">
        <v>6.4219999999999988</v>
      </c>
      <c r="N209" s="1477">
        <f t="shared" ref="N209:N272" si="76">ROUND(M209,2)</f>
        <v>6.42</v>
      </c>
      <c r="O209" s="1477">
        <f t="shared" ref="O209:O272" si="77">ROUND(L209*G209,2)</f>
        <v>2945.07</v>
      </c>
      <c r="P209" s="1477">
        <f t="shared" ref="P209:P272" si="78">ROUND(N209*G209,2)</f>
        <v>2977.53</v>
      </c>
      <c r="Q209" s="1477">
        <f t="shared" ref="Q209:Q272" si="79">ROUND(N209*H209,2)</f>
        <v>2984.08</v>
      </c>
      <c r="R209" s="1576">
        <f t="shared" ref="R209:R272" si="80">O209+Q209</f>
        <v>5929.15</v>
      </c>
      <c r="S209" s="1869">
        <v>12.768000000000001</v>
      </c>
      <c r="T209" s="1866">
        <v>5928.2191199999997</v>
      </c>
      <c r="U209" s="2442"/>
      <c r="V209" s="1866">
        <f t="shared" si="63"/>
        <v>0</v>
      </c>
      <c r="W209" s="1869">
        <f>S209+U209</f>
        <v>12.768000000000001</v>
      </c>
      <c r="X209" s="1870">
        <f t="shared" ref="X209:X272" si="81">+V209+T209</f>
        <v>5928.2191199999997</v>
      </c>
      <c r="Y209" s="1871">
        <f t="shared" si="65"/>
        <v>0.99984299941812904</v>
      </c>
      <c r="Z209" s="1694">
        <f>+E209-W209</f>
        <v>1.9999999999988916E-3</v>
      </c>
      <c r="AA209" s="1872">
        <f t="shared" si="66"/>
        <v>0.92961999999948475</v>
      </c>
      <c r="AB209" s="1873">
        <f t="shared" si="67"/>
        <v>1.5678807248922438E-4</v>
      </c>
      <c r="AC209" s="1418">
        <f t="shared" si="70"/>
        <v>1.2600000004034939E-3</v>
      </c>
      <c r="AD209" s="1418">
        <f t="shared" si="71"/>
        <v>0</v>
      </c>
      <c r="AE209" s="1418">
        <v>6571.3487399999995</v>
      </c>
      <c r="AF209" s="1418">
        <f t="shared" si="72"/>
        <v>642.19873999999982</v>
      </c>
      <c r="AG209" s="1418">
        <v>564.80999999999995</v>
      </c>
      <c r="AH209" s="1418">
        <f t="shared" si="73"/>
        <v>99.999999999999943</v>
      </c>
      <c r="AI209" s="1428"/>
      <c r="AO209" s="2504">
        <v>5928.2191199999997</v>
      </c>
      <c r="AP209" s="1418">
        <f t="shared" ref="AP209:AP272" si="82">+AO209-X209</f>
        <v>0</v>
      </c>
      <c r="AQ209" s="1418">
        <f t="shared" si="74"/>
        <v>-1.2600000000020373E-3</v>
      </c>
    </row>
    <row r="210" spans="1:43" s="1410" customFormat="1" ht="15.75">
      <c r="A210" s="2102"/>
      <c r="B210" s="1268" t="s">
        <v>2376</v>
      </c>
      <c r="C210" s="1241" t="s">
        <v>3002</v>
      </c>
      <c r="D210" s="1245" t="s">
        <v>37</v>
      </c>
      <c r="E210" s="1413">
        <v>51.06</v>
      </c>
      <c r="F210" s="1555">
        <v>69.099999999999994</v>
      </c>
      <c r="G210" s="1480">
        <v>71.72</v>
      </c>
      <c r="H210" s="1414">
        <v>73.150000000000006</v>
      </c>
      <c r="I210" s="1477">
        <f t="shared" si="68"/>
        <v>3528.25</v>
      </c>
      <c r="J210" s="1477">
        <f t="shared" si="69"/>
        <v>3662.02</v>
      </c>
      <c r="K210" s="1477">
        <v>25.392000000000003</v>
      </c>
      <c r="L210" s="1477">
        <f t="shared" si="75"/>
        <v>25.39</v>
      </c>
      <c r="M210" s="1477">
        <v>25.667999999999999</v>
      </c>
      <c r="N210" s="1477">
        <f t="shared" si="76"/>
        <v>25.67</v>
      </c>
      <c r="O210" s="1477">
        <f t="shared" si="77"/>
        <v>1820.97</v>
      </c>
      <c r="P210" s="1477">
        <f t="shared" si="78"/>
        <v>1841.05</v>
      </c>
      <c r="Q210" s="1477">
        <f t="shared" si="79"/>
        <v>1877.76</v>
      </c>
      <c r="R210" s="1576">
        <f t="shared" si="80"/>
        <v>3698.73</v>
      </c>
      <c r="S210" s="1869">
        <v>51.06</v>
      </c>
      <c r="T210" s="1866">
        <v>3698.7284399999999</v>
      </c>
      <c r="U210" s="2442"/>
      <c r="V210" s="1866">
        <f t="shared" ref="V210:V273" si="83">+U210*H210</f>
        <v>0</v>
      </c>
      <c r="W210" s="1869">
        <f>S210+U210</f>
        <v>51.06</v>
      </c>
      <c r="X210" s="1870">
        <f t="shared" si="81"/>
        <v>3698.7284399999999</v>
      </c>
      <c r="Y210" s="1871">
        <f t="shared" ref="Y210:Y273" si="84">+IF(D210=0,"",X210/R210)</f>
        <v>0.99999957823360985</v>
      </c>
      <c r="Z210" s="1694">
        <f>+E210-W210</f>
        <v>0</v>
      </c>
      <c r="AA210" s="1872">
        <f t="shared" ref="AA210:AA273" si="85">+Z210*H210</f>
        <v>0</v>
      </c>
      <c r="AB210" s="1873">
        <f t="shared" ref="AB210:AB273" si="86">+IF(R210=0,"",AA210/R210)</f>
        <v>0</v>
      </c>
      <c r="AC210" s="1418">
        <f t="shared" si="70"/>
        <v>1.5600000001541048E-3</v>
      </c>
      <c r="AD210" s="1418">
        <f t="shared" si="71"/>
        <v>0</v>
      </c>
      <c r="AE210" s="1418">
        <v>3698.7284399999999</v>
      </c>
      <c r="AF210" s="1418">
        <f t="shared" si="72"/>
        <v>-1.5600000001541048E-3</v>
      </c>
      <c r="AG210" s="1418">
        <v>73.150000000000006</v>
      </c>
      <c r="AH210" s="1418">
        <f t="shared" si="73"/>
        <v>0</v>
      </c>
      <c r="AI210" s="1428"/>
      <c r="AO210" s="2504">
        <v>3698.7284399999999</v>
      </c>
      <c r="AP210" s="1418">
        <f t="shared" si="82"/>
        <v>0</v>
      </c>
      <c r="AQ210" s="1418">
        <f t="shared" si="74"/>
        <v>-1.5600000001541048E-3</v>
      </c>
    </row>
    <row r="211" spans="1:43" s="1410" customFormat="1" ht="15.75">
      <c r="A211" s="2102"/>
      <c r="B211" s="1268" t="s">
        <v>2377</v>
      </c>
      <c r="C211" s="1241" t="s">
        <v>3003</v>
      </c>
      <c r="D211" s="1245" t="s">
        <v>48</v>
      </c>
      <c r="E211" s="1413">
        <v>620.26</v>
      </c>
      <c r="F211" s="1555">
        <v>4.9400000000000004</v>
      </c>
      <c r="G211" s="1480">
        <v>5.05</v>
      </c>
      <c r="H211" s="1414">
        <v>5.1100000000000003</v>
      </c>
      <c r="I211" s="1477">
        <f t="shared" si="68"/>
        <v>3064.08</v>
      </c>
      <c r="J211" s="1477">
        <f t="shared" si="69"/>
        <v>3132.31</v>
      </c>
      <c r="K211" s="1477">
        <v>620.26</v>
      </c>
      <c r="L211" s="1477">
        <f t="shared" si="75"/>
        <v>620.26</v>
      </c>
      <c r="M211" s="1477">
        <v>0</v>
      </c>
      <c r="N211" s="1477">
        <f t="shared" si="76"/>
        <v>0</v>
      </c>
      <c r="O211" s="1477">
        <f t="shared" si="77"/>
        <v>3132.31</v>
      </c>
      <c r="P211" s="1477">
        <f t="shared" si="78"/>
        <v>0</v>
      </c>
      <c r="Q211" s="1477">
        <f t="shared" si="79"/>
        <v>0</v>
      </c>
      <c r="R211" s="1576">
        <f t="shared" si="80"/>
        <v>3132.31</v>
      </c>
      <c r="S211" s="1869">
        <v>620.26</v>
      </c>
      <c r="T211" s="1866">
        <v>3132.3129999999996</v>
      </c>
      <c r="U211" s="2442"/>
      <c r="V211" s="1866">
        <f t="shared" si="83"/>
        <v>0</v>
      </c>
      <c r="W211" s="1869">
        <f>S211+U211</f>
        <v>620.26</v>
      </c>
      <c r="X211" s="1870">
        <f t="shared" si="81"/>
        <v>3132.3129999999996</v>
      </c>
      <c r="Y211" s="1871">
        <f t="shared" si="84"/>
        <v>1.0000009577596087</v>
      </c>
      <c r="Z211" s="1694">
        <f>+E211-W211</f>
        <v>0</v>
      </c>
      <c r="AA211" s="1872">
        <f t="shared" si="85"/>
        <v>0</v>
      </c>
      <c r="AB211" s="1873">
        <f t="shared" si="86"/>
        <v>0</v>
      </c>
      <c r="AC211" s="1418">
        <f t="shared" si="70"/>
        <v>-2.9999999997016857E-3</v>
      </c>
      <c r="AD211" s="1418">
        <f t="shared" si="71"/>
        <v>0</v>
      </c>
      <c r="AE211" s="1418">
        <v>3132.3129999999996</v>
      </c>
      <c r="AF211" s="1418">
        <f t="shared" si="72"/>
        <v>2.9999999997016857E-3</v>
      </c>
      <c r="AG211" s="1418">
        <v>5.05</v>
      </c>
      <c r="AH211" s="1418">
        <f t="shared" si="73"/>
        <v>-6.0000000000000497E-2</v>
      </c>
      <c r="AI211" s="1428"/>
      <c r="AO211" s="2504">
        <v>3132.3129999999996</v>
      </c>
      <c r="AP211" s="1418">
        <f t="shared" si="82"/>
        <v>0</v>
      </c>
      <c r="AQ211" s="1418">
        <f t="shared" si="74"/>
        <v>2.9999999997016857E-3</v>
      </c>
    </row>
    <row r="212" spans="1:43" s="1410" customFormat="1" ht="15.75">
      <c r="A212" s="2102"/>
      <c r="B212" s="1268" t="s">
        <v>2378</v>
      </c>
      <c r="C212" s="1241" t="s">
        <v>3004</v>
      </c>
      <c r="D212" s="1245" t="s">
        <v>38</v>
      </c>
      <c r="E212" s="1413">
        <v>36.4</v>
      </c>
      <c r="F212" s="1555">
        <v>12.22</v>
      </c>
      <c r="G212" s="1480">
        <v>12.47</v>
      </c>
      <c r="H212" s="1414">
        <v>12.6</v>
      </c>
      <c r="I212" s="1477">
        <f t="shared" si="68"/>
        <v>444.81</v>
      </c>
      <c r="J212" s="1477">
        <f t="shared" si="69"/>
        <v>453.91</v>
      </c>
      <c r="K212" s="1477">
        <v>15</v>
      </c>
      <c r="L212" s="1477">
        <f t="shared" si="75"/>
        <v>15</v>
      </c>
      <c r="M212" s="1477">
        <v>21.4</v>
      </c>
      <c r="N212" s="1477">
        <f t="shared" si="76"/>
        <v>21.4</v>
      </c>
      <c r="O212" s="1477">
        <f t="shared" si="77"/>
        <v>187.05</v>
      </c>
      <c r="P212" s="1477">
        <f t="shared" si="78"/>
        <v>266.86</v>
      </c>
      <c r="Q212" s="1477">
        <f t="shared" si="79"/>
        <v>269.64</v>
      </c>
      <c r="R212" s="1576">
        <f t="shared" si="80"/>
        <v>456.69</v>
      </c>
      <c r="S212" s="1869">
        <v>15</v>
      </c>
      <c r="T212" s="1866">
        <v>187.05</v>
      </c>
      <c r="U212" s="2442"/>
      <c r="V212" s="1866">
        <f t="shared" si="83"/>
        <v>0</v>
      </c>
      <c r="W212" s="1869">
        <f>S212+U212</f>
        <v>15</v>
      </c>
      <c r="X212" s="1870">
        <f t="shared" si="81"/>
        <v>187.05</v>
      </c>
      <c r="Y212" s="1871">
        <f t="shared" si="84"/>
        <v>0.4095776128227025</v>
      </c>
      <c r="Z212" s="1694">
        <f>+E212-W212</f>
        <v>21.4</v>
      </c>
      <c r="AA212" s="1872">
        <f t="shared" si="85"/>
        <v>269.64</v>
      </c>
      <c r="AB212" s="1873">
        <f t="shared" si="86"/>
        <v>0.59042238717729745</v>
      </c>
      <c r="AC212" s="1418">
        <f t="shared" si="70"/>
        <v>0</v>
      </c>
      <c r="AD212" s="1418">
        <f t="shared" si="71"/>
        <v>0</v>
      </c>
      <c r="AE212" s="1418">
        <v>456.69</v>
      </c>
      <c r="AF212" s="1418">
        <f t="shared" si="72"/>
        <v>0</v>
      </c>
      <c r="AG212" s="1418">
        <v>12.6</v>
      </c>
      <c r="AH212" s="1418">
        <f t="shared" si="73"/>
        <v>0</v>
      </c>
      <c r="AI212" s="1428"/>
      <c r="AO212" s="2504">
        <v>187.05</v>
      </c>
      <c r="AP212" s="1418">
        <f t="shared" si="82"/>
        <v>0</v>
      </c>
      <c r="AQ212" s="1418">
        <f t="shared" si="74"/>
        <v>0</v>
      </c>
    </row>
    <row r="213" spans="1:43" s="1231" customFormat="1" ht="15.75">
      <c r="A213" s="2103"/>
      <c r="B213" s="1543" t="s">
        <v>2379</v>
      </c>
      <c r="C213" s="1544" t="s">
        <v>3005</v>
      </c>
      <c r="D213" s="1545"/>
      <c r="E213" s="1266"/>
      <c r="F213" s="1267"/>
      <c r="G213" s="1480"/>
      <c r="H213" s="1267"/>
      <c r="I213" s="1477">
        <f t="shared" si="68"/>
        <v>0</v>
      </c>
      <c r="J213" s="1477">
        <f t="shared" si="69"/>
        <v>0</v>
      </c>
      <c r="K213" s="1477"/>
      <c r="L213" s="1477">
        <f t="shared" si="75"/>
        <v>0</v>
      </c>
      <c r="M213" s="1477"/>
      <c r="N213" s="1477">
        <f t="shared" si="76"/>
        <v>0</v>
      </c>
      <c r="O213" s="1477">
        <f t="shared" si="77"/>
        <v>0</v>
      </c>
      <c r="P213" s="1477">
        <f t="shared" si="78"/>
        <v>0</v>
      </c>
      <c r="Q213" s="1477">
        <f t="shared" si="79"/>
        <v>0</v>
      </c>
      <c r="R213" s="1576">
        <f t="shared" si="80"/>
        <v>0</v>
      </c>
      <c r="S213" s="2452"/>
      <c r="T213" s="1866"/>
      <c r="U213" s="2442"/>
      <c r="V213" s="1866">
        <f t="shared" si="83"/>
        <v>0</v>
      </c>
      <c r="W213" s="2452"/>
      <c r="X213" s="1870"/>
      <c r="Y213" s="1871" t="str">
        <f t="shared" si="84"/>
        <v/>
      </c>
      <c r="Z213" s="1694"/>
      <c r="AA213" s="1872">
        <f t="shared" si="85"/>
        <v>0</v>
      </c>
      <c r="AB213" s="1873" t="str">
        <f t="shared" si="86"/>
        <v/>
      </c>
      <c r="AC213" s="1418">
        <f t="shared" si="70"/>
        <v>0</v>
      </c>
      <c r="AD213" s="1418">
        <f t="shared" si="71"/>
        <v>0</v>
      </c>
      <c r="AE213" s="1230"/>
      <c r="AF213" s="1230">
        <f t="shared" si="72"/>
        <v>0</v>
      </c>
      <c r="AG213" s="1230"/>
      <c r="AH213" s="1418">
        <f t="shared" si="73"/>
        <v>0</v>
      </c>
      <c r="AI213" s="1346"/>
      <c r="AO213" s="1736"/>
      <c r="AP213" s="1418">
        <f t="shared" si="82"/>
        <v>0</v>
      </c>
      <c r="AQ213" s="1418">
        <f t="shared" si="74"/>
        <v>0</v>
      </c>
    </row>
    <row r="214" spans="1:43" s="1410" customFormat="1" ht="15.75">
      <c r="A214" s="2102"/>
      <c r="B214" s="1268" t="s">
        <v>2380</v>
      </c>
      <c r="C214" s="1241" t="s">
        <v>3006</v>
      </c>
      <c r="D214" s="1245" t="s">
        <v>40</v>
      </c>
      <c r="E214" s="1413">
        <v>23.32</v>
      </c>
      <c r="F214" s="1555">
        <v>461.79</v>
      </c>
      <c r="G214" s="1480">
        <v>463.79</v>
      </c>
      <c r="H214" s="1414">
        <v>464.81</v>
      </c>
      <c r="I214" s="1477">
        <f t="shared" si="68"/>
        <v>10768.94</v>
      </c>
      <c r="J214" s="1477">
        <f t="shared" si="69"/>
        <v>10815.58</v>
      </c>
      <c r="K214" s="1477">
        <v>7.3100000000000005</v>
      </c>
      <c r="L214" s="1477">
        <f t="shared" si="75"/>
        <v>7.3099999999999987</v>
      </c>
      <c r="M214" s="1477">
        <v>16.009999999999998</v>
      </c>
      <c r="N214" s="1477">
        <f t="shared" si="76"/>
        <v>16.010000000000002</v>
      </c>
      <c r="O214" s="1477">
        <f t="shared" si="77"/>
        <v>3390.3</v>
      </c>
      <c r="P214" s="1477">
        <f t="shared" si="78"/>
        <v>7425.28</v>
      </c>
      <c r="Q214" s="1477">
        <f t="shared" si="79"/>
        <v>7441.61</v>
      </c>
      <c r="R214" s="1576">
        <f t="shared" si="80"/>
        <v>10831.91</v>
      </c>
      <c r="S214" s="1869">
        <v>23.32</v>
      </c>
      <c r="T214" s="1866">
        <v>10831.913</v>
      </c>
      <c r="U214" s="2442"/>
      <c r="V214" s="1866">
        <f t="shared" si="83"/>
        <v>0</v>
      </c>
      <c r="W214" s="1869">
        <f>S214+U214</f>
        <v>23.32</v>
      </c>
      <c r="X214" s="1870">
        <f t="shared" si="81"/>
        <v>10831.913</v>
      </c>
      <c r="Y214" s="1871">
        <f t="shared" si="84"/>
        <v>1.0000002769594651</v>
      </c>
      <c r="Z214" s="1694">
        <f>+E214-W214</f>
        <v>0</v>
      </c>
      <c r="AA214" s="1872">
        <f t="shared" si="85"/>
        <v>0</v>
      </c>
      <c r="AB214" s="1873">
        <f t="shared" si="86"/>
        <v>0</v>
      </c>
      <c r="AC214" s="1418">
        <f t="shared" si="70"/>
        <v>-3.0000000006111804E-3</v>
      </c>
      <c r="AD214" s="1418">
        <f t="shared" si="71"/>
        <v>0</v>
      </c>
      <c r="AE214" s="1418">
        <v>10831.913</v>
      </c>
      <c r="AF214" s="1418">
        <f t="shared" si="72"/>
        <v>3.0000000006111804E-3</v>
      </c>
      <c r="AG214" s="1418">
        <v>464.81</v>
      </c>
      <c r="AH214" s="1418">
        <f t="shared" si="73"/>
        <v>0</v>
      </c>
      <c r="AI214" s="1428"/>
      <c r="AO214" s="2504">
        <v>10831.913</v>
      </c>
      <c r="AP214" s="1418">
        <f t="shared" si="82"/>
        <v>0</v>
      </c>
      <c r="AQ214" s="1418">
        <f t="shared" si="74"/>
        <v>3.0000000006111804E-3</v>
      </c>
    </row>
    <row r="215" spans="1:43" s="1410" customFormat="1" ht="15.75">
      <c r="A215" s="2102"/>
      <c r="B215" s="1268" t="s">
        <v>2381</v>
      </c>
      <c r="C215" s="1241" t="s">
        <v>3007</v>
      </c>
      <c r="D215" s="1245" t="s">
        <v>37</v>
      </c>
      <c r="E215" s="1413">
        <v>186.56</v>
      </c>
      <c r="F215" s="1555">
        <v>58.82</v>
      </c>
      <c r="G215" s="1480">
        <v>61.44</v>
      </c>
      <c r="H215" s="1414">
        <v>62.87</v>
      </c>
      <c r="I215" s="1477">
        <f t="shared" si="68"/>
        <v>10973.46</v>
      </c>
      <c r="J215" s="1477">
        <f t="shared" si="69"/>
        <v>11462.25</v>
      </c>
      <c r="K215" s="1477">
        <v>29.240000000000002</v>
      </c>
      <c r="L215" s="1477">
        <f t="shared" si="75"/>
        <v>29.240000000000009</v>
      </c>
      <c r="M215" s="1477">
        <v>157.32</v>
      </c>
      <c r="N215" s="1477">
        <f t="shared" si="76"/>
        <v>157.32</v>
      </c>
      <c r="O215" s="1477">
        <f t="shared" si="77"/>
        <v>1796.51</v>
      </c>
      <c r="P215" s="1477">
        <f t="shared" si="78"/>
        <v>9665.74</v>
      </c>
      <c r="Q215" s="1477">
        <f t="shared" si="79"/>
        <v>9890.7099999999991</v>
      </c>
      <c r="R215" s="1576">
        <f t="shared" si="80"/>
        <v>11687.22</v>
      </c>
      <c r="S215" s="1869">
        <v>186.56</v>
      </c>
      <c r="T215" s="1866">
        <v>11687.214</v>
      </c>
      <c r="U215" s="2442"/>
      <c r="V215" s="1866">
        <f t="shared" si="83"/>
        <v>0</v>
      </c>
      <c r="W215" s="1869">
        <f>S215+U215</f>
        <v>186.56</v>
      </c>
      <c r="X215" s="1870">
        <f t="shared" si="81"/>
        <v>11687.214</v>
      </c>
      <c r="Y215" s="1871">
        <f t="shared" si="84"/>
        <v>0.99999948661871696</v>
      </c>
      <c r="Z215" s="1694">
        <f>+E215-W215</f>
        <v>0</v>
      </c>
      <c r="AA215" s="1872">
        <f t="shared" si="85"/>
        <v>0</v>
      </c>
      <c r="AB215" s="1873">
        <f t="shared" si="86"/>
        <v>0</v>
      </c>
      <c r="AC215" s="1418">
        <f t="shared" si="70"/>
        <v>5.9999999994033715E-3</v>
      </c>
      <c r="AD215" s="1418">
        <f t="shared" si="71"/>
        <v>0</v>
      </c>
      <c r="AE215" s="1418">
        <v>11687.214</v>
      </c>
      <c r="AF215" s="1418">
        <f t="shared" si="72"/>
        <v>-5.9999999994033715E-3</v>
      </c>
      <c r="AG215" s="1418">
        <v>62.87</v>
      </c>
      <c r="AH215" s="1418">
        <f t="shared" si="73"/>
        <v>0</v>
      </c>
      <c r="AI215" s="1428"/>
      <c r="AO215" s="2504">
        <v>11687.214</v>
      </c>
      <c r="AP215" s="1418">
        <f t="shared" si="82"/>
        <v>0</v>
      </c>
      <c r="AQ215" s="1418">
        <f t="shared" si="74"/>
        <v>-5.9999999994033715E-3</v>
      </c>
    </row>
    <row r="216" spans="1:43" s="1410" customFormat="1" ht="15.75">
      <c r="A216" s="2102"/>
      <c r="B216" s="1268" t="s">
        <v>2382</v>
      </c>
      <c r="C216" s="1241" t="s">
        <v>3008</v>
      </c>
      <c r="D216" s="1245" t="s">
        <v>48</v>
      </c>
      <c r="E216" s="1413">
        <v>1182.72</v>
      </c>
      <c r="F216" s="1555">
        <v>4.9400000000000004</v>
      </c>
      <c r="G216" s="1480">
        <v>5.05</v>
      </c>
      <c r="H216" s="1414">
        <v>5.1100000000000003</v>
      </c>
      <c r="I216" s="1477">
        <f t="shared" si="68"/>
        <v>5842.64</v>
      </c>
      <c r="J216" s="1477">
        <f t="shared" si="69"/>
        <v>5972.74</v>
      </c>
      <c r="K216" s="1477">
        <v>1182.72</v>
      </c>
      <c r="L216" s="1477">
        <f t="shared" si="75"/>
        <v>1182.72</v>
      </c>
      <c r="M216" s="1477">
        <v>0</v>
      </c>
      <c r="N216" s="1477">
        <f t="shared" si="76"/>
        <v>0</v>
      </c>
      <c r="O216" s="1477">
        <f t="shared" si="77"/>
        <v>5972.74</v>
      </c>
      <c r="P216" s="1477">
        <f t="shared" si="78"/>
        <v>0</v>
      </c>
      <c r="Q216" s="1477">
        <f t="shared" si="79"/>
        <v>0</v>
      </c>
      <c r="R216" s="1576">
        <f t="shared" si="80"/>
        <v>5972.74</v>
      </c>
      <c r="S216" s="1869">
        <v>1182.72</v>
      </c>
      <c r="T216" s="1866">
        <v>5972.7359999999999</v>
      </c>
      <c r="U216" s="2442"/>
      <c r="V216" s="1866">
        <f t="shared" si="83"/>
        <v>0</v>
      </c>
      <c r="W216" s="1869">
        <f>S216+U216</f>
        <v>1182.72</v>
      </c>
      <c r="X216" s="1870">
        <f t="shared" si="81"/>
        <v>5972.7359999999999</v>
      </c>
      <c r="Y216" s="1871">
        <f t="shared" si="84"/>
        <v>0.99999933029062038</v>
      </c>
      <c r="Z216" s="1694">
        <f>+E216-W216</f>
        <v>0</v>
      </c>
      <c r="AA216" s="1872">
        <f t="shared" si="85"/>
        <v>0</v>
      </c>
      <c r="AB216" s="1873">
        <f t="shared" si="86"/>
        <v>0</v>
      </c>
      <c r="AC216" s="1418">
        <f t="shared" si="70"/>
        <v>3.9999999999054126E-3</v>
      </c>
      <c r="AD216" s="1418">
        <f t="shared" si="71"/>
        <v>0</v>
      </c>
      <c r="AE216" s="1418">
        <v>5972.7359999999999</v>
      </c>
      <c r="AF216" s="1418">
        <f t="shared" si="72"/>
        <v>-3.9999999999054126E-3</v>
      </c>
      <c r="AG216" s="1418">
        <v>5.05</v>
      </c>
      <c r="AH216" s="1418">
        <f t="shared" si="73"/>
        <v>-6.0000000000000497E-2</v>
      </c>
      <c r="AI216" s="1428"/>
      <c r="AO216" s="2504">
        <v>5972.7359999999999</v>
      </c>
      <c r="AP216" s="1418">
        <f t="shared" si="82"/>
        <v>0</v>
      </c>
      <c r="AQ216" s="1418">
        <f t="shared" si="74"/>
        <v>-3.9999999999054126E-3</v>
      </c>
    </row>
    <row r="217" spans="1:43" s="1410" customFormat="1" ht="15.75">
      <c r="A217" s="2102"/>
      <c r="B217" s="1272" t="s">
        <v>2383</v>
      </c>
      <c r="C217" s="1262" t="s">
        <v>3009</v>
      </c>
      <c r="D217" s="1273"/>
      <c r="E217" s="1415"/>
      <c r="F217" s="1267"/>
      <c r="G217" s="1480"/>
      <c r="H217" s="1416"/>
      <c r="I217" s="1477">
        <f t="shared" si="68"/>
        <v>0</v>
      </c>
      <c r="J217" s="1477">
        <f t="shared" si="69"/>
        <v>0</v>
      </c>
      <c r="K217" s="1477"/>
      <c r="L217" s="1477">
        <f t="shared" si="75"/>
        <v>0</v>
      </c>
      <c r="M217" s="1477"/>
      <c r="N217" s="1477">
        <f t="shared" si="76"/>
        <v>0</v>
      </c>
      <c r="O217" s="1477">
        <f t="shared" si="77"/>
        <v>0</v>
      </c>
      <c r="P217" s="1477">
        <f t="shared" si="78"/>
        <v>0</v>
      </c>
      <c r="Q217" s="1477">
        <f t="shared" si="79"/>
        <v>0</v>
      </c>
      <c r="R217" s="1576">
        <f t="shared" si="80"/>
        <v>0</v>
      </c>
      <c r="S217" s="1869"/>
      <c r="T217" s="1866"/>
      <c r="U217" s="2442"/>
      <c r="V217" s="1866">
        <f t="shared" si="83"/>
        <v>0</v>
      </c>
      <c r="W217" s="1869"/>
      <c r="X217" s="1870"/>
      <c r="Y217" s="1871" t="str">
        <f t="shared" si="84"/>
        <v/>
      </c>
      <c r="Z217" s="1694"/>
      <c r="AA217" s="1872">
        <f t="shared" si="85"/>
        <v>0</v>
      </c>
      <c r="AB217" s="1873" t="str">
        <f t="shared" si="86"/>
        <v/>
      </c>
      <c r="AC217" s="1418">
        <f t="shared" si="70"/>
        <v>0</v>
      </c>
      <c r="AD217" s="1418">
        <f t="shared" si="71"/>
        <v>0</v>
      </c>
      <c r="AE217" s="1418"/>
      <c r="AF217" s="1418">
        <f t="shared" si="72"/>
        <v>0</v>
      </c>
      <c r="AG217" s="1418"/>
      <c r="AH217" s="1418">
        <f t="shared" si="73"/>
        <v>0</v>
      </c>
      <c r="AI217" s="1428"/>
      <c r="AO217" s="2504"/>
      <c r="AP217" s="1418">
        <f t="shared" si="82"/>
        <v>0</v>
      </c>
      <c r="AQ217" s="1418">
        <f t="shared" si="74"/>
        <v>0</v>
      </c>
    </row>
    <row r="218" spans="1:43" s="1231" customFormat="1" ht="15.75">
      <c r="A218" s="2103"/>
      <c r="B218" s="1543" t="s">
        <v>2384</v>
      </c>
      <c r="C218" s="1544" t="s">
        <v>3010</v>
      </c>
      <c r="D218" s="1545"/>
      <c r="E218" s="1266"/>
      <c r="F218" s="1267"/>
      <c r="G218" s="1480"/>
      <c r="H218" s="1267"/>
      <c r="I218" s="1477">
        <f t="shared" si="68"/>
        <v>0</v>
      </c>
      <c r="J218" s="1477">
        <f t="shared" si="69"/>
        <v>0</v>
      </c>
      <c r="K218" s="1477"/>
      <c r="L218" s="1477">
        <f t="shared" si="75"/>
        <v>0</v>
      </c>
      <c r="M218" s="1477"/>
      <c r="N218" s="1477">
        <f t="shared" si="76"/>
        <v>0</v>
      </c>
      <c r="O218" s="1477">
        <f t="shared" si="77"/>
        <v>0</v>
      </c>
      <c r="P218" s="1477">
        <f t="shared" si="78"/>
        <v>0</v>
      </c>
      <c r="Q218" s="1477">
        <f t="shared" si="79"/>
        <v>0</v>
      </c>
      <c r="R218" s="1576">
        <f t="shared" si="80"/>
        <v>0</v>
      </c>
      <c r="S218" s="2452"/>
      <c r="T218" s="1866"/>
      <c r="U218" s="2442"/>
      <c r="V218" s="1866">
        <f t="shared" si="83"/>
        <v>0</v>
      </c>
      <c r="W218" s="2452"/>
      <c r="X218" s="1870"/>
      <c r="Y218" s="1871" t="str">
        <f t="shared" si="84"/>
        <v/>
      </c>
      <c r="Z218" s="1694"/>
      <c r="AA218" s="1872">
        <f t="shared" si="85"/>
        <v>0</v>
      </c>
      <c r="AB218" s="1873" t="str">
        <f t="shared" si="86"/>
        <v/>
      </c>
      <c r="AC218" s="1418">
        <f t="shared" si="70"/>
        <v>0</v>
      </c>
      <c r="AD218" s="1418">
        <f t="shared" si="71"/>
        <v>0</v>
      </c>
      <c r="AE218" s="1230"/>
      <c r="AF218" s="1230">
        <f t="shared" si="72"/>
        <v>0</v>
      </c>
      <c r="AG218" s="1230"/>
      <c r="AH218" s="1418">
        <f t="shared" si="73"/>
        <v>0</v>
      </c>
      <c r="AI218" s="1346"/>
      <c r="AO218" s="1736"/>
      <c r="AP218" s="1418">
        <f t="shared" si="82"/>
        <v>0</v>
      </c>
      <c r="AQ218" s="1418">
        <f t="shared" si="74"/>
        <v>0</v>
      </c>
    </row>
    <row r="219" spans="1:43" s="1410" customFormat="1" ht="15.75">
      <c r="A219" s="2102"/>
      <c r="B219" s="1268" t="s">
        <v>2385</v>
      </c>
      <c r="C219" s="1241" t="s">
        <v>3011</v>
      </c>
      <c r="D219" s="1245" t="s">
        <v>40</v>
      </c>
      <c r="E219" s="1413">
        <v>10.06</v>
      </c>
      <c r="F219" s="1555">
        <v>461.79</v>
      </c>
      <c r="G219" s="1480">
        <v>463.79</v>
      </c>
      <c r="H219" s="1414">
        <v>464.81</v>
      </c>
      <c r="I219" s="1477">
        <f t="shared" si="68"/>
        <v>4645.6099999999997</v>
      </c>
      <c r="J219" s="1477">
        <f t="shared" si="69"/>
        <v>4665.7299999999996</v>
      </c>
      <c r="K219" s="1477">
        <v>0</v>
      </c>
      <c r="L219" s="1477">
        <f t="shared" si="75"/>
        <v>0</v>
      </c>
      <c r="M219" s="1477">
        <v>10.06</v>
      </c>
      <c r="N219" s="1477">
        <f t="shared" si="76"/>
        <v>10.06</v>
      </c>
      <c r="O219" s="1477">
        <f t="shared" si="77"/>
        <v>0</v>
      </c>
      <c r="P219" s="1477">
        <f t="shared" si="78"/>
        <v>4665.7299999999996</v>
      </c>
      <c r="Q219" s="1477">
        <f t="shared" si="79"/>
        <v>4675.99</v>
      </c>
      <c r="R219" s="1576">
        <f t="shared" si="80"/>
        <v>4675.99</v>
      </c>
      <c r="S219" s="1869">
        <v>10.06</v>
      </c>
      <c r="T219" s="1866">
        <v>4675.9886000000006</v>
      </c>
      <c r="U219" s="2442"/>
      <c r="V219" s="1866">
        <f t="shared" si="83"/>
        <v>0</v>
      </c>
      <c r="W219" s="1869">
        <f>S219+U219</f>
        <v>10.06</v>
      </c>
      <c r="X219" s="1870">
        <f t="shared" si="81"/>
        <v>4675.9886000000006</v>
      </c>
      <c r="Y219" s="1871">
        <f t="shared" si="84"/>
        <v>0.99999970059816223</v>
      </c>
      <c r="Z219" s="1694">
        <f>+E219-W219</f>
        <v>0</v>
      </c>
      <c r="AA219" s="1872">
        <f t="shared" si="85"/>
        <v>0</v>
      </c>
      <c r="AB219" s="1873">
        <f t="shared" si="86"/>
        <v>0</v>
      </c>
      <c r="AC219" s="1418">
        <f t="shared" si="70"/>
        <v>1.3999999991938239E-3</v>
      </c>
      <c r="AD219" s="1418">
        <f t="shared" si="71"/>
        <v>0</v>
      </c>
      <c r="AE219" s="1418">
        <v>4675.9886000000006</v>
      </c>
      <c r="AF219" s="1418">
        <f t="shared" si="72"/>
        <v>-1.3999999991938239E-3</v>
      </c>
      <c r="AG219" s="1418">
        <v>464.81</v>
      </c>
      <c r="AH219" s="1418">
        <f t="shared" si="73"/>
        <v>0</v>
      </c>
      <c r="AI219" s="1428"/>
      <c r="AO219" s="2504">
        <v>4675.9886000000006</v>
      </c>
      <c r="AP219" s="1418">
        <f t="shared" si="82"/>
        <v>0</v>
      </c>
      <c r="AQ219" s="1418">
        <f t="shared" si="74"/>
        <v>-1.3999999991938239E-3</v>
      </c>
    </row>
    <row r="220" spans="1:43" s="1410" customFormat="1" ht="15.75">
      <c r="A220" s="2102"/>
      <c r="B220" s="1268" t="s">
        <v>2386</v>
      </c>
      <c r="C220" s="1241" t="s">
        <v>3012</v>
      </c>
      <c r="D220" s="1245" t="s">
        <v>37</v>
      </c>
      <c r="E220" s="1413">
        <v>40.26</v>
      </c>
      <c r="F220" s="1555">
        <v>69.099999999999994</v>
      </c>
      <c r="G220" s="1480">
        <v>71.72</v>
      </c>
      <c r="H220" s="1414">
        <v>73.150000000000006</v>
      </c>
      <c r="I220" s="1477">
        <f t="shared" si="68"/>
        <v>2781.97</v>
      </c>
      <c r="J220" s="1477">
        <f t="shared" si="69"/>
        <v>2887.45</v>
      </c>
      <c r="K220" s="1477">
        <v>0</v>
      </c>
      <c r="L220" s="1477">
        <f t="shared" si="75"/>
        <v>0</v>
      </c>
      <c r="M220" s="1477">
        <v>40.26</v>
      </c>
      <c r="N220" s="1477">
        <f t="shared" si="76"/>
        <v>40.26</v>
      </c>
      <c r="O220" s="1477">
        <f t="shared" si="77"/>
        <v>0</v>
      </c>
      <c r="P220" s="1477">
        <f t="shared" si="78"/>
        <v>2887.45</v>
      </c>
      <c r="Q220" s="1477">
        <f t="shared" si="79"/>
        <v>2945.02</v>
      </c>
      <c r="R220" s="1576">
        <f t="shared" si="80"/>
        <v>2945.02</v>
      </c>
      <c r="S220" s="1869">
        <v>40.26</v>
      </c>
      <c r="T220" s="1866">
        <v>2945.0190000000002</v>
      </c>
      <c r="U220" s="2442"/>
      <c r="V220" s="1866">
        <f t="shared" si="83"/>
        <v>0</v>
      </c>
      <c r="W220" s="1869">
        <f>S220+U220</f>
        <v>40.26</v>
      </c>
      <c r="X220" s="1870">
        <f t="shared" si="81"/>
        <v>2945.0190000000002</v>
      </c>
      <c r="Y220" s="1871">
        <f t="shared" si="84"/>
        <v>0.99999966044373223</v>
      </c>
      <c r="Z220" s="1694">
        <f>+E220-W220</f>
        <v>0</v>
      </c>
      <c r="AA220" s="1872">
        <f t="shared" si="85"/>
        <v>0</v>
      </c>
      <c r="AB220" s="1873">
        <f t="shared" si="86"/>
        <v>0</v>
      </c>
      <c r="AC220" s="1418">
        <f t="shared" si="70"/>
        <v>9.9999999974897946E-4</v>
      </c>
      <c r="AD220" s="1418">
        <f t="shared" si="71"/>
        <v>0</v>
      </c>
      <c r="AE220" s="1418">
        <v>2945.0190000000002</v>
      </c>
      <c r="AF220" s="1418">
        <f t="shared" si="72"/>
        <v>-9.9999999974897946E-4</v>
      </c>
      <c r="AG220" s="1418">
        <v>73.150000000000006</v>
      </c>
      <c r="AH220" s="1418">
        <f t="shared" si="73"/>
        <v>0</v>
      </c>
      <c r="AI220" s="1428"/>
      <c r="AO220" s="2504">
        <v>2945.0190000000002</v>
      </c>
      <c r="AP220" s="1418">
        <f t="shared" si="82"/>
        <v>0</v>
      </c>
      <c r="AQ220" s="1418">
        <f t="shared" si="74"/>
        <v>-9.9999999974897946E-4</v>
      </c>
    </row>
    <row r="221" spans="1:43" s="1410" customFormat="1" ht="15.75">
      <c r="A221" s="2102"/>
      <c r="B221" s="1268" t="s">
        <v>2387</v>
      </c>
      <c r="C221" s="1241" t="s">
        <v>3013</v>
      </c>
      <c r="D221" s="1245" t="s">
        <v>48</v>
      </c>
      <c r="E221" s="1413">
        <v>586.88</v>
      </c>
      <c r="F221" s="1555">
        <v>4.9400000000000004</v>
      </c>
      <c r="G221" s="1480">
        <v>5.05</v>
      </c>
      <c r="H221" s="1414">
        <v>5.1100000000000003</v>
      </c>
      <c r="I221" s="1477">
        <f t="shared" si="68"/>
        <v>2899.19</v>
      </c>
      <c r="J221" s="1477">
        <f t="shared" si="69"/>
        <v>2963.74</v>
      </c>
      <c r="K221" s="1477">
        <v>0</v>
      </c>
      <c r="L221" s="1477">
        <f t="shared" si="75"/>
        <v>0</v>
      </c>
      <c r="M221" s="1477">
        <v>586.88</v>
      </c>
      <c r="N221" s="1477">
        <f t="shared" si="76"/>
        <v>586.88</v>
      </c>
      <c r="O221" s="1477">
        <f t="shared" si="77"/>
        <v>0</v>
      </c>
      <c r="P221" s="1477">
        <f t="shared" si="78"/>
        <v>2963.74</v>
      </c>
      <c r="Q221" s="1477">
        <f t="shared" si="79"/>
        <v>2998.96</v>
      </c>
      <c r="R221" s="1576">
        <f t="shared" si="80"/>
        <v>2998.96</v>
      </c>
      <c r="S221" s="1869">
        <v>586.88</v>
      </c>
      <c r="T221" s="1866">
        <v>2998.9568000000004</v>
      </c>
      <c r="U221" s="2442"/>
      <c r="V221" s="1866">
        <f t="shared" si="83"/>
        <v>0</v>
      </c>
      <c r="W221" s="1869">
        <f>S221+U221</f>
        <v>586.88</v>
      </c>
      <c r="X221" s="1870">
        <f t="shared" si="81"/>
        <v>2998.9568000000004</v>
      </c>
      <c r="Y221" s="1871">
        <f t="shared" si="84"/>
        <v>0.99999893296342746</v>
      </c>
      <c r="Z221" s="1694">
        <f>+E221-W221</f>
        <v>0</v>
      </c>
      <c r="AA221" s="1872">
        <f t="shared" si="85"/>
        <v>0</v>
      </c>
      <c r="AB221" s="1873">
        <f t="shared" si="86"/>
        <v>0</v>
      </c>
      <c r="AC221" s="1418">
        <f t="shared" si="70"/>
        <v>3.1999999996514816E-3</v>
      </c>
      <c r="AD221" s="1418">
        <f t="shared" si="71"/>
        <v>0</v>
      </c>
      <c r="AE221" s="1418">
        <v>2998.9568000000004</v>
      </c>
      <c r="AF221" s="1418">
        <f t="shared" si="72"/>
        <v>-3.1999999996514816E-3</v>
      </c>
      <c r="AG221" s="1418">
        <v>5.1100000000000003</v>
      </c>
      <c r="AH221" s="1418">
        <f t="shared" si="73"/>
        <v>0</v>
      </c>
      <c r="AI221" s="1428"/>
      <c r="AO221" s="2504">
        <v>2998.9568000000004</v>
      </c>
      <c r="AP221" s="1418">
        <f t="shared" si="82"/>
        <v>0</v>
      </c>
      <c r="AQ221" s="1418">
        <f t="shared" si="74"/>
        <v>-3.1999999996514816E-3</v>
      </c>
    </row>
    <row r="222" spans="1:43" s="1410" customFormat="1" ht="15.75">
      <c r="A222" s="2102"/>
      <c r="B222" s="1268" t="s">
        <v>2388</v>
      </c>
      <c r="C222" s="1241" t="s">
        <v>3014</v>
      </c>
      <c r="D222" s="1245" t="s">
        <v>38</v>
      </c>
      <c r="E222" s="1413">
        <v>40.9</v>
      </c>
      <c r="F222" s="1555">
        <v>12.22</v>
      </c>
      <c r="G222" s="1480">
        <v>12.47</v>
      </c>
      <c r="H222" s="1414">
        <v>12.6</v>
      </c>
      <c r="I222" s="1477">
        <f t="shared" si="68"/>
        <v>499.8</v>
      </c>
      <c r="J222" s="1477">
        <f t="shared" si="69"/>
        <v>510.02</v>
      </c>
      <c r="K222" s="1477">
        <v>0</v>
      </c>
      <c r="L222" s="1477">
        <f t="shared" si="75"/>
        <v>0</v>
      </c>
      <c r="M222" s="1477">
        <v>40.9</v>
      </c>
      <c r="N222" s="1477">
        <f t="shared" si="76"/>
        <v>40.9</v>
      </c>
      <c r="O222" s="1477">
        <f t="shared" si="77"/>
        <v>0</v>
      </c>
      <c r="P222" s="1477">
        <f t="shared" si="78"/>
        <v>510.02</v>
      </c>
      <c r="Q222" s="1477">
        <f t="shared" si="79"/>
        <v>515.34</v>
      </c>
      <c r="R222" s="1576">
        <f t="shared" si="80"/>
        <v>515.34</v>
      </c>
      <c r="S222" s="1869">
        <v>0</v>
      </c>
      <c r="T222" s="1866">
        <v>0</v>
      </c>
      <c r="U222" s="2442"/>
      <c r="V222" s="1866">
        <f t="shared" si="83"/>
        <v>0</v>
      </c>
      <c r="W222" s="1869">
        <f>S222+U222</f>
        <v>0</v>
      </c>
      <c r="X222" s="1870">
        <f t="shared" si="81"/>
        <v>0</v>
      </c>
      <c r="Y222" s="1871">
        <f t="shared" si="84"/>
        <v>0</v>
      </c>
      <c r="Z222" s="1694">
        <f>+E222-W222</f>
        <v>40.9</v>
      </c>
      <c r="AA222" s="1872">
        <f t="shared" si="85"/>
        <v>515.33999999999992</v>
      </c>
      <c r="AB222" s="1873">
        <f t="shared" si="86"/>
        <v>0.99999999999999978</v>
      </c>
      <c r="AC222" s="1418">
        <f t="shared" si="70"/>
        <v>0</v>
      </c>
      <c r="AD222" s="1418">
        <f t="shared" si="71"/>
        <v>0</v>
      </c>
      <c r="AE222" s="1418">
        <v>515.33999999999992</v>
      </c>
      <c r="AF222" s="1418">
        <f t="shared" si="72"/>
        <v>0</v>
      </c>
      <c r="AG222" s="1418">
        <v>12.6</v>
      </c>
      <c r="AH222" s="1418">
        <f t="shared" si="73"/>
        <v>0</v>
      </c>
      <c r="AI222" s="1428"/>
      <c r="AO222" s="2504">
        <v>0</v>
      </c>
      <c r="AP222" s="1418">
        <f t="shared" si="82"/>
        <v>0</v>
      </c>
      <c r="AQ222" s="1418">
        <f t="shared" si="74"/>
        <v>0</v>
      </c>
    </row>
    <row r="223" spans="1:43" s="1231" customFormat="1" ht="15.75">
      <c r="A223" s="2103"/>
      <c r="B223" s="1543" t="s">
        <v>2389</v>
      </c>
      <c r="C223" s="1544" t="s">
        <v>3015</v>
      </c>
      <c r="D223" s="1545"/>
      <c r="E223" s="1266"/>
      <c r="F223" s="1267"/>
      <c r="G223" s="1480"/>
      <c r="H223" s="1267"/>
      <c r="I223" s="1477">
        <f t="shared" si="68"/>
        <v>0</v>
      </c>
      <c r="J223" s="1477">
        <f t="shared" si="69"/>
        <v>0</v>
      </c>
      <c r="K223" s="1477"/>
      <c r="L223" s="1477">
        <f t="shared" si="75"/>
        <v>0</v>
      </c>
      <c r="M223" s="1477"/>
      <c r="N223" s="1477">
        <f t="shared" si="76"/>
        <v>0</v>
      </c>
      <c r="O223" s="1477">
        <f t="shared" si="77"/>
        <v>0</v>
      </c>
      <c r="P223" s="1477">
        <f t="shared" si="78"/>
        <v>0</v>
      </c>
      <c r="Q223" s="1477">
        <f t="shared" si="79"/>
        <v>0</v>
      </c>
      <c r="R223" s="1576">
        <f t="shared" si="80"/>
        <v>0</v>
      </c>
      <c r="S223" s="2452"/>
      <c r="T223" s="1866"/>
      <c r="U223" s="2442"/>
      <c r="V223" s="1866">
        <f t="shared" si="83"/>
        <v>0</v>
      </c>
      <c r="W223" s="2452"/>
      <c r="X223" s="1870"/>
      <c r="Y223" s="1871" t="str">
        <f t="shared" si="84"/>
        <v/>
      </c>
      <c r="Z223" s="1694"/>
      <c r="AA223" s="1872">
        <f t="shared" si="85"/>
        <v>0</v>
      </c>
      <c r="AB223" s="1873" t="str">
        <f t="shared" si="86"/>
        <v/>
      </c>
      <c r="AC223" s="1418">
        <f t="shared" si="70"/>
        <v>0</v>
      </c>
      <c r="AD223" s="1418">
        <f t="shared" si="71"/>
        <v>0</v>
      </c>
      <c r="AE223" s="1230"/>
      <c r="AF223" s="1230">
        <f t="shared" si="72"/>
        <v>0</v>
      </c>
      <c r="AG223" s="1230"/>
      <c r="AH223" s="1418">
        <f t="shared" si="73"/>
        <v>0</v>
      </c>
      <c r="AI223" s="1346"/>
      <c r="AO223" s="1736"/>
      <c r="AP223" s="1418">
        <f t="shared" si="82"/>
        <v>0</v>
      </c>
      <c r="AQ223" s="1418">
        <f t="shared" si="74"/>
        <v>0</v>
      </c>
    </row>
    <row r="224" spans="1:43" s="1410" customFormat="1" ht="15.75">
      <c r="A224" s="2102"/>
      <c r="B224" s="1268" t="s">
        <v>2390</v>
      </c>
      <c r="C224" s="1241" t="s">
        <v>3006</v>
      </c>
      <c r="D224" s="1245" t="s">
        <v>40</v>
      </c>
      <c r="E224" s="1413">
        <v>11.75</v>
      </c>
      <c r="F224" s="1555">
        <v>461.79</v>
      </c>
      <c r="G224" s="1480">
        <v>463.79</v>
      </c>
      <c r="H224" s="1414">
        <v>464.81</v>
      </c>
      <c r="I224" s="1477">
        <f t="shared" si="68"/>
        <v>5426.03</v>
      </c>
      <c r="J224" s="1477">
        <f t="shared" si="69"/>
        <v>5449.53</v>
      </c>
      <c r="K224" s="1477">
        <v>0</v>
      </c>
      <c r="L224" s="1477">
        <f t="shared" si="75"/>
        <v>0</v>
      </c>
      <c r="M224" s="1477">
        <v>11.75</v>
      </c>
      <c r="N224" s="1477">
        <f t="shared" si="76"/>
        <v>11.75</v>
      </c>
      <c r="O224" s="1477">
        <f t="shared" si="77"/>
        <v>0</v>
      </c>
      <c r="P224" s="1477">
        <f t="shared" si="78"/>
        <v>5449.53</v>
      </c>
      <c r="Q224" s="1477">
        <f t="shared" si="79"/>
        <v>5461.52</v>
      </c>
      <c r="R224" s="1576">
        <f t="shared" si="80"/>
        <v>5461.52</v>
      </c>
      <c r="S224" s="1869">
        <v>11.75</v>
      </c>
      <c r="T224" s="1866">
        <v>5461.5174999999999</v>
      </c>
      <c r="U224" s="2442"/>
      <c r="V224" s="1866">
        <f t="shared" si="83"/>
        <v>0</v>
      </c>
      <c r="W224" s="1869">
        <f>S224+U224</f>
        <v>11.75</v>
      </c>
      <c r="X224" s="1870">
        <f t="shared" si="81"/>
        <v>5461.5174999999999</v>
      </c>
      <c r="Y224" s="1871">
        <f t="shared" si="84"/>
        <v>0.99999954225197374</v>
      </c>
      <c r="Z224" s="1694">
        <f>+E224-W224</f>
        <v>0</v>
      </c>
      <c r="AA224" s="1872">
        <f t="shared" si="85"/>
        <v>0</v>
      </c>
      <c r="AB224" s="1873">
        <f t="shared" si="86"/>
        <v>0</v>
      </c>
      <c r="AC224" s="1418">
        <f t="shared" si="70"/>
        <v>2.500000000509317E-3</v>
      </c>
      <c r="AD224" s="1418">
        <f t="shared" si="71"/>
        <v>0</v>
      </c>
      <c r="AE224" s="1418">
        <v>5461.5174999999999</v>
      </c>
      <c r="AF224" s="1418">
        <f t="shared" si="72"/>
        <v>-2.500000000509317E-3</v>
      </c>
      <c r="AG224" s="1418">
        <v>464.81</v>
      </c>
      <c r="AH224" s="1418">
        <f t="shared" si="73"/>
        <v>0</v>
      </c>
      <c r="AI224" s="1428"/>
      <c r="AO224" s="2504">
        <v>5461.5174999999999</v>
      </c>
      <c r="AP224" s="1418">
        <f t="shared" si="82"/>
        <v>0</v>
      </c>
      <c r="AQ224" s="1418">
        <f t="shared" si="74"/>
        <v>-2.500000000509317E-3</v>
      </c>
    </row>
    <row r="225" spans="1:43" s="1410" customFormat="1" ht="15.75">
      <c r="A225" s="2102"/>
      <c r="B225" s="1268" t="s">
        <v>2391</v>
      </c>
      <c r="C225" s="1241" t="s">
        <v>3007</v>
      </c>
      <c r="D225" s="1245" t="s">
        <v>37</v>
      </c>
      <c r="E225" s="1413">
        <v>188.05</v>
      </c>
      <c r="F225" s="1555">
        <v>58.82</v>
      </c>
      <c r="G225" s="1480">
        <v>61.44</v>
      </c>
      <c r="H225" s="1414">
        <v>62.87</v>
      </c>
      <c r="I225" s="1477">
        <f t="shared" si="68"/>
        <v>11061.1</v>
      </c>
      <c r="J225" s="1477">
        <f t="shared" si="69"/>
        <v>11553.79</v>
      </c>
      <c r="K225" s="1477">
        <v>0</v>
      </c>
      <c r="L225" s="1477">
        <f t="shared" si="75"/>
        <v>0</v>
      </c>
      <c r="M225" s="1477">
        <v>188.05</v>
      </c>
      <c r="N225" s="1477">
        <f t="shared" si="76"/>
        <v>188.05</v>
      </c>
      <c r="O225" s="1477">
        <f t="shared" si="77"/>
        <v>0</v>
      </c>
      <c r="P225" s="1477">
        <f t="shared" si="78"/>
        <v>11553.79</v>
      </c>
      <c r="Q225" s="1477">
        <f t="shared" si="79"/>
        <v>11822.7</v>
      </c>
      <c r="R225" s="1576">
        <f t="shared" si="80"/>
        <v>11822.7</v>
      </c>
      <c r="S225" s="1869">
        <v>188.05</v>
      </c>
      <c r="T225" s="1866">
        <v>11822.7035</v>
      </c>
      <c r="U225" s="2442"/>
      <c r="V225" s="1866">
        <f t="shared" si="83"/>
        <v>0</v>
      </c>
      <c r="W225" s="1869">
        <f>S225+U225</f>
        <v>188.05</v>
      </c>
      <c r="X225" s="1870">
        <f t="shared" si="81"/>
        <v>11822.7035</v>
      </c>
      <c r="Y225" s="1871">
        <f t="shared" si="84"/>
        <v>1.0000002960406675</v>
      </c>
      <c r="Z225" s="1694">
        <f>+E225-W225</f>
        <v>0</v>
      </c>
      <c r="AA225" s="1872">
        <f t="shared" si="85"/>
        <v>0</v>
      </c>
      <c r="AB225" s="1873">
        <f t="shared" si="86"/>
        <v>0</v>
      </c>
      <c r="AC225" s="1418">
        <f t="shared" si="70"/>
        <v>-3.4999999988940544E-3</v>
      </c>
      <c r="AD225" s="1418">
        <f t="shared" si="71"/>
        <v>0</v>
      </c>
      <c r="AE225" s="1418">
        <v>11822.7035</v>
      </c>
      <c r="AF225" s="1418">
        <f t="shared" si="72"/>
        <v>3.4999999988940544E-3</v>
      </c>
      <c r="AG225" s="1418">
        <v>62.87</v>
      </c>
      <c r="AH225" s="1418">
        <f t="shared" si="73"/>
        <v>0</v>
      </c>
      <c r="AI225" s="1428"/>
      <c r="AO225" s="2504">
        <v>11822.7035</v>
      </c>
      <c r="AP225" s="1418">
        <f t="shared" si="82"/>
        <v>0</v>
      </c>
      <c r="AQ225" s="1418">
        <f t="shared" si="74"/>
        <v>3.4999999988940544E-3</v>
      </c>
    </row>
    <row r="226" spans="1:43" s="1410" customFormat="1" ht="15.75">
      <c r="A226" s="2102"/>
      <c r="B226" s="1268" t="s">
        <v>2392</v>
      </c>
      <c r="C226" s="1241" t="s">
        <v>3008</v>
      </c>
      <c r="D226" s="1245" t="s">
        <v>48</v>
      </c>
      <c r="E226" s="1413">
        <v>870.35</v>
      </c>
      <c r="F226" s="1555">
        <v>4.9400000000000004</v>
      </c>
      <c r="G226" s="1480">
        <v>5.05</v>
      </c>
      <c r="H226" s="1414">
        <v>5.1100000000000003</v>
      </c>
      <c r="I226" s="1477">
        <f t="shared" si="68"/>
        <v>4299.53</v>
      </c>
      <c r="J226" s="1477">
        <f t="shared" si="69"/>
        <v>4395.2700000000004</v>
      </c>
      <c r="K226" s="1477">
        <v>0</v>
      </c>
      <c r="L226" s="1477">
        <f t="shared" si="75"/>
        <v>0</v>
      </c>
      <c r="M226" s="1477">
        <v>870.35</v>
      </c>
      <c r="N226" s="1477">
        <f t="shared" si="76"/>
        <v>870.35</v>
      </c>
      <c r="O226" s="1477">
        <f t="shared" si="77"/>
        <v>0</v>
      </c>
      <c r="P226" s="1477">
        <f t="shared" si="78"/>
        <v>4395.2700000000004</v>
      </c>
      <c r="Q226" s="1477">
        <f t="shared" si="79"/>
        <v>4447.49</v>
      </c>
      <c r="R226" s="1576">
        <f t="shared" si="80"/>
        <v>4447.49</v>
      </c>
      <c r="S226" s="1869">
        <v>870.35</v>
      </c>
      <c r="T226" s="1866">
        <v>4447.4885000000004</v>
      </c>
      <c r="U226" s="2442"/>
      <c r="V226" s="1866">
        <f t="shared" si="83"/>
        <v>0</v>
      </c>
      <c r="W226" s="1869">
        <f>S226+U226</f>
        <v>870.35</v>
      </c>
      <c r="X226" s="1870">
        <f t="shared" si="81"/>
        <v>4447.4885000000004</v>
      </c>
      <c r="Y226" s="1871">
        <f t="shared" si="84"/>
        <v>0.99999966273111363</v>
      </c>
      <c r="Z226" s="1694">
        <f>+E226-W226</f>
        <v>0</v>
      </c>
      <c r="AA226" s="1872">
        <f t="shared" si="85"/>
        <v>0</v>
      </c>
      <c r="AB226" s="1873">
        <f t="shared" si="86"/>
        <v>0</v>
      </c>
      <c r="AC226" s="1418">
        <f t="shared" si="70"/>
        <v>1.4999999993960955E-3</v>
      </c>
      <c r="AD226" s="1418">
        <f t="shared" si="71"/>
        <v>0</v>
      </c>
      <c r="AE226" s="1418">
        <v>4447.4885000000004</v>
      </c>
      <c r="AF226" s="1418">
        <f t="shared" si="72"/>
        <v>-1.4999999993960955E-3</v>
      </c>
      <c r="AG226" s="1418">
        <v>5.1100000000000003</v>
      </c>
      <c r="AH226" s="1418">
        <f t="shared" si="73"/>
        <v>0</v>
      </c>
      <c r="AI226" s="1428"/>
      <c r="AO226" s="2504">
        <v>4447.4885000000004</v>
      </c>
      <c r="AP226" s="1418">
        <f t="shared" si="82"/>
        <v>0</v>
      </c>
      <c r="AQ226" s="1418">
        <f t="shared" si="74"/>
        <v>-1.4999999993960955E-3</v>
      </c>
    </row>
    <row r="227" spans="1:43" s="1231" customFormat="1" ht="15.75">
      <c r="A227" s="2103"/>
      <c r="B227" s="1546" t="s">
        <v>2393</v>
      </c>
      <c r="C227" s="1547" t="s">
        <v>3016</v>
      </c>
      <c r="D227" s="1548"/>
      <c r="E227" s="1266"/>
      <c r="F227" s="1267"/>
      <c r="G227" s="1480"/>
      <c r="H227" s="1267"/>
      <c r="I227" s="1477">
        <f t="shared" si="68"/>
        <v>0</v>
      </c>
      <c r="J227" s="1477">
        <f t="shared" si="69"/>
        <v>0</v>
      </c>
      <c r="K227" s="1477">
        <v>0</v>
      </c>
      <c r="L227" s="1477">
        <f t="shared" si="75"/>
        <v>0</v>
      </c>
      <c r="M227" s="1477">
        <v>0</v>
      </c>
      <c r="N227" s="1477">
        <f t="shared" si="76"/>
        <v>0</v>
      </c>
      <c r="O227" s="1477">
        <f t="shared" si="77"/>
        <v>0</v>
      </c>
      <c r="P227" s="1477">
        <f t="shared" si="78"/>
        <v>0</v>
      </c>
      <c r="Q227" s="1477">
        <f t="shared" si="79"/>
        <v>0</v>
      </c>
      <c r="R227" s="1576">
        <f t="shared" si="80"/>
        <v>0</v>
      </c>
      <c r="S227" s="2452"/>
      <c r="T227" s="1866">
        <v>0</v>
      </c>
      <c r="U227" s="2442"/>
      <c r="V227" s="1866">
        <f t="shared" si="83"/>
        <v>0</v>
      </c>
      <c r="W227" s="2452"/>
      <c r="X227" s="1870">
        <f t="shared" si="81"/>
        <v>0</v>
      </c>
      <c r="Y227" s="1871" t="str">
        <f t="shared" si="84"/>
        <v/>
      </c>
      <c r="Z227" s="1694">
        <f>+E227-W227</f>
        <v>0</v>
      </c>
      <c r="AA227" s="1872">
        <f t="shared" si="85"/>
        <v>0</v>
      </c>
      <c r="AB227" s="1873" t="str">
        <f t="shared" si="86"/>
        <v/>
      </c>
      <c r="AC227" s="1418">
        <f t="shared" si="70"/>
        <v>0</v>
      </c>
      <c r="AD227" s="1418">
        <f t="shared" si="71"/>
        <v>0</v>
      </c>
      <c r="AE227" s="1230"/>
      <c r="AF227" s="1230">
        <f t="shared" si="72"/>
        <v>0</v>
      </c>
      <c r="AG227" s="1230"/>
      <c r="AH227" s="1418">
        <f t="shared" si="73"/>
        <v>0</v>
      </c>
      <c r="AI227" s="1346"/>
      <c r="AO227" s="1736">
        <v>0</v>
      </c>
      <c r="AP227" s="1418">
        <f t="shared" si="82"/>
        <v>0</v>
      </c>
      <c r="AQ227" s="1418">
        <f t="shared" si="74"/>
        <v>0</v>
      </c>
    </row>
    <row r="228" spans="1:43" s="1410" customFormat="1" ht="15.75">
      <c r="A228" s="2102"/>
      <c r="B228" s="1268" t="s">
        <v>2394</v>
      </c>
      <c r="C228" s="1241" t="s">
        <v>3017</v>
      </c>
      <c r="D228" s="1245" t="s">
        <v>2821</v>
      </c>
      <c r="E228" s="1413">
        <v>8</v>
      </c>
      <c r="F228" s="1555">
        <v>986.19</v>
      </c>
      <c r="G228" s="1480">
        <v>998.14</v>
      </c>
      <c r="H228" s="1414">
        <v>1003.91</v>
      </c>
      <c r="I228" s="1477">
        <f t="shared" si="68"/>
        <v>7889.52</v>
      </c>
      <c r="J228" s="1477">
        <f t="shared" si="69"/>
        <v>7985.12</v>
      </c>
      <c r="K228" s="1477">
        <v>0</v>
      </c>
      <c r="L228" s="1477">
        <f t="shared" si="75"/>
        <v>0</v>
      </c>
      <c r="M228" s="1477">
        <v>8</v>
      </c>
      <c r="N228" s="1477">
        <f t="shared" si="76"/>
        <v>8</v>
      </c>
      <c r="O228" s="1477">
        <f t="shared" si="77"/>
        <v>0</v>
      </c>
      <c r="P228" s="1477">
        <f t="shared" si="78"/>
        <v>7985.12</v>
      </c>
      <c r="Q228" s="1477">
        <f t="shared" si="79"/>
        <v>8031.28</v>
      </c>
      <c r="R228" s="1576">
        <f t="shared" si="80"/>
        <v>8031.28</v>
      </c>
      <c r="S228" s="1869">
        <v>8</v>
      </c>
      <c r="T228" s="1866">
        <v>8031.28</v>
      </c>
      <c r="U228" s="2442"/>
      <c r="V228" s="1866">
        <f t="shared" si="83"/>
        <v>0</v>
      </c>
      <c r="W228" s="1869">
        <f>S228+U228</f>
        <v>8</v>
      </c>
      <c r="X228" s="1870">
        <f t="shared" si="81"/>
        <v>8031.28</v>
      </c>
      <c r="Y228" s="1871">
        <f t="shared" si="84"/>
        <v>1</v>
      </c>
      <c r="Z228" s="1694">
        <f>+E228-W228</f>
        <v>0</v>
      </c>
      <c r="AA228" s="1872">
        <f t="shared" si="85"/>
        <v>0</v>
      </c>
      <c r="AB228" s="1873">
        <f t="shared" si="86"/>
        <v>0</v>
      </c>
      <c r="AC228" s="1418">
        <f t="shared" si="70"/>
        <v>0</v>
      </c>
      <c r="AD228" s="1418">
        <f t="shared" si="71"/>
        <v>0</v>
      </c>
      <c r="AE228" s="1418">
        <v>8031.28</v>
      </c>
      <c r="AF228" s="1418">
        <f t="shared" si="72"/>
        <v>0</v>
      </c>
      <c r="AG228" s="1418">
        <v>1003.91</v>
      </c>
      <c r="AH228" s="1418">
        <f t="shared" si="73"/>
        <v>0</v>
      </c>
      <c r="AI228" s="1428"/>
      <c r="AO228" s="2504">
        <v>8031.28</v>
      </c>
      <c r="AP228" s="1418">
        <f t="shared" si="82"/>
        <v>0</v>
      </c>
      <c r="AQ228" s="1418">
        <f t="shared" si="74"/>
        <v>0</v>
      </c>
    </row>
    <row r="229" spans="1:43" s="1231" customFormat="1" ht="15.75">
      <c r="A229" s="2103"/>
      <c r="B229" s="1263" t="s">
        <v>515</v>
      </c>
      <c r="C229" s="1264" t="s">
        <v>3018</v>
      </c>
      <c r="D229" s="1265"/>
      <c r="E229" s="1266"/>
      <c r="F229" s="1267"/>
      <c r="G229" s="1480"/>
      <c r="H229" s="1267"/>
      <c r="I229" s="1477">
        <f t="shared" si="68"/>
        <v>0</v>
      </c>
      <c r="J229" s="1477">
        <f t="shared" si="69"/>
        <v>0</v>
      </c>
      <c r="K229" s="1477"/>
      <c r="L229" s="1477">
        <f t="shared" si="75"/>
        <v>0</v>
      </c>
      <c r="M229" s="1477"/>
      <c r="N229" s="1477">
        <f t="shared" si="76"/>
        <v>0</v>
      </c>
      <c r="O229" s="1477">
        <f t="shared" si="77"/>
        <v>0</v>
      </c>
      <c r="P229" s="1477">
        <f t="shared" si="78"/>
        <v>0</v>
      </c>
      <c r="Q229" s="1477">
        <f t="shared" si="79"/>
        <v>0</v>
      </c>
      <c r="R229" s="1576">
        <f t="shared" si="80"/>
        <v>0</v>
      </c>
      <c r="S229" s="2452"/>
      <c r="T229" s="1866"/>
      <c r="U229" s="2442"/>
      <c r="V229" s="1866">
        <f t="shared" si="83"/>
        <v>0</v>
      </c>
      <c r="W229" s="2452"/>
      <c r="X229" s="1870"/>
      <c r="Y229" s="1871" t="str">
        <f t="shared" si="84"/>
        <v/>
      </c>
      <c r="Z229" s="1694"/>
      <c r="AA229" s="1872">
        <f t="shared" si="85"/>
        <v>0</v>
      </c>
      <c r="AB229" s="1873" t="str">
        <f t="shared" si="86"/>
        <v/>
      </c>
      <c r="AC229" s="1418">
        <f t="shared" si="70"/>
        <v>0</v>
      </c>
      <c r="AD229" s="1418">
        <f t="shared" si="71"/>
        <v>0</v>
      </c>
      <c r="AE229" s="1230"/>
      <c r="AF229" s="1230">
        <f t="shared" si="72"/>
        <v>0</v>
      </c>
      <c r="AG229" s="1230"/>
      <c r="AH229" s="1418">
        <f t="shared" si="73"/>
        <v>0</v>
      </c>
      <c r="AI229" s="1346"/>
      <c r="AO229" s="1736"/>
      <c r="AP229" s="1418">
        <f t="shared" si="82"/>
        <v>0</v>
      </c>
      <c r="AQ229" s="1418">
        <f t="shared" si="74"/>
        <v>0</v>
      </c>
    </row>
    <row r="230" spans="1:43" s="1410" customFormat="1" ht="15.75">
      <c r="A230" s="2102"/>
      <c r="B230" s="1272" t="s">
        <v>516</v>
      </c>
      <c r="C230" s="1262" t="s">
        <v>3019</v>
      </c>
      <c r="D230" s="1273"/>
      <c r="E230" s="1415"/>
      <c r="F230" s="1267"/>
      <c r="G230" s="1480"/>
      <c r="H230" s="1416"/>
      <c r="I230" s="1477">
        <f t="shared" si="68"/>
        <v>0</v>
      </c>
      <c r="J230" s="1477">
        <f t="shared" si="69"/>
        <v>0</v>
      </c>
      <c r="K230" s="1477"/>
      <c r="L230" s="1477">
        <f t="shared" si="75"/>
        <v>0</v>
      </c>
      <c r="M230" s="1477"/>
      <c r="N230" s="1477">
        <f t="shared" si="76"/>
        <v>0</v>
      </c>
      <c r="O230" s="1477">
        <f t="shared" si="77"/>
        <v>0</v>
      </c>
      <c r="P230" s="1477">
        <f t="shared" si="78"/>
        <v>0</v>
      </c>
      <c r="Q230" s="1477">
        <f t="shared" si="79"/>
        <v>0</v>
      </c>
      <c r="R230" s="1576">
        <f t="shared" si="80"/>
        <v>0</v>
      </c>
      <c r="S230" s="1869"/>
      <c r="T230" s="1866"/>
      <c r="U230" s="2442"/>
      <c r="V230" s="1866">
        <f t="shared" si="83"/>
        <v>0</v>
      </c>
      <c r="W230" s="1869"/>
      <c r="X230" s="1870"/>
      <c r="Y230" s="1871" t="str">
        <f t="shared" si="84"/>
        <v/>
      </c>
      <c r="Z230" s="1694"/>
      <c r="AA230" s="1872">
        <f t="shared" si="85"/>
        <v>0</v>
      </c>
      <c r="AB230" s="1873" t="str">
        <f t="shared" si="86"/>
        <v/>
      </c>
      <c r="AC230" s="1418">
        <f t="shared" si="70"/>
        <v>0</v>
      </c>
      <c r="AD230" s="1418">
        <f t="shared" si="71"/>
        <v>0</v>
      </c>
      <c r="AE230" s="1418"/>
      <c r="AF230" s="1418">
        <f t="shared" si="72"/>
        <v>0</v>
      </c>
      <c r="AG230" s="1418"/>
      <c r="AH230" s="1418">
        <f t="shared" si="73"/>
        <v>0</v>
      </c>
      <c r="AI230" s="1428"/>
      <c r="AO230" s="2504"/>
      <c r="AP230" s="1418">
        <f t="shared" si="82"/>
        <v>0</v>
      </c>
      <c r="AQ230" s="1418">
        <f t="shared" si="74"/>
        <v>0</v>
      </c>
    </row>
    <row r="231" spans="1:43" s="1410" customFormat="1" ht="15.75">
      <c r="A231" s="2102"/>
      <c r="B231" s="1268" t="s">
        <v>694</v>
      </c>
      <c r="C231" s="1241" t="s">
        <v>3020</v>
      </c>
      <c r="D231" s="1245" t="s">
        <v>36</v>
      </c>
      <c r="E231" s="1413">
        <v>7</v>
      </c>
      <c r="F231" s="1555">
        <v>2502.63</v>
      </c>
      <c r="G231" s="1480">
        <v>2555.4299999999998</v>
      </c>
      <c r="H231" s="1414">
        <v>2583.06</v>
      </c>
      <c r="I231" s="1477">
        <f t="shared" si="68"/>
        <v>17518.41</v>
      </c>
      <c r="J231" s="1477">
        <f t="shared" si="69"/>
        <v>17888.009999999998</v>
      </c>
      <c r="K231" s="1477">
        <v>0</v>
      </c>
      <c r="L231" s="1477">
        <f t="shared" si="75"/>
        <v>0</v>
      </c>
      <c r="M231" s="1477">
        <v>7</v>
      </c>
      <c r="N231" s="1477">
        <f t="shared" si="76"/>
        <v>7</v>
      </c>
      <c r="O231" s="1477">
        <f t="shared" si="77"/>
        <v>0</v>
      </c>
      <c r="P231" s="1477">
        <f t="shared" si="78"/>
        <v>17888.009999999998</v>
      </c>
      <c r="Q231" s="1477">
        <f t="shared" si="79"/>
        <v>18081.419999999998</v>
      </c>
      <c r="R231" s="1576">
        <f t="shared" si="80"/>
        <v>18081.419999999998</v>
      </c>
      <c r="S231" s="1869">
        <v>7</v>
      </c>
      <c r="T231" s="1866">
        <v>18081.419999999998</v>
      </c>
      <c r="U231" s="2442"/>
      <c r="V231" s="1866">
        <f t="shared" si="83"/>
        <v>0</v>
      </c>
      <c r="W231" s="1869">
        <f>S231+U231</f>
        <v>7</v>
      </c>
      <c r="X231" s="1870">
        <f t="shared" si="81"/>
        <v>18081.419999999998</v>
      </c>
      <c r="Y231" s="1871">
        <f t="shared" si="84"/>
        <v>1</v>
      </c>
      <c r="Z231" s="1694">
        <f>+E231-W231</f>
        <v>0</v>
      </c>
      <c r="AA231" s="1872">
        <f t="shared" si="85"/>
        <v>0</v>
      </c>
      <c r="AB231" s="1873">
        <f t="shared" si="86"/>
        <v>0</v>
      </c>
      <c r="AC231" s="1418">
        <f t="shared" si="70"/>
        <v>0</v>
      </c>
      <c r="AD231" s="1418">
        <f t="shared" si="71"/>
        <v>0</v>
      </c>
      <c r="AE231" s="1418">
        <v>18081.419999999998</v>
      </c>
      <c r="AF231" s="1418">
        <f t="shared" si="72"/>
        <v>0</v>
      </c>
      <c r="AG231" s="1418">
        <v>2583.06</v>
      </c>
      <c r="AH231" s="1418">
        <f t="shared" si="73"/>
        <v>0</v>
      </c>
      <c r="AI231" s="1428"/>
      <c r="AO231" s="2504">
        <v>18081.419999999998</v>
      </c>
      <c r="AP231" s="1418">
        <f t="shared" si="82"/>
        <v>0</v>
      </c>
      <c r="AQ231" s="1418">
        <f t="shared" si="74"/>
        <v>0</v>
      </c>
    </row>
    <row r="232" spans="1:43" s="1410" customFormat="1" ht="15.75">
      <c r="A232" s="2102"/>
      <c r="B232" s="1268" t="s">
        <v>695</v>
      </c>
      <c r="C232" s="1241" t="s">
        <v>3021</v>
      </c>
      <c r="D232" s="1245" t="s">
        <v>37</v>
      </c>
      <c r="E232" s="1413">
        <v>12</v>
      </c>
      <c r="F232" s="1555">
        <v>594.79</v>
      </c>
      <c r="G232" s="1480">
        <v>615.1</v>
      </c>
      <c r="H232" s="1414">
        <v>625.76</v>
      </c>
      <c r="I232" s="1477">
        <f t="shared" si="68"/>
        <v>7137.48</v>
      </c>
      <c r="J232" s="1477">
        <f t="shared" si="69"/>
        <v>7381.2</v>
      </c>
      <c r="K232" s="1477">
        <v>0</v>
      </c>
      <c r="L232" s="1477">
        <f t="shared" si="75"/>
        <v>0</v>
      </c>
      <c r="M232" s="1477">
        <v>12</v>
      </c>
      <c r="N232" s="1477">
        <f t="shared" si="76"/>
        <v>12</v>
      </c>
      <c r="O232" s="1477">
        <f t="shared" si="77"/>
        <v>0</v>
      </c>
      <c r="P232" s="1477">
        <f t="shared" si="78"/>
        <v>7381.2</v>
      </c>
      <c r="Q232" s="1477">
        <f t="shared" si="79"/>
        <v>7509.12</v>
      </c>
      <c r="R232" s="1576">
        <f t="shared" si="80"/>
        <v>7509.12</v>
      </c>
      <c r="S232" s="1869">
        <v>12</v>
      </c>
      <c r="T232" s="1866">
        <v>7509.12</v>
      </c>
      <c r="U232" s="2442"/>
      <c r="V232" s="1866">
        <f t="shared" si="83"/>
        <v>0</v>
      </c>
      <c r="W232" s="1869">
        <f>S232+U232</f>
        <v>12</v>
      </c>
      <c r="X232" s="1870">
        <f t="shared" si="81"/>
        <v>7509.12</v>
      </c>
      <c r="Y232" s="1871">
        <f t="shared" si="84"/>
        <v>1</v>
      </c>
      <c r="Z232" s="1694">
        <f>+E232-W232</f>
        <v>0</v>
      </c>
      <c r="AA232" s="1872">
        <f t="shared" si="85"/>
        <v>0</v>
      </c>
      <c r="AB232" s="1873">
        <f t="shared" si="86"/>
        <v>0</v>
      </c>
      <c r="AC232" s="1418">
        <f t="shared" si="70"/>
        <v>0</v>
      </c>
      <c r="AD232" s="1418">
        <f t="shared" si="71"/>
        <v>0</v>
      </c>
      <c r="AE232" s="1418">
        <v>7509.12</v>
      </c>
      <c r="AF232" s="1418">
        <f t="shared" si="72"/>
        <v>0</v>
      </c>
      <c r="AG232" s="1418">
        <v>625.76</v>
      </c>
      <c r="AH232" s="1418">
        <f t="shared" si="73"/>
        <v>0</v>
      </c>
      <c r="AI232" s="1428"/>
      <c r="AO232" s="2504">
        <v>7509.12</v>
      </c>
      <c r="AP232" s="1418">
        <f t="shared" si="82"/>
        <v>0</v>
      </c>
      <c r="AQ232" s="1418">
        <f t="shared" si="74"/>
        <v>0</v>
      </c>
    </row>
    <row r="233" spans="1:43" s="1410" customFormat="1" ht="15.75">
      <c r="A233" s="2102"/>
      <c r="B233" s="1268" t="s">
        <v>696</v>
      </c>
      <c r="C233" s="1241" t="s">
        <v>3022</v>
      </c>
      <c r="D233" s="1245" t="s">
        <v>36</v>
      </c>
      <c r="E233" s="1413">
        <v>38</v>
      </c>
      <c r="F233" s="1555">
        <v>39.58</v>
      </c>
      <c r="G233" s="1480">
        <v>41.39</v>
      </c>
      <c r="H233" s="1414">
        <v>42.33</v>
      </c>
      <c r="I233" s="1477">
        <f t="shared" si="68"/>
        <v>1504.04</v>
      </c>
      <c r="J233" s="1477">
        <f t="shared" si="69"/>
        <v>1572.82</v>
      </c>
      <c r="K233" s="1477">
        <v>0</v>
      </c>
      <c r="L233" s="1477">
        <f t="shared" si="75"/>
        <v>0</v>
      </c>
      <c r="M233" s="1477">
        <v>38</v>
      </c>
      <c r="N233" s="1477">
        <f t="shared" si="76"/>
        <v>38</v>
      </c>
      <c r="O233" s="1477">
        <f t="shared" si="77"/>
        <v>0</v>
      </c>
      <c r="P233" s="1477">
        <f t="shared" si="78"/>
        <v>1572.82</v>
      </c>
      <c r="Q233" s="1477">
        <f t="shared" si="79"/>
        <v>1608.54</v>
      </c>
      <c r="R233" s="1576">
        <f t="shared" si="80"/>
        <v>1608.54</v>
      </c>
      <c r="S233" s="1869">
        <v>38</v>
      </c>
      <c r="T233" s="1866">
        <v>1608.54</v>
      </c>
      <c r="U233" s="2442"/>
      <c r="V233" s="1866">
        <f t="shared" si="83"/>
        <v>0</v>
      </c>
      <c r="W233" s="1869">
        <f>S233+U233</f>
        <v>38</v>
      </c>
      <c r="X233" s="1870">
        <f t="shared" si="81"/>
        <v>1608.54</v>
      </c>
      <c r="Y233" s="1871">
        <f t="shared" si="84"/>
        <v>1</v>
      </c>
      <c r="Z233" s="1694">
        <f>+E233-W233</f>
        <v>0</v>
      </c>
      <c r="AA233" s="1872">
        <f t="shared" si="85"/>
        <v>0</v>
      </c>
      <c r="AB233" s="1873">
        <f t="shared" si="86"/>
        <v>0</v>
      </c>
      <c r="AC233" s="1418">
        <f t="shared" si="70"/>
        <v>0</v>
      </c>
      <c r="AD233" s="1418">
        <f t="shared" si="71"/>
        <v>0</v>
      </c>
      <c r="AE233" s="1418">
        <v>1608.54</v>
      </c>
      <c r="AF233" s="1418">
        <f t="shared" si="72"/>
        <v>0</v>
      </c>
      <c r="AG233" s="1418">
        <v>42.33</v>
      </c>
      <c r="AH233" s="1418">
        <f t="shared" si="73"/>
        <v>0</v>
      </c>
      <c r="AI233" s="1428"/>
      <c r="AO233" s="2504">
        <v>1608.54</v>
      </c>
      <c r="AP233" s="1418">
        <f t="shared" si="82"/>
        <v>0</v>
      </c>
      <c r="AQ233" s="1418">
        <f t="shared" si="74"/>
        <v>0</v>
      </c>
    </row>
    <row r="234" spans="1:43" s="1410" customFormat="1" ht="15.75">
      <c r="A234" s="2102"/>
      <c r="B234" s="1268" t="s">
        <v>697</v>
      </c>
      <c r="C234" s="1241" t="s">
        <v>3023</v>
      </c>
      <c r="D234" s="1245" t="s">
        <v>38</v>
      </c>
      <c r="E234" s="1413">
        <v>257.56</v>
      </c>
      <c r="F234" s="1555">
        <v>7.3</v>
      </c>
      <c r="G234" s="1480">
        <v>7.83</v>
      </c>
      <c r="H234" s="1414">
        <v>8.1199999999999992</v>
      </c>
      <c r="I234" s="1477">
        <f t="shared" si="68"/>
        <v>1880.19</v>
      </c>
      <c r="J234" s="1477">
        <f t="shared" si="69"/>
        <v>2016.69</v>
      </c>
      <c r="K234" s="1477">
        <v>0</v>
      </c>
      <c r="L234" s="1477">
        <f t="shared" si="75"/>
        <v>0</v>
      </c>
      <c r="M234" s="1477">
        <v>257.56</v>
      </c>
      <c r="N234" s="1477">
        <f t="shared" si="76"/>
        <v>257.56</v>
      </c>
      <c r="O234" s="1477">
        <f t="shared" si="77"/>
        <v>0</v>
      </c>
      <c r="P234" s="1477">
        <f t="shared" si="78"/>
        <v>2016.69</v>
      </c>
      <c r="Q234" s="1477">
        <f t="shared" si="79"/>
        <v>2091.39</v>
      </c>
      <c r="R234" s="1576">
        <f t="shared" si="80"/>
        <v>2091.39</v>
      </c>
      <c r="S234" s="1869">
        <v>257.56</v>
      </c>
      <c r="T234" s="1866">
        <v>2091.3871999999997</v>
      </c>
      <c r="U234" s="2442"/>
      <c r="V234" s="1866">
        <f t="shared" si="83"/>
        <v>0</v>
      </c>
      <c r="W234" s="1869">
        <f>S234+U234</f>
        <v>257.56</v>
      </c>
      <c r="X234" s="1870">
        <f t="shared" si="81"/>
        <v>2091.3871999999997</v>
      </c>
      <c r="Y234" s="1871">
        <f t="shared" si="84"/>
        <v>0.99999866117749425</v>
      </c>
      <c r="Z234" s="1694">
        <f>+E234-W234</f>
        <v>0</v>
      </c>
      <c r="AA234" s="1872">
        <f t="shared" si="85"/>
        <v>0</v>
      </c>
      <c r="AB234" s="1873">
        <f t="shared" si="86"/>
        <v>0</v>
      </c>
      <c r="AC234" s="1418">
        <f t="shared" si="70"/>
        <v>2.8000000002066372E-3</v>
      </c>
      <c r="AD234" s="1418">
        <f t="shared" si="71"/>
        <v>0</v>
      </c>
      <c r="AE234" s="1418">
        <v>2091.3871999999997</v>
      </c>
      <c r="AF234" s="1418">
        <f t="shared" si="72"/>
        <v>-2.8000000002066372E-3</v>
      </c>
      <c r="AG234" s="1418">
        <v>8.1199999999999992</v>
      </c>
      <c r="AH234" s="1418">
        <f t="shared" si="73"/>
        <v>0</v>
      </c>
      <c r="AI234" s="1428"/>
      <c r="AO234" s="2504">
        <v>2091.3871999999997</v>
      </c>
      <c r="AP234" s="1418">
        <f t="shared" si="82"/>
        <v>0</v>
      </c>
      <c r="AQ234" s="1418">
        <f t="shared" si="74"/>
        <v>-2.8000000002066372E-3</v>
      </c>
    </row>
    <row r="235" spans="1:43" s="1410" customFormat="1" ht="15.75">
      <c r="A235" s="2102"/>
      <c r="B235" s="1272" t="s">
        <v>700</v>
      </c>
      <c r="C235" s="1262" t="s">
        <v>3024</v>
      </c>
      <c r="D235" s="1273"/>
      <c r="E235" s="1415"/>
      <c r="F235" s="1267"/>
      <c r="G235" s="1480"/>
      <c r="H235" s="1416"/>
      <c r="I235" s="1477">
        <f t="shared" si="68"/>
        <v>0</v>
      </c>
      <c r="J235" s="1477">
        <f t="shared" si="69"/>
        <v>0</v>
      </c>
      <c r="K235" s="1477"/>
      <c r="L235" s="1477">
        <f t="shared" si="75"/>
        <v>0</v>
      </c>
      <c r="M235" s="1477"/>
      <c r="N235" s="1477">
        <f t="shared" si="76"/>
        <v>0</v>
      </c>
      <c r="O235" s="1477">
        <f t="shared" si="77"/>
        <v>0</v>
      </c>
      <c r="P235" s="1477">
        <f t="shared" si="78"/>
        <v>0</v>
      </c>
      <c r="Q235" s="1477">
        <f t="shared" si="79"/>
        <v>0</v>
      </c>
      <c r="R235" s="1576">
        <f t="shared" si="80"/>
        <v>0</v>
      </c>
      <c r="S235" s="1869"/>
      <c r="T235" s="1866"/>
      <c r="U235" s="2442"/>
      <c r="V235" s="1866">
        <f t="shared" si="83"/>
        <v>0</v>
      </c>
      <c r="W235" s="1869"/>
      <c r="X235" s="1870"/>
      <c r="Y235" s="1871" t="str">
        <f t="shared" si="84"/>
        <v/>
      </c>
      <c r="Z235" s="1694"/>
      <c r="AA235" s="1872">
        <f t="shared" si="85"/>
        <v>0</v>
      </c>
      <c r="AB235" s="1873" t="str">
        <f t="shared" si="86"/>
        <v/>
      </c>
      <c r="AC235" s="1418">
        <f t="shared" si="70"/>
        <v>0</v>
      </c>
      <c r="AD235" s="1418">
        <f t="shared" si="71"/>
        <v>0</v>
      </c>
      <c r="AE235" s="1418"/>
      <c r="AF235" s="1418">
        <f t="shared" si="72"/>
        <v>0</v>
      </c>
      <c r="AG235" s="1418"/>
      <c r="AH235" s="1418">
        <f t="shared" si="73"/>
        <v>0</v>
      </c>
      <c r="AI235" s="1428"/>
      <c r="AO235" s="2504"/>
      <c r="AP235" s="1418">
        <f t="shared" si="82"/>
        <v>0</v>
      </c>
      <c r="AQ235" s="1418">
        <f t="shared" si="74"/>
        <v>0</v>
      </c>
    </row>
    <row r="236" spans="1:43" s="1410" customFormat="1" ht="15.75">
      <c r="A236" s="2102"/>
      <c r="B236" s="1268" t="s">
        <v>701</v>
      </c>
      <c r="C236" s="1241" t="s">
        <v>3025</v>
      </c>
      <c r="D236" s="1245" t="s">
        <v>36</v>
      </c>
      <c r="E236" s="1413">
        <v>15</v>
      </c>
      <c r="F236" s="1555">
        <v>1760.58</v>
      </c>
      <c r="G236" s="1480">
        <v>1813.38</v>
      </c>
      <c r="H236" s="1414">
        <v>1841.01</v>
      </c>
      <c r="I236" s="1477">
        <f t="shared" si="68"/>
        <v>26408.7</v>
      </c>
      <c r="J236" s="1477">
        <f t="shared" si="69"/>
        <v>27200.7</v>
      </c>
      <c r="K236" s="1477">
        <v>0</v>
      </c>
      <c r="L236" s="1477">
        <f t="shared" si="75"/>
        <v>0</v>
      </c>
      <c r="M236" s="1477">
        <v>15</v>
      </c>
      <c r="N236" s="1477">
        <f t="shared" si="76"/>
        <v>15</v>
      </c>
      <c r="O236" s="1477">
        <f t="shared" si="77"/>
        <v>0</v>
      </c>
      <c r="P236" s="1477">
        <f t="shared" si="78"/>
        <v>27200.7</v>
      </c>
      <c r="Q236" s="1477">
        <f t="shared" si="79"/>
        <v>27615.15</v>
      </c>
      <c r="R236" s="1576">
        <f t="shared" si="80"/>
        <v>27615.15</v>
      </c>
      <c r="S236" s="1869">
        <v>15</v>
      </c>
      <c r="T236" s="1866">
        <v>27615.15</v>
      </c>
      <c r="U236" s="2442"/>
      <c r="V236" s="1866">
        <f t="shared" si="83"/>
        <v>0</v>
      </c>
      <c r="W236" s="1869">
        <f t="shared" ref="W236:W243" si="87">S236+U236</f>
        <v>15</v>
      </c>
      <c r="X236" s="1870">
        <f t="shared" si="81"/>
        <v>27615.15</v>
      </c>
      <c r="Y236" s="1871">
        <f t="shared" si="84"/>
        <v>1</v>
      </c>
      <c r="Z236" s="1694">
        <f t="shared" ref="Z236:Z243" si="88">+E236-W236</f>
        <v>0</v>
      </c>
      <c r="AA236" s="1872">
        <f t="shared" si="85"/>
        <v>0</v>
      </c>
      <c r="AB236" s="1873">
        <f t="shared" si="86"/>
        <v>0</v>
      </c>
      <c r="AC236" s="1418">
        <f t="shared" si="70"/>
        <v>0</v>
      </c>
      <c r="AD236" s="1418">
        <f t="shared" si="71"/>
        <v>0</v>
      </c>
      <c r="AE236" s="1418">
        <v>27615.15</v>
      </c>
      <c r="AF236" s="1418">
        <f t="shared" si="72"/>
        <v>0</v>
      </c>
      <c r="AG236" s="1418">
        <v>1841.01</v>
      </c>
      <c r="AH236" s="1418">
        <f t="shared" si="73"/>
        <v>0</v>
      </c>
      <c r="AI236" s="1428"/>
      <c r="AO236" s="2504">
        <v>27615.15</v>
      </c>
      <c r="AP236" s="1418">
        <f t="shared" si="82"/>
        <v>0</v>
      </c>
      <c r="AQ236" s="1418">
        <f t="shared" si="74"/>
        <v>0</v>
      </c>
    </row>
    <row r="237" spans="1:43" s="1410" customFormat="1" ht="15.75">
      <c r="A237" s="2102"/>
      <c r="B237" s="1268" t="s">
        <v>702</v>
      </c>
      <c r="C237" s="1241" t="s">
        <v>3026</v>
      </c>
      <c r="D237" s="1245" t="s">
        <v>36</v>
      </c>
      <c r="E237" s="1413">
        <v>6</v>
      </c>
      <c r="F237" s="1555">
        <v>1353.68</v>
      </c>
      <c r="G237" s="1480">
        <v>1406.48</v>
      </c>
      <c r="H237" s="1414">
        <v>1434.11</v>
      </c>
      <c r="I237" s="1477">
        <f t="shared" si="68"/>
        <v>8122.08</v>
      </c>
      <c r="J237" s="1477">
        <f t="shared" si="69"/>
        <v>8438.8799999999992</v>
      </c>
      <c r="K237" s="1477">
        <v>0</v>
      </c>
      <c r="L237" s="1477">
        <f t="shared" si="75"/>
        <v>0</v>
      </c>
      <c r="M237" s="1477">
        <v>6</v>
      </c>
      <c r="N237" s="1477">
        <f t="shared" si="76"/>
        <v>6</v>
      </c>
      <c r="O237" s="1477">
        <f t="shared" si="77"/>
        <v>0</v>
      </c>
      <c r="P237" s="1477">
        <f t="shared" si="78"/>
        <v>8438.8799999999992</v>
      </c>
      <c r="Q237" s="1477">
        <f t="shared" si="79"/>
        <v>8604.66</v>
      </c>
      <c r="R237" s="1576">
        <f t="shared" si="80"/>
        <v>8604.66</v>
      </c>
      <c r="S237" s="1869">
        <v>6</v>
      </c>
      <c r="T237" s="1866">
        <v>8604.66</v>
      </c>
      <c r="U237" s="2442"/>
      <c r="V237" s="1866">
        <f t="shared" si="83"/>
        <v>0</v>
      </c>
      <c r="W237" s="1869">
        <f t="shared" si="87"/>
        <v>6</v>
      </c>
      <c r="X237" s="1870">
        <f t="shared" si="81"/>
        <v>8604.66</v>
      </c>
      <c r="Y237" s="1871">
        <f t="shared" si="84"/>
        <v>1</v>
      </c>
      <c r="Z237" s="1694">
        <f t="shared" si="88"/>
        <v>0</v>
      </c>
      <c r="AA237" s="1872">
        <f t="shared" si="85"/>
        <v>0</v>
      </c>
      <c r="AB237" s="1873">
        <f t="shared" si="86"/>
        <v>0</v>
      </c>
      <c r="AC237" s="1418">
        <f t="shared" si="70"/>
        <v>0</v>
      </c>
      <c r="AD237" s="1418">
        <f t="shared" si="71"/>
        <v>0</v>
      </c>
      <c r="AE237" s="1418">
        <v>8604.66</v>
      </c>
      <c r="AF237" s="1418">
        <f t="shared" si="72"/>
        <v>0</v>
      </c>
      <c r="AG237" s="1418">
        <v>1434.11</v>
      </c>
      <c r="AH237" s="1418">
        <f t="shared" si="73"/>
        <v>0</v>
      </c>
      <c r="AI237" s="1428"/>
      <c r="AO237" s="2504">
        <v>8604.66</v>
      </c>
      <c r="AP237" s="1418">
        <f t="shared" si="82"/>
        <v>0</v>
      </c>
      <c r="AQ237" s="1418">
        <f t="shared" si="74"/>
        <v>0</v>
      </c>
    </row>
    <row r="238" spans="1:43" s="1410" customFormat="1" ht="15.75">
      <c r="A238" s="2102"/>
      <c r="B238" s="1268" t="s">
        <v>703</v>
      </c>
      <c r="C238" s="1241" t="s">
        <v>3027</v>
      </c>
      <c r="D238" s="1245" t="s">
        <v>36</v>
      </c>
      <c r="E238" s="1413">
        <v>49</v>
      </c>
      <c r="F238" s="1555">
        <v>1150.3900000000001</v>
      </c>
      <c r="G238" s="1480">
        <v>1203.19</v>
      </c>
      <c r="H238" s="1414">
        <v>1230.82</v>
      </c>
      <c r="I238" s="1477">
        <f t="shared" si="68"/>
        <v>56369.11</v>
      </c>
      <c r="J238" s="1477">
        <f t="shared" si="69"/>
        <v>58956.31</v>
      </c>
      <c r="K238" s="1477">
        <v>0</v>
      </c>
      <c r="L238" s="1477">
        <f t="shared" si="75"/>
        <v>0</v>
      </c>
      <c r="M238" s="1477">
        <v>49</v>
      </c>
      <c r="N238" s="1477">
        <f t="shared" si="76"/>
        <v>49</v>
      </c>
      <c r="O238" s="1477">
        <f t="shared" si="77"/>
        <v>0</v>
      </c>
      <c r="P238" s="1477">
        <f t="shared" si="78"/>
        <v>58956.31</v>
      </c>
      <c r="Q238" s="1477">
        <f t="shared" si="79"/>
        <v>60310.18</v>
      </c>
      <c r="R238" s="1576">
        <f t="shared" si="80"/>
        <v>60310.18</v>
      </c>
      <c r="S238" s="1869">
        <v>49</v>
      </c>
      <c r="T238" s="1866">
        <v>60310.18</v>
      </c>
      <c r="U238" s="2442"/>
      <c r="V238" s="1866">
        <f t="shared" si="83"/>
        <v>0</v>
      </c>
      <c r="W238" s="1869">
        <f t="shared" si="87"/>
        <v>49</v>
      </c>
      <c r="X238" s="1870">
        <f t="shared" si="81"/>
        <v>60310.18</v>
      </c>
      <c r="Y238" s="1871">
        <f t="shared" si="84"/>
        <v>1</v>
      </c>
      <c r="Z238" s="1694">
        <f t="shared" si="88"/>
        <v>0</v>
      </c>
      <c r="AA238" s="1872">
        <f t="shared" si="85"/>
        <v>0</v>
      </c>
      <c r="AB238" s="1873">
        <f t="shared" si="86"/>
        <v>0</v>
      </c>
      <c r="AC238" s="1418">
        <f t="shared" si="70"/>
        <v>0</v>
      </c>
      <c r="AD238" s="1418">
        <f t="shared" si="71"/>
        <v>0</v>
      </c>
      <c r="AE238" s="1418">
        <v>60310.18</v>
      </c>
      <c r="AF238" s="1418">
        <f t="shared" si="72"/>
        <v>0</v>
      </c>
      <c r="AG238" s="1418">
        <v>1230.82</v>
      </c>
      <c r="AH238" s="1418">
        <f t="shared" si="73"/>
        <v>0</v>
      </c>
      <c r="AI238" s="1428"/>
      <c r="AO238" s="2504">
        <v>60310.18</v>
      </c>
      <c r="AP238" s="1418">
        <f t="shared" si="82"/>
        <v>0</v>
      </c>
      <c r="AQ238" s="1418">
        <f t="shared" si="74"/>
        <v>0</v>
      </c>
    </row>
    <row r="239" spans="1:43" s="1410" customFormat="1" ht="15.75">
      <c r="A239" s="2102"/>
      <c r="B239" s="1268" t="s">
        <v>704</v>
      </c>
      <c r="C239" s="1241" t="s">
        <v>3028</v>
      </c>
      <c r="D239" s="1245" t="s">
        <v>36</v>
      </c>
      <c r="E239" s="1413">
        <v>14</v>
      </c>
      <c r="F239" s="1555">
        <v>2100.7199999999998</v>
      </c>
      <c r="G239" s="1480">
        <v>2153.52</v>
      </c>
      <c r="H239" s="1414">
        <v>2181.15</v>
      </c>
      <c r="I239" s="1477">
        <f t="shared" si="68"/>
        <v>29410.080000000002</v>
      </c>
      <c r="J239" s="1477">
        <f t="shared" si="69"/>
        <v>30149.279999999999</v>
      </c>
      <c r="K239" s="1477">
        <v>0</v>
      </c>
      <c r="L239" s="1477">
        <f t="shared" si="75"/>
        <v>0</v>
      </c>
      <c r="M239" s="1477">
        <v>14</v>
      </c>
      <c r="N239" s="1477">
        <f t="shared" si="76"/>
        <v>14</v>
      </c>
      <c r="O239" s="1477">
        <f t="shared" si="77"/>
        <v>0</v>
      </c>
      <c r="P239" s="1477">
        <f t="shared" si="78"/>
        <v>30149.279999999999</v>
      </c>
      <c r="Q239" s="1477">
        <f t="shared" si="79"/>
        <v>30536.1</v>
      </c>
      <c r="R239" s="1576">
        <f t="shared" si="80"/>
        <v>30536.1</v>
      </c>
      <c r="S239" s="1869">
        <v>14</v>
      </c>
      <c r="T239" s="1866">
        <v>30536.100000000002</v>
      </c>
      <c r="U239" s="2442"/>
      <c r="V239" s="1866">
        <f t="shared" si="83"/>
        <v>0</v>
      </c>
      <c r="W239" s="1869">
        <f t="shared" si="87"/>
        <v>14</v>
      </c>
      <c r="X239" s="1870">
        <f t="shared" si="81"/>
        <v>30536.100000000002</v>
      </c>
      <c r="Y239" s="1871">
        <f t="shared" si="84"/>
        <v>1.0000000000000002</v>
      </c>
      <c r="Z239" s="1694">
        <f t="shared" si="88"/>
        <v>0</v>
      </c>
      <c r="AA239" s="1872">
        <f t="shared" si="85"/>
        <v>0</v>
      </c>
      <c r="AB239" s="1873">
        <f t="shared" si="86"/>
        <v>0</v>
      </c>
      <c r="AC239" s="1418">
        <f t="shared" si="70"/>
        <v>-3.637978807091713E-12</v>
      </c>
      <c r="AD239" s="1418">
        <f t="shared" si="71"/>
        <v>0</v>
      </c>
      <c r="AE239" s="1418">
        <v>30536.100000000002</v>
      </c>
      <c r="AF239" s="1418">
        <f t="shared" si="72"/>
        <v>0</v>
      </c>
      <c r="AG239" s="1418">
        <v>2181.15</v>
      </c>
      <c r="AH239" s="1418">
        <f t="shared" si="73"/>
        <v>0</v>
      </c>
      <c r="AI239" s="1428"/>
      <c r="AO239" s="2504">
        <v>30536.100000000002</v>
      </c>
      <c r="AP239" s="1418">
        <f t="shared" si="82"/>
        <v>0</v>
      </c>
      <c r="AQ239" s="1418">
        <f t="shared" si="74"/>
        <v>0</v>
      </c>
    </row>
    <row r="240" spans="1:43" s="1410" customFormat="1" ht="15.75">
      <c r="A240" s="2102"/>
      <c r="B240" s="1268" t="s">
        <v>705</v>
      </c>
      <c r="C240" s="1241" t="s">
        <v>3029</v>
      </c>
      <c r="D240" s="1245" t="s">
        <v>36</v>
      </c>
      <c r="E240" s="1413">
        <v>7</v>
      </c>
      <c r="F240" s="1555">
        <v>1360.78</v>
      </c>
      <c r="G240" s="1480">
        <v>1413.58</v>
      </c>
      <c r="H240" s="1414">
        <v>1441.21</v>
      </c>
      <c r="I240" s="1477">
        <f t="shared" si="68"/>
        <v>9525.4599999999991</v>
      </c>
      <c r="J240" s="1477">
        <f t="shared" si="69"/>
        <v>9895.06</v>
      </c>
      <c r="K240" s="1477">
        <v>0</v>
      </c>
      <c r="L240" s="1477">
        <f t="shared" si="75"/>
        <v>0</v>
      </c>
      <c r="M240" s="1477">
        <v>7</v>
      </c>
      <c r="N240" s="1477">
        <f t="shared" si="76"/>
        <v>7</v>
      </c>
      <c r="O240" s="1477">
        <f t="shared" si="77"/>
        <v>0</v>
      </c>
      <c r="P240" s="1477">
        <f t="shared" si="78"/>
        <v>9895.06</v>
      </c>
      <c r="Q240" s="1477">
        <f t="shared" si="79"/>
        <v>10088.469999999999</v>
      </c>
      <c r="R240" s="1576">
        <f t="shared" si="80"/>
        <v>10088.469999999999</v>
      </c>
      <c r="S240" s="1869">
        <v>7</v>
      </c>
      <c r="T240" s="1866">
        <v>10088.470000000001</v>
      </c>
      <c r="U240" s="2442"/>
      <c r="V240" s="1866">
        <f t="shared" si="83"/>
        <v>0</v>
      </c>
      <c r="W240" s="1869">
        <f t="shared" si="87"/>
        <v>7</v>
      </c>
      <c r="X240" s="1870">
        <f t="shared" si="81"/>
        <v>10088.470000000001</v>
      </c>
      <c r="Y240" s="1871">
        <f t="shared" si="84"/>
        <v>1.0000000000000002</v>
      </c>
      <c r="Z240" s="1694">
        <f t="shared" si="88"/>
        <v>0</v>
      </c>
      <c r="AA240" s="1872">
        <f t="shared" si="85"/>
        <v>0</v>
      </c>
      <c r="AB240" s="1873">
        <f t="shared" si="86"/>
        <v>0</v>
      </c>
      <c r="AC240" s="1418">
        <f t="shared" si="70"/>
        <v>-1.8189894035458565E-12</v>
      </c>
      <c r="AD240" s="1418">
        <f t="shared" si="71"/>
        <v>0</v>
      </c>
      <c r="AE240" s="1418">
        <v>10088.470000000001</v>
      </c>
      <c r="AF240" s="1418">
        <f t="shared" si="72"/>
        <v>0</v>
      </c>
      <c r="AG240" s="1418">
        <v>1441.21</v>
      </c>
      <c r="AH240" s="1418">
        <f t="shared" si="73"/>
        <v>0</v>
      </c>
      <c r="AI240" s="1428"/>
      <c r="AO240" s="2504">
        <v>10088.470000000001</v>
      </c>
      <c r="AP240" s="1418">
        <f t="shared" si="82"/>
        <v>0</v>
      </c>
      <c r="AQ240" s="1418">
        <f t="shared" si="74"/>
        <v>0</v>
      </c>
    </row>
    <row r="241" spans="1:43" s="1410" customFormat="1" ht="15.75">
      <c r="A241" s="2102"/>
      <c r="B241" s="1268" t="s">
        <v>706</v>
      </c>
      <c r="C241" s="1241" t="s">
        <v>3030</v>
      </c>
      <c r="D241" s="1245" t="s">
        <v>36</v>
      </c>
      <c r="E241" s="1413">
        <v>276.5</v>
      </c>
      <c r="F241" s="1555">
        <v>37.71</v>
      </c>
      <c r="G241" s="1480">
        <v>39.520000000000003</v>
      </c>
      <c r="H241" s="1414">
        <v>40.46</v>
      </c>
      <c r="I241" s="1477">
        <f t="shared" si="68"/>
        <v>10426.82</v>
      </c>
      <c r="J241" s="1477">
        <f t="shared" si="69"/>
        <v>10927.28</v>
      </c>
      <c r="K241" s="1477">
        <v>0</v>
      </c>
      <c r="L241" s="1477">
        <f t="shared" si="75"/>
        <v>0</v>
      </c>
      <c r="M241" s="1477">
        <v>276.5</v>
      </c>
      <c r="N241" s="1477">
        <f t="shared" si="76"/>
        <v>276.5</v>
      </c>
      <c r="O241" s="1477">
        <f t="shared" si="77"/>
        <v>0</v>
      </c>
      <c r="P241" s="1477">
        <f t="shared" si="78"/>
        <v>10927.28</v>
      </c>
      <c r="Q241" s="1477">
        <f t="shared" si="79"/>
        <v>11187.19</v>
      </c>
      <c r="R241" s="1576">
        <f t="shared" si="80"/>
        <v>11187.19</v>
      </c>
      <c r="S241" s="1869">
        <v>276.5</v>
      </c>
      <c r="T241" s="1866">
        <v>11187.19</v>
      </c>
      <c r="U241" s="2442"/>
      <c r="V241" s="1866">
        <f t="shared" si="83"/>
        <v>0</v>
      </c>
      <c r="W241" s="1869">
        <f t="shared" si="87"/>
        <v>276.5</v>
      </c>
      <c r="X241" s="1870">
        <f t="shared" si="81"/>
        <v>11187.19</v>
      </c>
      <c r="Y241" s="1871">
        <f t="shared" si="84"/>
        <v>1</v>
      </c>
      <c r="Z241" s="1694">
        <f t="shared" si="88"/>
        <v>0</v>
      </c>
      <c r="AA241" s="1872">
        <f t="shared" si="85"/>
        <v>0</v>
      </c>
      <c r="AB241" s="1873">
        <f t="shared" si="86"/>
        <v>0</v>
      </c>
      <c r="AC241" s="1418">
        <f t="shared" si="70"/>
        <v>0</v>
      </c>
      <c r="AD241" s="1418">
        <f t="shared" si="71"/>
        <v>0</v>
      </c>
      <c r="AE241" s="1418">
        <v>11187.19</v>
      </c>
      <c r="AF241" s="1418">
        <f t="shared" si="72"/>
        <v>0</v>
      </c>
      <c r="AG241" s="1418">
        <v>40.46</v>
      </c>
      <c r="AH241" s="1418">
        <f t="shared" si="73"/>
        <v>0</v>
      </c>
      <c r="AI241" s="1428"/>
      <c r="AO241" s="2504">
        <v>11187.19</v>
      </c>
      <c r="AP241" s="1418">
        <f t="shared" si="82"/>
        <v>0</v>
      </c>
      <c r="AQ241" s="1418">
        <f t="shared" si="74"/>
        <v>0</v>
      </c>
    </row>
    <row r="242" spans="1:43" s="1410" customFormat="1" ht="15.75">
      <c r="A242" s="2102"/>
      <c r="B242" s="1268" t="s">
        <v>2395</v>
      </c>
      <c r="C242" s="1241" t="s">
        <v>3031</v>
      </c>
      <c r="D242" s="1245" t="s">
        <v>36</v>
      </c>
      <c r="E242" s="1413">
        <v>56</v>
      </c>
      <c r="F242" s="1555">
        <v>39.58</v>
      </c>
      <c r="G242" s="1480">
        <v>41.39</v>
      </c>
      <c r="H242" s="1414">
        <v>42.33</v>
      </c>
      <c r="I242" s="1477">
        <f t="shared" si="68"/>
        <v>2216.48</v>
      </c>
      <c r="J242" s="1477">
        <f t="shared" si="69"/>
        <v>2317.84</v>
      </c>
      <c r="K242" s="1477">
        <v>0</v>
      </c>
      <c r="L242" s="1477">
        <f t="shared" si="75"/>
        <v>0</v>
      </c>
      <c r="M242" s="1477">
        <v>56</v>
      </c>
      <c r="N242" s="1477">
        <f t="shared" si="76"/>
        <v>56</v>
      </c>
      <c r="O242" s="1477">
        <f t="shared" si="77"/>
        <v>0</v>
      </c>
      <c r="P242" s="1477">
        <f t="shared" si="78"/>
        <v>2317.84</v>
      </c>
      <c r="Q242" s="1477">
        <f t="shared" si="79"/>
        <v>2370.48</v>
      </c>
      <c r="R242" s="1576">
        <f t="shared" si="80"/>
        <v>2370.48</v>
      </c>
      <c r="S242" s="1869">
        <v>56</v>
      </c>
      <c r="T242" s="1866">
        <v>2370.48</v>
      </c>
      <c r="U242" s="2442"/>
      <c r="V242" s="1866">
        <f t="shared" si="83"/>
        <v>0</v>
      </c>
      <c r="W242" s="1869">
        <f t="shared" si="87"/>
        <v>56</v>
      </c>
      <c r="X242" s="1870">
        <f t="shared" si="81"/>
        <v>2370.48</v>
      </c>
      <c r="Y242" s="1871">
        <f t="shared" si="84"/>
        <v>1</v>
      </c>
      <c r="Z242" s="1694">
        <f t="shared" si="88"/>
        <v>0</v>
      </c>
      <c r="AA242" s="1872">
        <f t="shared" si="85"/>
        <v>0</v>
      </c>
      <c r="AB242" s="1873">
        <f t="shared" si="86"/>
        <v>0</v>
      </c>
      <c r="AC242" s="1418">
        <f t="shared" si="70"/>
        <v>0</v>
      </c>
      <c r="AD242" s="1418">
        <f t="shared" si="71"/>
        <v>0</v>
      </c>
      <c r="AE242" s="1418">
        <v>2370.48</v>
      </c>
      <c r="AF242" s="1418">
        <f t="shared" si="72"/>
        <v>0</v>
      </c>
      <c r="AG242" s="1418">
        <v>42.33</v>
      </c>
      <c r="AH242" s="1418">
        <f t="shared" si="73"/>
        <v>0</v>
      </c>
      <c r="AI242" s="1428"/>
      <c r="AO242" s="2504">
        <v>2370.48</v>
      </c>
      <c r="AP242" s="1418">
        <f t="shared" si="82"/>
        <v>0</v>
      </c>
      <c r="AQ242" s="1418">
        <f t="shared" si="74"/>
        <v>0</v>
      </c>
    </row>
    <row r="243" spans="1:43" s="1410" customFormat="1" ht="15.75">
      <c r="A243" s="2102"/>
      <c r="B243" s="1268" t="s">
        <v>2396</v>
      </c>
      <c r="C243" s="1241" t="s">
        <v>3032</v>
      </c>
      <c r="D243" s="1245" t="s">
        <v>38</v>
      </c>
      <c r="E243" s="1413">
        <v>1217.7</v>
      </c>
      <c r="F243" s="1555">
        <v>7.3</v>
      </c>
      <c r="G243" s="1480">
        <v>7.83</v>
      </c>
      <c r="H243" s="1414">
        <v>8.1199999999999992</v>
      </c>
      <c r="I243" s="1477">
        <f t="shared" si="68"/>
        <v>8889.2099999999991</v>
      </c>
      <c r="J243" s="1477">
        <f t="shared" si="69"/>
        <v>9534.59</v>
      </c>
      <c r="K243" s="1477">
        <v>0</v>
      </c>
      <c r="L243" s="1477">
        <f t="shared" si="75"/>
        <v>0</v>
      </c>
      <c r="M243" s="1477">
        <v>1217.7</v>
      </c>
      <c r="N243" s="1477">
        <f t="shared" si="76"/>
        <v>1217.7</v>
      </c>
      <c r="O243" s="1477">
        <f t="shared" si="77"/>
        <v>0</v>
      </c>
      <c r="P243" s="1477">
        <f t="shared" si="78"/>
        <v>9534.59</v>
      </c>
      <c r="Q243" s="1477">
        <f t="shared" si="79"/>
        <v>9887.7199999999993</v>
      </c>
      <c r="R243" s="1576">
        <f t="shared" si="80"/>
        <v>9887.7199999999993</v>
      </c>
      <c r="S243" s="1869">
        <v>1217.7</v>
      </c>
      <c r="T243" s="1866">
        <v>9887.7240000000002</v>
      </c>
      <c r="U243" s="2442"/>
      <c r="V243" s="1866">
        <f t="shared" si="83"/>
        <v>0</v>
      </c>
      <c r="W243" s="1869">
        <f t="shared" si="87"/>
        <v>1217.7</v>
      </c>
      <c r="X243" s="1870">
        <f t="shared" si="81"/>
        <v>9887.7240000000002</v>
      </c>
      <c r="Y243" s="1871">
        <f t="shared" si="84"/>
        <v>1.0000004045422</v>
      </c>
      <c r="Z243" s="1694">
        <f t="shared" si="88"/>
        <v>0</v>
      </c>
      <c r="AA243" s="1872">
        <f t="shared" si="85"/>
        <v>0</v>
      </c>
      <c r="AB243" s="1873">
        <f t="shared" si="86"/>
        <v>0</v>
      </c>
      <c r="AC243" s="1418">
        <f t="shared" si="70"/>
        <v>-4.0000000008149073E-3</v>
      </c>
      <c r="AD243" s="1418">
        <f t="shared" si="71"/>
        <v>0</v>
      </c>
      <c r="AE243" s="1418">
        <v>9887.7240000000002</v>
      </c>
      <c r="AF243" s="1418">
        <f t="shared" si="72"/>
        <v>4.0000000008149073E-3</v>
      </c>
      <c r="AG243" s="1418">
        <v>8.1199999999999992</v>
      </c>
      <c r="AH243" s="1418">
        <f t="shared" si="73"/>
        <v>0</v>
      </c>
      <c r="AI243" s="1428"/>
      <c r="AO243" s="2504">
        <v>9887.7240000000002</v>
      </c>
      <c r="AP243" s="1418">
        <f t="shared" si="82"/>
        <v>0</v>
      </c>
      <c r="AQ243" s="1418">
        <f t="shared" si="74"/>
        <v>4.0000000008149073E-3</v>
      </c>
    </row>
    <row r="244" spans="1:43" s="1410" customFormat="1" ht="15.75">
      <c r="A244" s="2102"/>
      <c r="B244" s="1272" t="s">
        <v>707</v>
      </c>
      <c r="C244" s="1262" t="s">
        <v>3033</v>
      </c>
      <c r="D244" s="1273"/>
      <c r="E244" s="1415"/>
      <c r="F244" s="1267"/>
      <c r="G244" s="1480"/>
      <c r="H244" s="1416"/>
      <c r="I244" s="1477">
        <f t="shared" si="68"/>
        <v>0</v>
      </c>
      <c r="J244" s="1477">
        <f t="shared" si="69"/>
        <v>0</v>
      </c>
      <c r="K244" s="1477"/>
      <c r="L244" s="1477">
        <f t="shared" si="75"/>
        <v>0</v>
      </c>
      <c r="M244" s="1477"/>
      <c r="N244" s="1477">
        <f t="shared" si="76"/>
        <v>0</v>
      </c>
      <c r="O244" s="1477">
        <f t="shared" si="77"/>
        <v>0</v>
      </c>
      <c r="P244" s="1477">
        <f t="shared" si="78"/>
        <v>0</v>
      </c>
      <c r="Q244" s="1477">
        <f t="shared" si="79"/>
        <v>0</v>
      </c>
      <c r="R244" s="1576">
        <f t="shared" si="80"/>
        <v>0</v>
      </c>
      <c r="S244" s="1869"/>
      <c r="T244" s="1866"/>
      <c r="U244" s="2442"/>
      <c r="V244" s="1866">
        <f t="shared" si="83"/>
        <v>0</v>
      </c>
      <c r="W244" s="1869"/>
      <c r="X244" s="1870"/>
      <c r="Y244" s="1871" t="str">
        <f t="shared" si="84"/>
        <v/>
      </c>
      <c r="Z244" s="1694"/>
      <c r="AA244" s="1872">
        <f t="shared" si="85"/>
        <v>0</v>
      </c>
      <c r="AB244" s="1873" t="str">
        <f t="shared" si="86"/>
        <v/>
      </c>
      <c r="AC244" s="1418">
        <f t="shared" si="70"/>
        <v>0</v>
      </c>
      <c r="AD244" s="1418">
        <f t="shared" si="71"/>
        <v>0</v>
      </c>
      <c r="AE244" s="1418"/>
      <c r="AF244" s="1418">
        <f t="shared" si="72"/>
        <v>0</v>
      </c>
      <c r="AG244" s="1418"/>
      <c r="AH244" s="1418">
        <f t="shared" si="73"/>
        <v>0</v>
      </c>
      <c r="AI244" s="1428"/>
      <c r="AO244" s="2504"/>
      <c r="AP244" s="1418">
        <f t="shared" si="82"/>
        <v>0</v>
      </c>
      <c r="AQ244" s="1418">
        <f t="shared" si="74"/>
        <v>0</v>
      </c>
    </row>
    <row r="245" spans="1:43" s="1410" customFormat="1" ht="15.75">
      <c r="A245" s="2102"/>
      <c r="B245" s="1268" t="s">
        <v>708</v>
      </c>
      <c r="C245" s="1241" t="s">
        <v>3034</v>
      </c>
      <c r="D245" s="1245" t="s">
        <v>36</v>
      </c>
      <c r="E245" s="1413">
        <v>20</v>
      </c>
      <c r="F245" s="1555">
        <v>1256.3</v>
      </c>
      <c r="G245" s="1480">
        <v>1265.68</v>
      </c>
      <c r="H245" s="1414">
        <v>1270.7</v>
      </c>
      <c r="I245" s="1477">
        <f t="shared" si="68"/>
        <v>25126</v>
      </c>
      <c r="J245" s="1477">
        <f t="shared" si="69"/>
        <v>25313.599999999999</v>
      </c>
      <c r="K245" s="1477">
        <v>0</v>
      </c>
      <c r="L245" s="1477">
        <f t="shared" si="75"/>
        <v>0</v>
      </c>
      <c r="M245" s="1477">
        <v>20</v>
      </c>
      <c r="N245" s="1477">
        <f t="shared" si="76"/>
        <v>20</v>
      </c>
      <c r="O245" s="1477">
        <f t="shared" si="77"/>
        <v>0</v>
      </c>
      <c r="P245" s="1477">
        <f t="shared" si="78"/>
        <v>25313.599999999999</v>
      </c>
      <c r="Q245" s="1477">
        <f t="shared" si="79"/>
        <v>25414</v>
      </c>
      <c r="R245" s="1576">
        <f t="shared" si="80"/>
        <v>25414</v>
      </c>
      <c r="S245" s="1869">
        <v>0</v>
      </c>
      <c r="T245" s="1866">
        <v>0</v>
      </c>
      <c r="U245" s="2442"/>
      <c r="V245" s="1866">
        <f t="shared" si="83"/>
        <v>0</v>
      </c>
      <c r="W245" s="1869">
        <f t="shared" ref="W245:W254" si="89">S245+U245</f>
        <v>0</v>
      </c>
      <c r="X245" s="1870">
        <f t="shared" si="81"/>
        <v>0</v>
      </c>
      <c r="Y245" s="1871">
        <f t="shared" si="84"/>
        <v>0</v>
      </c>
      <c r="Z245" s="1694">
        <f t="shared" ref="Z245:Z254" si="90">+E245-W245</f>
        <v>20</v>
      </c>
      <c r="AA245" s="1872">
        <f t="shared" si="85"/>
        <v>25414</v>
      </c>
      <c r="AB245" s="1873">
        <f t="shared" si="86"/>
        <v>1</v>
      </c>
      <c r="AC245" s="1418">
        <f t="shared" si="70"/>
        <v>0</v>
      </c>
      <c r="AD245" s="1418">
        <f t="shared" si="71"/>
        <v>0</v>
      </c>
      <c r="AE245" s="1418">
        <v>25414</v>
      </c>
      <c r="AF245" s="1418">
        <f t="shared" si="72"/>
        <v>0</v>
      </c>
      <c r="AG245" s="1418">
        <v>1270.7</v>
      </c>
      <c r="AH245" s="1418">
        <f t="shared" si="73"/>
        <v>0</v>
      </c>
      <c r="AI245" s="1428"/>
      <c r="AO245" s="2504">
        <v>0</v>
      </c>
      <c r="AP245" s="1418">
        <f t="shared" si="82"/>
        <v>0</v>
      </c>
      <c r="AQ245" s="1418">
        <f t="shared" si="74"/>
        <v>0</v>
      </c>
    </row>
    <row r="246" spans="1:43" s="1410" customFormat="1" ht="15.75">
      <c r="A246" s="2102"/>
      <c r="B246" s="1268" t="s">
        <v>711</v>
      </c>
      <c r="C246" s="1241" t="s">
        <v>3035</v>
      </c>
      <c r="D246" s="1245" t="s">
        <v>36</v>
      </c>
      <c r="E246" s="1413">
        <v>20</v>
      </c>
      <c r="F246" s="1555">
        <v>1835.37</v>
      </c>
      <c r="G246" s="1480">
        <v>1849.45</v>
      </c>
      <c r="H246" s="1414">
        <v>1857</v>
      </c>
      <c r="I246" s="1477">
        <f t="shared" si="68"/>
        <v>36707.4</v>
      </c>
      <c r="J246" s="1477">
        <f t="shared" si="69"/>
        <v>36989</v>
      </c>
      <c r="K246" s="1477">
        <v>0</v>
      </c>
      <c r="L246" s="1477">
        <f t="shared" si="75"/>
        <v>0</v>
      </c>
      <c r="M246" s="1477">
        <v>20</v>
      </c>
      <c r="N246" s="1477">
        <f t="shared" si="76"/>
        <v>20</v>
      </c>
      <c r="O246" s="1477">
        <f t="shared" si="77"/>
        <v>0</v>
      </c>
      <c r="P246" s="1477">
        <f t="shared" si="78"/>
        <v>36989</v>
      </c>
      <c r="Q246" s="1477">
        <f t="shared" si="79"/>
        <v>37140</v>
      </c>
      <c r="R246" s="1576">
        <f t="shared" si="80"/>
        <v>37140</v>
      </c>
      <c r="S246" s="1869">
        <v>0</v>
      </c>
      <c r="T246" s="1866">
        <v>0</v>
      </c>
      <c r="U246" s="2442"/>
      <c r="V246" s="1866">
        <f t="shared" si="83"/>
        <v>0</v>
      </c>
      <c r="W246" s="1869">
        <f t="shared" si="89"/>
        <v>0</v>
      </c>
      <c r="X246" s="1870">
        <f t="shared" si="81"/>
        <v>0</v>
      </c>
      <c r="Y246" s="1871">
        <f t="shared" si="84"/>
        <v>0</v>
      </c>
      <c r="Z246" s="1694">
        <f t="shared" si="90"/>
        <v>20</v>
      </c>
      <c r="AA246" s="1872">
        <f t="shared" si="85"/>
        <v>37140</v>
      </c>
      <c r="AB246" s="1873">
        <f t="shared" si="86"/>
        <v>1</v>
      </c>
      <c r="AC246" s="1418">
        <f t="shared" si="70"/>
        <v>0</v>
      </c>
      <c r="AD246" s="1418">
        <f t="shared" si="71"/>
        <v>0</v>
      </c>
      <c r="AE246" s="1418">
        <v>37140</v>
      </c>
      <c r="AF246" s="1418">
        <f t="shared" si="72"/>
        <v>0</v>
      </c>
      <c r="AG246" s="1418">
        <v>1857</v>
      </c>
      <c r="AH246" s="1418">
        <f t="shared" si="73"/>
        <v>0</v>
      </c>
      <c r="AI246" s="1428"/>
      <c r="AO246" s="2504">
        <v>0</v>
      </c>
      <c r="AP246" s="1418">
        <f t="shared" si="82"/>
        <v>0</v>
      </c>
      <c r="AQ246" s="1418">
        <f t="shared" si="74"/>
        <v>0</v>
      </c>
    </row>
    <row r="247" spans="1:43" s="1410" customFormat="1" ht="15.75">
      <c r="A247" s="2102"/>
      <c r="B247" s="1268" t="s">
        <v>715</v>
      </c>
      <c r="C247" s="1241" t="s">
        <v>3036</v>
      </c>
      <c r="D247" s="1245" t="s">
        <v>36</v>
      </c>
      <c r="E247" s="1413">
        <v>20</v>
      </c>
      <c r="F247" s="1555">
        <v>15174.71</v>
      </c>
      <c r="G247" s="1480">
        <v>15312.87</v>
      </c>
      <c r="H247" s="1414">
        <v>15385.55</v>
      </c>
      <c r="I247" s="1477">
        <f t="shared" si="68"/>
        <v>303494.2</v>
      </c>
      <c r="J247" s="1477">
        <f t="shared" si="69"/>
        <v>306257.40000000002</v>
      </c>
      <c r="K247" s="1477">
        <v>0</v>
      </c>
      <c r="L247" s="1477">
        <f t="shared" si="75"/>
        <v>0</v>
      </c>
      <c r="M247" s="1477">
        <v>20</v>
      </c>
      <c r="N247" s="1477">
        <f t="shared" si="76"/>
        <v>20</v>
      </c>
      <c r="O247" s="1477">
        <f t="shared" si="77"/>
        <v>0</v>
      </c>
      <c r="P247" s="1477">
        <f t="shared" si="78"/>
        <v>306257.40000000002</v>
      </c>
      <c r="Q247" s="1477">
        <f t="shared" si="79"/>
        <v>307711</v>
      </c>
      <c r="R247" s="1576">
        <f t="shared" si="80"/>
        <v>307711</v>
      </c>
      <c r="S247" s="1869">
        <v>0</v>
      </c>
      <c r="T247" s="1866">
        <v>0</v>
      </c>
      <c r="U247" s="2442"/>
      <c r="V247" s="1866">
        <f t="shared" si="83"/>
        <v>0</v>
      </c>
      <c r="W247" s="1869">
        <f t="shared" si="89"/>
        <v>0</v>
      </c>
      <c r="X247" s="1870">
        <f t="shared" si="81"/>
        <v>0</v>
      </c>
      <c r="Y247" s="1871">
        <f t="shared" si="84"/>
        <v>0</v>
      </c>
      <c r="Z247" s="1694">
        <f t="shared" si="90"/>
        <v>20</v>
      </c>
      <c r="AA247" s="1872">
        <f t="shared" si="85"/>
        <v>307711</v>
      </c>
      <c r="AB247" s="1873">
        <f t="shared" si="86"/>
        <v>1</v>
      </c>
      <c r="AC247" s="1418">
        <f t="shared" si="70"/>
        <v>0</v>
      </c>
      <c r="AD247" s="1418">
        <f t="shared" si="71"/>
        <v>0</v>
      </c>
      <c r="AE247" s="1418">
        <v>307711</v>
      </c>
      <c r="AF247" s="1418">
        <f t="shared" si="72"/>
        <v>0</v>
      </c>
      <c r="AG247" s="1418">
        <v>15385.55</v>
      </c>
      <c r="AH247" s="1418">
        <f t="shared" si="73"/>
        <v>0</v>
      </c>
      <c r="AI247" s="1428"/>
      <c r="AO247" s="2504">
        <v>0</v>
      </c>
      <c r="AP247" s="1418">
        <f t="shared" si="82"/>
        <v>0</v>
      </c>
      <c r="AQ247" s="1418">
        <f t="shared" si="74"/>
        <v>0</v>
      </c>
    </row>
    <row r="248" spans="1:43" s="1410" customFormat="1" ht="15.75">
      <c r="A248" s="2102"/>
      <c r="B248" s="1268" t="s">
        <v>719</v>
      </c>
      <c r="C248" s="1241" t="s">
        <v>3037</v>
      </c>
      <c r="D248" s="1245" t="s">
        <v>36</v>
      </c>
      <c r="E248" s="1413">
        <v>20</v>
      </c>
      <c r="F248" s="1555">
        <v>1152.32</v>
      </c>
      <c r="G248" s="1480">
        <v>1186.94</v>
      </c>
      <c r="H248" s="1414">
        <v>1206.6500000000001</v>
      </c>
      <c r="I248" s="1477">
        <f t="shared" si="68"/>
        <v>23046.400000000001</v>
      </c>
      <c r="J248" s="1477">
        <f t="shared" si="69"/>
        <v>23738.799999999999</v>
      </c>
      <c r="K248" s="1477">
        <v>0</v>
      </c>
      <c r="L248" s="1477">
        <f t="shared" si="75"/>
        <v>0</v>
      </c>
      <c r="M248" s="1477">
        <v>20</v>
      </c>
      <c r="N248" s="1477">
        <f t="shared" si="76"/>
        <v>20</v>
      </c>
      <c r="O248" s="1477">
        <f t="shared" si="77"/>
        <v>0</v>
      </c>
      <c r="P248" s="1477">
        <f t="shared" si="78"/>
        <v>23738.799999999999</v>
      </c>
      <c r="Q248" s="1477">
        <f t="shared" si="79"/>
        <v>24133</v>
      </c>
      <c r="R248" s="1576">
        <f t="shared" si="80"/>
        <v>24133</v>
      </c>
      <c r="S248" s="1869">
        <v>0</v>
      </c>
      <c r="T248" s="1866">
        <v>0</v>
      </c>
      <c r="U248" s="2442"/>
      <c r="V248" s="1866">
        <f t="shared" si="83"/>
        <v>0</v>
      </c>
      <c r="W248" s="1869">
        <f t="shared" si="89"/>
        <v>0</v>
      </c>
      <c r="X248" s="1870">
        <f t="shared" si="81"/>
        <v>0</v>
      </c>
      <c r="Y248" s="1871">
        <f t="shared" si="84"/>
        <v>0</v>
      </c>
      <c r="Z248" s="1694">
        <f t="shared" si="90"/>
        <v>20</v>
      </c>
      <c r="AA248" s="1872">
        <f t="shared" si="85"/>
        <v>24133</v>
      </c>
      <c r="AB248" s="1873">
        <f t="shared" si="86"/>
        <v>1</v>
      </c>
      <c r="AC248" s="1418">
        <f t="shared" si="70"/>
        <v>0</v>
      </c>
      <c r="AD248" s="1418">
        <f t="shared" si="71"/>
        <v>0</v>
      </c>
      <c r="AE248" s="1418">
        <v>24133</v>
      </c>
      <c r="AF248" s="1418">
        <f t="shared" si="72"/>
        <v>0</v>
      </c>
      <c r="AG248" s="1418">
        <v>1206.6500000000001</v>
      </c>
      <c r="AH248" s="1418">
        <f t="shared" si="73"/>
        <v>0</v>
      </c>
      <c r="AI248" s="1428"/>
      <c r="AO248" s="2504">
        <v>0</v>
      </c>
      <c r="AP248" s="1418">
        <f t="shared" si="82"/>
        <v>0</v>
      </c>
      <c r="AQ248" s="1418">
        <f t="shared" si="74"/>
        <v>0</v>
      </c>
    </row>
    <row r="249" spans="1:43" s="1410" customFormat="1" ht="15.75">
      <c r="A249" s="2102"/>
      <c r="B249" s="1268" t="s">
        <v>723</v>
      </c>
      <c r="C249" s="1241" t="s">
        <v>3038</v>
      </c>
      <c r="D249" s="1245" t="s">
        <v>36</v>
      </c>
      <c r="E249" s="1413">
        <v>20</v>
      </c>
      <c r="F249" s="1555">
        <v>174.21</v>
      </c>
      <c r="G249" s="1480">
        <v>179.62</v>
      </c>
      <c r="H249" s="1414">
        <v>182.43</v>
      </c>
      <c r="I249" s="1477">
        <f t="shared" si="68"/>
        <v>3484.2</v>
      </c>
      <c r="J249" s="1477">
        <f t="shared" si="69"/>
        <v>3592.4</v>
      </c>
      <c r="K249" s="1477">
        <v>0</v>
      </c>
      <c r="L249" s="1477">
        <f t="shared" si="75"/>
        <v>0</v>
      </c>
      <c r="M249" s="1477">
        <v>20</v>
      </c>
      <c r="N249" s="1477">
        <f t="shared" si="76"/>
        <v>20</v>
      </c>
      <c r="O249" s="1477">
        <f t="shared" si="77"/>
        <v>0</v>
      </c>
      <c r="P249" s="1477">
        <f t="shared" si="78"/>
        <v>3592.4</v>
      </c>
      <c r="Q249" s="1477">
        <f t="shared" si="79"/>
        <v>3648.6</v>
      </c>
      <c r="R249" s="1576">
        <f t="shared" si="80"/>
        <v>3648.6</v>
      </c>
      <c r="S249" s="1869">
        <v>0</v>
      </c>
      <c r="T249" s="1866">
        <v>0</v>
      </c>
      <c r="U249" s="2442"/>
      <c r="V249" s="1866">
        <f t="shared" si="83"/>
        <v>0</v>
      </c>
      <c r="W249" s="1869">
        <f t="shared" si="89"/>
        <v>0</v>
      </c>
      <c r="X249" s="1870">
        <f t="shared" si="81"/>
        <v>0</v>
      </c>
      <c r="Y249" s="1871">
        <f t="shared" si="84"/>
        <v>0</v>
      </c>
      <c r="Z249" s="1694">
        <f t="shared" si="90"/>
        <v>20</v>
      </c>
      <c r="AA249" s="1872">
        <f t="shared" si="85"/>
        <v>3648.6000000000004</v>
      </c>
      <c r="AB249" s="1873">
        <f t="shared" si="86"/>
        <v>1.0000000000000002</v>
      </c>
      <c r="AC249" s="1418">
        <f t="shared" si="70"/>
        <v>0</v>
      </c>
      <c r="AD249" s="1418">
        <f t="shared" si="71"/>
        <v>0</v>
      </c>
      <c r="AE249" s="1418">
        <v>3648.6000000000004</v>
      </c>
      <c r="AF249" s="1418">
        <f t="shared" si="72"/>
        <v>0</v>
      </c>
      <c r="AG249" s="1418">
        <v>182.43</v>
      </c>
      <c r="AH249" s="1418">
        <f t="shared" si="73"/>
        <v>0</v>
      </c>
      <c r="AI249" s="1428"/>
      <c r="AO249" s="2504">
        <v>0</v>
      </c>
      <c r="AP249" s="1418">
        <f t="shared" si="82"/>
        <v>0</v>
      </c>
      <c r="AQ249" s="1418">
        <f t="shared" si="74"/>
        <v>0</v>
      </c>
    </row>
    <row r="250" spans="1:43" s="1410" customFormat="1" ht="15.75">
      <c r="A250" s="2102"/>
      <c r="B250" s="1268" t="s">
        <v>727</v>
      </c>
      <c r="C250" s="1241" t="s">
        <v>3039</v>
      </c>
      <c r="D250" s="1245" t="s">
        <v>36</v>
      </c>
      <c r="E250" s="1413">
        <v>11</v>
      </c>
      <c r="F250" s="1555">
        <v>20149.22</v>
      </c>
      <c r="G250" s="1480">
        <v>20569.419999999998</v>
      </c>
      <c r="H250" s="1414">
        <v>20791.97</v>
      </c>
      <c r="I250" s="1477">
        <f t="shared" si="68"/>
        <v>221641.42</v>
      </c>
      <c r="J250" s="1477">
        <f t="shared" si="69"/>
        <v>226263.62</v>
      </c>
      <c r="K250" s="1477">
        <v>0</v>
      </c>
      <c r="L250" s="1477">
        <f t="shared" si="75"/>
        <v>0</v>
      </c>
      <c r="M250" s="1477">
        <v>11</v>
      </c>
      <c r="N250" s="1477">
        <f t="shared" si="76"/>
        <v>11</v>
      </c>
      <c r="O250" s="1477">
        <f t="shared" si="77"/>
        <v>0</v>
      </c>
      <c r="P250" s="1477">
        <f t="shared" si="78"/>
        <v>226263.62</v>
      </c>
      <c r="Q250" s="1477">
        <f t="shared" si="79"/>
        <v>228711.67</v>
      </c>
      <c r="R250" s="1576">
        <f t="shared" si="80"/>
        <v>228711.67</v>
      </c>
      <c r="S250" s="1869">
        <v>0</v>
      </c>
      <c r="T250" s="1866">
        <v>0</v>
      </c>
      <c r="U250" s="2442"/>
      <c r="V250" s="1866">
        <f t="shared" si="83"/>
        <v>0</v>
      </c>
      <c r="W250" s="1869">
        <f t="shared" si="89"/>
        <v>0</v>
      </c>
      <c r="X250" s="1870">
        <f t="shared" si="81"/>
        <v>0</v>
      </c>
      <c r="Y250" s="1871">
        <f t="shared" si="84"/>
        <v>0</v>
      </c>
      <c r="Z250" s="1694">
        <f t="shared" si="90"/>
        <v>11</v>
      </c>
      <c r="AA250" s="1872">
        <f t="shared" si="85"/>
        <v>228711.67</v>
      </c>
      <c r="AB250" s="1873">
        <f t="shared" si="86"/>
        <v>1</v>
      </c>
      <c r="AC250" s="1418">
        <f t="shared" si="70"/>
        <v>0</v>
      </c>
      <c r="AD250" s="1418">
        <f t="shared" si="71"/>
        <v>0</v>
      </c>
      <c r="AE250" s="1418">
        <v>228711.67</v>
      </c>
      <c r="AF250" s="1418">
        <f t="shared" si="72"/>
        <v>0</v>
      </c>
      <c r="AG250" s="1418">
        <v>20791.97</v>
      </c>
      <c r="AH250" s="1418">
        <f t="shared" si="73"/>
        <v>0</v>
      </c>
      <c r="AI250" s="1428"/>
      <c r="AO250" s="2504">
        <v>0</v>
      </c>
      <c r="AP250" s="1418">
        <f t="shared" si="82"/>
        <v>0</v>
      </c>
      <c r="AQ250" s="1418">
        <f t="shared" si="74"/>
        <v>0</v>
      </c>
    </row>
    <row r="251" spans="1:43" s="1410" customFormat="1" ht="15.75">
      <c r="A251" s="2102"/>
      <c r="B251" s="1268" t="s">
        <v>732</v>
      </c>
      <c r="C251" s="1241" t="s">
        <v>3040</v>
      </c>
      <c r="D251" s="1245" t="s">
        <v>36</v>
      </c>
      <c r="E251" s="1413">
        <v>11</v>
      </c>
      <c r="F251" s="1555">
        <v>3456.96</v>
      </c>
      <c r="G251" s="1480">
        <v>3560.8</v>
      </c>
      <c r="H251" s="1414">
        <v>3619.94</v>
      </c>
      <c r="I251" s="1477">
        <f t="shared" si="68"/>
        <v>38026.559999999998</v>
      </c>
      <c r="J251" s="1477">
        <f t="shared" si="69"/>
        <v>39168.800000000003</v>
      </c>
      <c r="K251" s="1477">
        <v>0</v>
      </c>
      <c r="L251" s="1477">
        <f t="shared" si="75"/>
        <v>0</v>
      </c>
      <c r="M251" s="1477">
        <v>11</v>
      </c>
      <c r="N251" s="1477">
        <f t="shared" si="76"/>
        <v>11</v>
      </c>
      <c r="O251" s="1477">
        <f t="shared" si="77"/>
        <v>0</v>
      </c>
      <c r="P251" s="1477">
        <f t="shared" si="78"/>
        <v>39168.800000000003</v>
      </c>
      <c r="Q251" s="1477">
        <f t="shared" si="79"/>
        <v>39819.339999999997</v>
      </c>
      <c r="R251" s="1576">
        <f t="shared" si="80"/>
        <v>39819.339999999997</v>
      </c>
      <c r="S251" s="1869">
        <v>0</v>
      </c>
      <c r="T251" s="1866">
        <v>0</v>
      </c>
      <c r="U251" s="2442"/>
      <c r="V251" s="1866">
        <f t="shared" si="83"/>
        <v>0</v>
      </c>
      <c r="W251" s="1869">
        <f t="shared" si="89"/>
        <v>0</v>
      </c>
      <c r="X251" s="1870">
        <f t="shared" si="81"/>
        <v>0</v>
      </c>
      <c r="Y251" s="1871">
        <f t="shared" si="84"/>
        <v>0</v>
      </c>
      <c r="Z251" s="1694">
        <f t="shared" si="90"/>
        <v>11</v>
      </c>
      <c r="AA251" s="1872">
        <f t="shared" si="85"/>
        <v>39819.340000000004</v>
      </c>
      <c r="AB251" s="1873">
        <f t="shared" si="86"/>
        <v>1.0000000000000002</v>
      </c>
      <c r="AC251" s="1418">
        <f t="shared" si="70"/>
        <v>0</v>
      </c>
      <c r="AD251" s="1418">
        <f t="shared" si="71"/>
        <v>0</v>
      </c>
      <c r="AE251" s="1418">
        <v>39819.340000000004</v>
      </c>
      <c r="AF251" s="1418">
        <f t="shared" si="72"/>
        <v>0</v>
      </c>
      <c r="AG251" s="1418">
        <v>3619.94</v>
      </c>
      <c r="AH251" s="1418">
        <f t="shared" si="73"/>
        <v>0</v>
      </c>
      <c r="AI251" s="1428"/>
      <c r="AO251" s="2504">
        <v>0</v>
      </c>
      <c r="AP251" s="1418">
        <f t="shared" si="82"/>
        <v>0</v>
      </c>
      <c r="AQ251" s="1418">
        <f t="shared" si="74"/>
        <v>0</v>
      </c>
    </row>
    <row r="252" spans="1:43" s="1410" customFormat="1" ht="15.75">
      <c r="A252" s="2102"/>
      <c r="B252" s="1268" t="s">
        <v>2397</v>
      </c>
      <c r="C252" s="1241" t="s">
        <v>3041</v>
      </c>
      <c r="D252" s="1245" t="s">
        <v>36</v>
      </c>
      <c r="E252" s="1413">
        <v>11</v>
      </c>
      <c r="F252" s="1555">
        <v>361.51</v>
      </c>
      <c r="G252" s="1480">
        <v>383.14</v>
      </c>
      <c r="H252" s="1414">
        <v>394.4</v>
      </c>
      <c r="I252" s="1477">
        <f t="shared" si="68"/>
        <v>3976.61</v>
      </c>
      <c r="J252" s="1477">
        <f t="shared" si="69"/>
        <v>4214.54</v>
      </c>
      <c r="K252" s="1477">
        <v>0</v>
      </c>
      <c r="L252" s="1477">
        <f t="shared" si="75"/>
        <v>0</v>
      </c>
      <c r="M252" s="1477">
        <v>11</v>
      </c>
      <c r="N252" s="1477">
        <f t="shared" si="76"/>
        <v>11</v>
      </c>
      <c r="O252" s="1477">
        <f t="shared" si="77"/>
        <v>0</v>
      </c>
      <c r="P252" s="1477">
        <f t="shared" si="78"/>
        <v>4214.54</v>
      </c>
      <c r="Q252" s="1477">
        <f t="shared" si="79"/>
        <v>4338.3999999999996</v>
      </c>
      <c r="R252" s="1576">
        <f t="shared" si="80"/>
        <v>4338.3999999999996</v>
      </c>
      <c r="S252" s="1869">
        <v>0</v>
      </c>
      <c r="T252" s="1866">
        <v>0</v>
      </c>
      <c r="U252" s="2442"/>
      <c r="V252" s="1866">
        <f t="shared" si="83"/>
        <v>0</v>
      </c>
      <c r="W252" s="1869">
        <f t="shared" si="89"/>
        <v>0</v>
      </c>
      <c r="X252" s="1870">
        <f t="shared" si="81"/>
        <v>0</v>
      </c>
      <c r="Y252" s="1871">
        <f t="shared" si="84"/>
        <v>0</v>
      </c>
      <c r="Z252" s="1694">
        <f t="shared" si="90"/>
        <v>11</v>
      </c>
      <c r="AA252" s="1872">
        <f t="shared" si="85"/>
        <v>4338.3999999999996</v>
      </c>
      <c r="AB252" s="1873">
        <f t="shared" si="86"/>
        <v>1</v>
      </c>
      <c r="AC252" s="1418">
        <f t="shared" si="70"/>
        <v>0</v>
      </c>
      <c r="AD252" s="1418">
        <f t="shared" si="71"/>
        <v>0</v>
      </c>
      <c r="AE252" s="1418">
        <v>4338.3999999999996</v>
      </c>
      <c r="AF252" s="1418">
        <f t="shared" si="72"/>
        <v>0</v>
      </c>
      <c r="AG252" s="1418">
        <v>394.4</v>
      </c>
      <c r="AH252" s="1418">
        <f t="shared" si="73"/>
        <v>0</v>
      </c>
      <c r="AI252" s="1428"/>
      <c r="AO252" s="2504">
        <v>0</v>
      </c>
      <c r="AP252" s="1418">
        <f t="shared" si="82"/>
        <v>0</v>
      </c>
      <c r="AQ252" s="1418">
        <f t="shared" si="74"/>
        <v>0</v>
      </c>
    </row>
    <row r="253" spans="1:43" s="1410" customFormat="1" ht="15.75">
      <c r="A253" s="2102"/>
      <c r="B253" s="1268" t="s">
        <v>2398</v>
      </c>
      <c r="C253" s="1241" t="s">
        <v>3042</v>
      </c>
      <c r="D253" s="1245" t="s">
        <v>38</v>
      </c>
      <c r="E253" s="1413">
        <v>291.60000000000002</v>
      </c>
      <c r="F253" s="1555">
        <v>90.38</v>
      </c>
      <c r="G253" s="1480">
        <v>90.87</v>
      </c>
      <c r="H253" s="1414">
        <v>91.11</v>
      </c>
      <c r="I253" s="1477">
        <f t="shared" si="68"/>
        <v>26354.81</v>
      </c>
      <c r="J253" s="1477">
        <f t="shared" si="69"/>
        <v>26497.69</v>
      </c>
      <c r="K253" s="1477">
        <v>0</v>
      </c>
      <c r="L253" s="1477">
        <f t="shared" si="75"/>
        <v>0</v>
      </c>
      <c r="M253" s="1477">
        <v>291.60000000000002</v>
      </c>
      <c r="N253" s="1477">
        <f t="shared" si="76"/>
        <v>291.60000000000002</v>
      </c>
      <c r="O253" s="1477">
        <f t="shared" si="77"/>
        <v>0</v>
      </c>
      <c r="P253" s="1477">
        <f t="shared" si="78"/>
        <v>26497.69</v>
      </c>
      <c r="Q253" s="1477">
        <f t="shared" si="79"/>
        <v>26567.68</v>
      </c>
      <c r="R253" s="1576">
        <f t="shared" si="80"/>
        <v>26567.68</v>
      </c>
      <c r="S253" s="1869">
        <v>0</v>
      </c>
      <c r="T253" s="1866">
        <v>0</v>
      </c>
      <c r="U253" s="2442"/>
      <c r="V253" s="1866">
        <f t="shared" si="83"/>
        <v>0</v>
      </c>
      <c r="W253" s="1869">
        <f t="shared" si="89"/>
        <v>0</v>
      </c>
      <c r="X253" s="1870">
        <f t="shared" si="81"/>
        <v>0</v>
      </c>
      <c r="Y253" s="1871">
        <f t="shared" si="84"/>
        <v>0</v>
      </c>
      <c r="Z253" s="1694">
        <f t="shared" si="90"/>
        <v>291.60000000000002</v>
      </c>
      <c r="AA253" s="1872">
        <f t="shared" si="85"/>
        <v>26567.676000000003</v>
      </c>
      <c r="AB253" s="1873">
        <f t="shared" si="86"/>
        <v>0.99999984944112552</v>
      </c>
      <c r="AC253" s="1418">
        <f t="shared" si="70"/>
        <v>3.9999999971769284E-3</v>
      </c>
      <c r="AD253" s="1418">
        <f t="shared" si="71"/>
        <v>0</v>
      </c>
      <c r="AE253" s="1418">
        <v>26567.676000000003</v>
      </c>
      <c r="AF253" s="1418">
        <f t="shared" si="72"/>
        <v>-3.9999999971769284E-3</v>
      </c>
      <c r="AG253" s="1418">
        <v>91.11</v>
      </c>
      <c r="AH253" s="1418">
        <f t="shared" si="73"/>
        <v>0</v>
      </c>
      <c r="AI253" s="1428"/>
      <c r="AO253" s="2504">
        <v>0</v>
      </c>
      <c r="AP253" s="1418">
        <f t="shared" si="82"/>
        <v>0</v>
      </c>
      <c r="AQ253" s="1418">
        <f t="shared" si="74"/>
        <v>-3.9999999971769284E-3</v>
      </c>
    </row>
    <row r="254" spans="1:43" s="1410" customFormat="1" ht="15.75">
      <c r="A254" s="2102"/>
      <c r="B254" s="1268" t="s">
        <v>2399</v>
      </c>
      <c r="C254" s="1241" t="s">
        <v>3043</v>
      </c>
      <c r="D254" s="1245" t="s">
        <v>38</v>
      </c>
      <c r="E254" s="1413">
        <v>291.60000000000002</v>
      </c>
      <c r="F254" s="1555">
        <v>4.04</v>
      </c>
      <c r="G254" s="1480">
        <v>4.3</v>
      </c>
      <c r="H254" s="1414">
        <v>4.45</v>
      </c>
      <c r="I254" s="1477">
        <f t="shared" si="68"/>
        <v>1178.06</v>
      </c>
      <c r="J254" s="1477">
        <f t="shared" si="69"/>
        <v>1253.8800000000001</v>
      </c>
      <c r="K254" s="1477">
        <v>0</v>
      </c>
      <c r="L254" s="1477">
        <f t="shared" si="75"/>
        <v>0</v>
      </c>
      <c r="M254" s="1477">
        <v>291.60000000000002</v>
      </c>
      <c r="N254" s="1477">
        <f t="shared" si="76"/>
        <v>291.60000000000002</v>
      </c>
      <c r="O254" s="1477">
        <f t="shared" si="77"/>
        <v>0</v>
      </c>
      <c r="P254" s="1477">
        <f t="shared" si="78"/>
        <v>1253.8800000000001</v>
      </c>
      <c r="Q254" s="1477">
        <f t="shared" si="79"/>
        <v>1297.6199999999999</v>
      </c>
      <c r="R254" s="1576">
        <f t="shared" si="80"/>
        <v>1297.6199999999999</v>
      </c>
      <c r="S254" s="1869">
        <v>0</v>
      </c>
      <c r="T254" s="1866">
        <v>0</v>
      </c>
      <c r="U254" s="2442"/>
      <c r="V254" s="1866">
        <f t="shared" si="83"/>
        <v>0</v>
      </c>
      <c r="W254" s="1869">
        <f t="shared" si="89"/>
        <v>0</v>
      </c>
      <c r="X254" s="1870">
        <f t="shared" si="81"/>
        <v>0</v>
      </c>
      <c r="Y254" s="1871">
        <f t="shared" si="84"/>
        <v>0</v>
      </c>
      <c r="Z254" s="1694">
        <f t="shared" si="90"/>
        <v>291.60000000000002</v>
      </c>
      <c r="AA254" s="1872">
        <f t="shared" si="85"/>
        <v>1297.6200000000001</v>
      </c>
      <c r="AB254" s="1873">
        <f t="shared" si="86"/>
        <v>1.0000000000000002</v>
      </c>
      <c r="AC254" s="1418">
        <f t="shared" si="70"/>
        <v>0</v>
      </c>
      <c r="AD254" s="1418">
        <f t="shared" si="71"/>
        <v>0</v>
      </c>
      <c r="AE254" s="1418">
        <v>1297.6200000000001</v>
      </c>
      <c r="AF254" s="1418">
        <f t="shared" si="72"/>
        <v>0</v>
      </c>
      <c r="AG254" s="1418">
        <v>4.45</v>
      </c>
      <c r="AH254" s="1418">
        <f t="shared" si="73"/>
        <v>0</v>
      </c>
      <c r="AI254" s="1428"/>
      <c r="AO254" s="2504">
        <v>0</v>
      </c>
      <c r="AP254" s="1418">
        <f t="shared" si="82"/>
        <v>0</v>
      </c>
      <c r="AQ254" s="1418">
        <f t="shared" si="74"/>
        <v>0</v>
      </c>
    </row>
    <row r="255" spans="1:43" s="1410" customFormat="1" ht="15.75">
      <c r="A255" s="2102"/>
      <c r="B255" s="1272" t="s">
        <v>736</v>
      </c>
      <c r="C255" s="1262" t="s">
        <v>2982</v>
      </c>
      <c r="D255" s="1273"/>
      <c r="E255" s="1415"/>
      <c r="F255" s="1267"/>
      <c r="G255" s="1480"/>
      <c r="H255" s="1416"/>
      <c r="I255" s="1477">
        <f t="shared" si="68"/>
        <v>0</v>
      </c>
      <c r="J255" s="1477">
        <f t="shared" si="69"/>
        <v>0</v>
      </c>
      <c r="K255" s="1477"/>
      <c r="L255" s="1477">
        <f t="shared" si="75"/>
        <v>0</v>
      </c>
      <c r="M255" s="1477"/>
      <c r="N255" s="1477">
        <f t="shared" si="76"/>
        <v>0</v>
      </c>
      <c r="O255" s="1477">
        <f t="shared" si="77"/>
        <v>0</v>
      </c>
      <c r="P255" s="1477">
        <f t="shared" si="78"/>
        <v>0</v>
      </c>
      <c r="Q255" s="1477">
        <f t="shared" si="79"/>
        <v>0</v>
      </c>
      <c r="R255" s="1576">
        <f t="shared" si="80"/>
        <v>0</v>
      </c>
      <c r="S255" s="1869"/>
      <c r="T255" s="1866"/>
      <c r="U255" s="2442"/>
      <c r="V255" s="1866">
        <f t="shared" si="83"/>
        <v>0</v>
      </c>
      <c r="W255" s="1869"/>
      <c r="X255" s="1870"/>
      <c r="Y255" s="1871" t="str">
        <f t="shared" si="84"/>
        <v/>
      </c>
      <c r="Z255" s="1694"/>
      <c r="AA255" s="1872">
        <f t="shared" si="85"/>
        <v>0</v>
      </c>
      <c r="AB255" s="1873" t="str">
        <f t="shared" si="86"/>
        <v/>
      </c>
      <c r="AC255" s="1418">
        <f t="shared" si="70"/>
        <v>0</v>
      </c>
      <c r="AD255" s="1418">
        <f t="shared" si="71"/>
        <v>0</v>
      </c>
      <c r="AE255" s="1418"/>
      <c r="AF255" s="1418">
        <f t="shared" si="72"/>
        <v>0</v>
      </c>
      <c r="AG255" s="1418"/>
      <c r="AH255" s="1418">
        <f t="shared" si="73"/>
        <v>0</v>
      </c>
      <c r="AI255" s="1428"/>
      <c r="AO255" s="2504"/>
      <c r="AP255" s="1418">
        <f t="shared" si="82"/>
        <v>0</v>
      </c>
      <c r="AQ255" s="1418">
        <f t="shared" si="74"/>
        <v>0</v>
      </c>
    </row>
    <row r="256" spans="1:43" s="1410" customFormat="1" ht="15.75">
      <c r="A256" s="2102"/>
      <c r="B256" s="1268" t="s">
        <v>737</v>
      </c>
      <c r="C256" s="1241" t="s">
        <v>3044</v>
      </c>
      <c r="D256" s="1245" t="s">
        <v>36</v>
      </c>
      <c r="E256" s="1413">
        <v>74</v>
      </c>
      <c r="F256" s="1555">
        <v>187.67</v>
      </c>
      <c r="G256" s="1480">
        <v>189.48</v>
      </c>
      <c r="H256" s="1414">
        <v>190.42</v>
      </c>
      <c r="I256" s="1477">
        <f t="shared" si="68"/>
        <v>13887.58</v>
      </c>
      <c r="J256" s="1477">
        <f t="shared" si="69"/>
        <v>14021.52</v>
      </c>
      <c r="K256" s="1477">
        <v>0</v>
      </c>
      <c r="L256" s="1477">
        <f t="shared" si="75"/>
        <v>0</v>
      </c>
      <c r="M256" s="1477">
        <v>74</v>
      </c>
      <c r="N256" s="1477">
        <f t="shared" si="76"/>
        <v>74</v>
      </c>
      <c r="O256" s="1477">
        <f t="shared" si="77"/>
        <v>0</v>
      </c>
      <c r="P256" s="1477">
        <f t="shared" si="78"/>
        <v>14021.52</v>
      </c>
      <c r="Q256" s="1477">
        <f t="shared" si="79"/>
        <v>14091.08</v>
      </c>
      <c r="R256" s="1576">
        <f t="shared" si="80"/>
        <v>14091.08</v>
      </c>
      <c r="S256" s="1869">
        <v>0</v>
      </c>
      <c r="T256" s="1866">
        <v>0</v>
      </c>
      <c r="U256" s="2442"/>
      <c r="V256" s="1866">
        <f t="shared" si="83"/>
        <v>0</v>
      </c>
      <c r="W256" s="1869">
        <f t="shared" ref="W256:W265" si="91">S256+U256</f>
        <v>0</v>
      </c>
      <c r="X256" s="1870">
        <f t="shared" si="81"/>
        <v>0</v>
      </c>
      <c r="Y256" s="1871">
        <f t="shared" si="84"/>
        <v>0</v>
      </c>
      <c r="Z256" s="1694">
        <f t="shared" ref="Z256:Z265" si="92">+E256-W256</f>
        <v>74</v>
      </c>
      <c r="AA256" s="1872">
        <f t="shared" si="85"/>
        <v>14091.08</v>
      </c>
      <c r="AB256" s="1873">
        <f t="shared" si="86"/>
        <v>1</v>
      </c>
      <c r="AC256" s="1418">
        <f t="shared" si="70"/>
        <v>0</v>
      </c>
      <c r="AD256" s="1418">
        <f t="shared" si="71"/>
        <v>0</v>
      </c>
      <c r="AE256" s="1418">
        <v>14091.08</v>
      </c>
      <c r="AF256" s="1418">
        <f t="shared" si="72"/>
        <v>0</v>
      </c>
      <c r="AG256" s="1418">
        <v>190.42</v>
      </c>
      <c r="AH256" s="1418">
        <f t="shared" si="73"/>
        <v>0</v>
      </c>
      <c r="AI256" s="1428"/>
      <c r="AO256" s="2504">
        <v>0</v>
      </c>
      <c r="AP256" s="1418">
        <f t="shared" si="82"/>
        <v>0</v>
      </c>
      <c r="AQ256" s="1418">
        <f t="shared" si="74"/>
        <v>0</v>
      </c>
    </row>
    <row r="257" spans="1:44" s="1410" customFormat="1" ht="15.75">
      <c r="A257" s="2102"/>
      <c r="B257" s="1268" t="s">
        <v>2400</v>
      </c>
      <c r="C257" s="1241" t="s">
        <v>3045</v>
      </c>
      <c r="D257" s="1245" t="s">
        <v>38</v>
      </c>
      <c r="E257" s="1413">
        <v>866.58</v>
      </c>
      <c r="F257" s="1555">
        <v>196.87</v>
      </c>
      <c r="G257" s="1480">
        <v>202.15</v>
      </c>
      <c r="H257" s="1414">
        <v>204.91</v>
      </c>
      <c r="I257" s="1477">
        <f t="shared" si="68"/>
        <v>170603.6</v>
      </c>
      <c r="J257" s="1477">
        <f t="shared" si="69"/>
        <v>175179.15</v>
      </c>
      <c r="K257" s="1477">
        <v>0</v>
      </c>
      <c r="L257" s="1477">
        <f t="shared" si="75"/>
        <v>0</v>
      </c>
      <c r="M257" s="1477">
        <v>866.58</v>
      </c>
      <c r="N257" s="1477">
        <f t="shared" si="76"/>
        <v>866.58</v>
      </c>
      <c r="O257" s="1477">
        <f t="shared" si="77"/>
        <v>0</v>
      </c>
      <c r="P257" s="1477">
        <f t="shared" si="78"/>
        <v>175179.15</v>
      </c>
      <c r="Q257" s="1477">
        <f t="shared" si="79"/>
        <v>177570.91</v>
      </c>
      <c r="R257" s="1576">
        <f t="shared" si="80"/>
        <v>177570.91</v>
      </c>
      <c r="S257" s="1869">
        <v>0</v>
      </c>
      <c r="T257" s="1866">
        <v>0</v>
      </c>
      <c r="U257" s="2442"/>
      <c r="V257" s="1866">
        <f t="shared" si="83"/>
        <v>0</v>
      </c>
      <c r="W257" s="1869">
        <f t="shared" si="91"/>
        <v>0</v>
      </c>
      <c r="X257" s="1870">
        <f t="shared" si="81"/>
        <v>0</v>
      </c>
      <c r="Y257" s="1871">
        <f t="shared" si="84"/>
        <v>0</v>
      </c>
      <c r="Z257" s="1694">
        <f t="shared" si="92"/>
        <v>866.58</v>
      </c>
      <c r="AA257" s="1872">
        <f t="shared" si="85"/>
        <v>177570.90780000002</v>
      </c>
      <c r="AB257" s="1873">
        <f t="shared" si="86"/>
        <v>0.9999999876105834</v>
      </c>
      <c r="AC257" s="1418">
        <f t="shared" si="70"/>
        <v>2.199999988079071E-3</v>
      </c>
      <c r="AD257" s="1418">
        <f t="shared" si="71"/>
        <v>0</v>
      </c>
      <c r="AE257" s="1418">
        <v>177570.90780000002</v>
      </c>
      <c r="AF257" s="1418">
        <f t="shared" si="72"/>
        <v>-2.199999988079071E-3</v>
      </c>
      <c r="AG257" s="1418">
        <v>204.91</v>
      </c>
      <c r="AH257" s="1418">
        <f t="shared" si="73"/>
        <v>0</v>
      </c>
      <c r="AI257" s="1428"/>
      <c r="AO257" s="2504">
        <v>0</v>
      </c>
      <c r="AP257" s="1418">
        <f t="shared" si="82"/>
        <v>0</v>
      </c>
      <c r="AQ257" s="1418">
        <f t="shared" si="74"/>
        <v>-2.199999988079071E-3</v>
      </c>
    </row>
    <row r="258" spans="1:44" s="1410" customFormat="1" ht="15.75">
      <c r="A258" s="2102"/>
      <c r="B258" s="1268" t="s">
        <v>2401</v>
      </c>
      <c r="C258" s="1241" t="s">
        <v>3046</v>
      </c>
      <c r="D258" s="1245" t="s">
        <v>38</v>
      </c>
      <c r="E258" s="1413">
        <v>503.41</v>
      </c>
      <c r="F258" s="1555">
        <v>235.44</v>
      </c>
      <c r="G258" s="1480">
        <v>240.72</v>
      </c>
      <c r="H258" s="1414">
        <v>243.48</v>
      </c>
      <c r="I258" s="1477">
        <f t="shared" si="68"/>
        <v>118522.85</v>
      </c>
      <c r="J258" s="1477">
        <f t="shared" si="69"/>
        <v>121180.86</v>
      </c>
      <c r="K258" s="1477">
        <v>0</v>
      </c>
      <c r="L258" s="1477">
        <f t="shared" si="75"/>
        <v>0</v>
      </c>
      <c r="M258" s="1477">
        <v>503.41</v>
      </c>
      <c r="N258" s="1477">
        <f t="shared" si="76"/>
        <v>503.41</v>
      </c>
      <c r="O258" s="1477">
        <f t="shared" si="77"/>
        <v>0</v>
      </c>
      <c r="P258" s="1477">
        <f t="shared" si="78"/>
        <v>121180.86</v>
      </c>
      <c r="Q258" s="1477">
        <f t="shared" si="79"/>
        <v>122570.27</v>
      </c>
      <c r="R258" s="1576">
        <f t="shared" si="80"/>
        <v>122570.27</v>
      </c>
      <c r="S258" s="1869">
        <v>0</v>
      </c>
      <c r="T258" s="1866">
        <v>0</v>
      </c>
      <c r="U258" s="2442"/>
      <c r="V258" s="1866">
        <f t="shared" si="83"/>
        <v>0</v>
      </c>
      <c r="W258" s="1869">
        <f t="shared" si="91"/>
        <v>0</v>
      </c>
      <c r="X258" s="1870">
        <f t="shared" si="81"/>
        <v>0</v>
      </c>
      <c r="Y258" s="1871">
        <f t="shared" si="84"/>
        <v>0</v>
      </c>
      <c r="Z258" s="1694">
        <f t="shared" si="92"/>
        <v>503.41</v>
      </c>
      <c r="AA258" s="1872">
        <f t="shared" si="85"/>
        <v>122570.2668</v>
      </c>
      <c r="AB258" s="1873">
        <f t="shared" si="86"/>
        <v>0.99999997389252704</v>
      </c>
      <c r="AC258" s="1418">
        <f t="shared" si="70"/>
        <v>3.2000000064726919E-3</v>
      </c>
      <c r="AD258" s="1418">
        <f t="shared" si="71"/>
        <v>0</v>
      </c>
      <c r="AE258" s="1418">
        <v>122570.2668</v>
      </c>
      <c r="AF258" s="1418">
        <f t="shared" si="72"/>
        <v>-3.2000000064726919E-3</v>
      </c>
      <c r="AG258" s="1418">
        <v>243.48</v>
      </c>
      <c r="AH258" s="1418">
        <f t="shared" si="73"/>
        <v>0</v>
      </c>
      <c r="AI258" s="1428"/>
      <c r="AO258" s="2504">
        <v>0</v>
      </c>
      <c r="AP258" s="1418">
        <f t="shared" si="82"/>
        <v>0</v>
      </c>
      <c r="AQ258" s="1418">
        <f t="shared" si="74"/>
        <v>-3.2000000064726919E-3</v>
      </c>
    </row>
    <row r="259" spans="1:44" s="1410" customFormat="1" ht="15.75">
      <c r="A259" s="2102"/>
      <c r="B259" s="1268" t="s">
        <v>2402</v>
      </c>
      <c r="C259" s="1241" t="s">
        <v>3047</v>
      </c>
      <c r="D259" s="1245" t="s">
        <v>38</v>
      </c>
      <c r="E259" s="1413">
        <v>1637.88</v>
      </c>
      <c r="F259" s="1555">
        <v>184.26</v>
      </c>
      <c r="G259" s="1480">
        <v>189.54</v>
      </c>
      <c r="H259" s="1414">
        <v>192.3</v>
      </c>
      <c r="I259" s="1477">
        <f t="shared" si="68"/>
        <v>301795.77</v>
      </c>
      <c r="J259" s="1477">
        <f t="shared" si="69"/>
        <v>310443.78000000003</v>
      </c>
      <c r="K259" s="1477">
        <v>0</v>
      </c>
      <c r="L259" s="1477">
        <f t="shared" si="75"/>
        <v>0</v>
      </c>
      <c r="M259" s="1477">
        <v>1637.88</v>
      </c>
      <c r="N259" s="1477">
        <f t="shared" si="76"/>
        <v>1637.88</v>
      </c>
      <c r="O259" s="1477">
        <f t="shared" si="77"/>
        <v>0</v>
      </c>
      <c r="P259" s="1477">
        <f t="shared" si="78"/>
        <v>310443.78000000003</v>
      </c>
      <c r="Q259" s="1477">
        <f t="shared" si="79"/>
        <v>314964.32</v>
      </c>
      <c r="R259" s="1576">
        <f t="shared" si="80"/>
        <v>314964.32</v>
      </c>
      <c r="S259" s="1869">
        <v>0</v>
      </c>
      <c r="T259" s="1866">
        <v>0</v>
      </c>
      <c r="U259" s="2442"/>
      <c r="V259" s="1866">
        <f t="shared" si="83"/>
        <v>0</v>
      </c>
      <c r="W259" s="1869">
        <f t="shared" si="91"/>
        <v>0</v>
      </c>
      <c r="X259" s="1870">
        <f t="shared" si="81"/>
        <v>0</v>
      </c>
      <c r="Y259" s="1871">
        <f t="shared" si="84"/>
        <v>0</v>
      </c>
      <c r="Z259" s="1694">
        <f t="shared" si="92"/>
        <v>1637.88</v>
      </c>
      <c r="AA259" s="1872">
        <f t="shared" si="85"/>
        <v>314964.32400000002</v>
      </c>
      <c r="AB259" s="1873">
        <f t="shared" si="86"/>
        <v>1.0000000126998512</v>
      </c>
      <c r="AC259" s="1418">
        <f t="shared" si="70"/>
        <v>-4.0000000153668225E-3</v>
      </c>
      <c r="AD259" s="1418">
        <f t="shared" si="71"/>
        <v>0</v>
      </c>
      <c r="AE259" s="1418">
        <v>314964.32400000002</v>
      </c>
      <c r="AF259" s="1418">
        <f t="shared" si="72"/>
        <v>4.0000000153668225E-3</v>
      </c>
      <c r="AG259" s="1418">
        <v>192.3</v>
      </c>
      <c r="AH259" s="1418">
        <f t="shared" si="73"/>
        <v>0</v>
      </c>
      <c r="AI259" s="1428"/>
      <c r="AO259" s="2504">
        <v>0</v>
      </c>
      <c r="AP259" s="1418">
        <f t="shared" si="82"/>
        <v>0</v>
      </c>
      <c r="AQ259" s="1418">
        <f t="shared" si="74"/>
        <v>4.0000000153668225E-3</v>
      </c>
    </row>
    <row r="260" spans="1:44" s="1410" customFormat="1" ht="15.75">
      <c r="A260" s="2102"/>
      <c r="B260" s="1268" t="s">
        <v>2403</v>
      </c>
      <c r="C260" s="1241" t="s">
        <v>3048</v>
      </c>
      <c r="D260" s="1245" t="s">
        <v>38</v>
      </c>
      <c r="E260" s="1413">
        <v>720.87</v>
      </c>
      <c r="F260" s="1555">
        <v>180.17</v>
      </c>
      <c r="G260" s="1480">
        <v>185.45</v>
      </c>
      <c r="H260" s="1414">
        <v>188.21</v>
      </c>
      <c r="I260" s="1477">
        <f t="shared" si="68"/>
        <v>129879.15</v>
      </c>
      <c r="J260" s="1477">
        <f t="shared" si="69"/>
        <v>133685.34</v>
      </c>
      <c r="K260" s="1477">
        <v>0</v>
      </c>
      <c r="L260" s="1477">
        <f t="shared" si="75"/>
        <v>0</v>
      </c>
      <c r="M260" s="1477">
        <v>720.87</v>
      </c>
      <c r="N260" s="1477">
        <f t="shared" si="76"/>
        <v>720.87</v>
      </c>
      <c r="O260" s="1477">
        <f t="shared" si="77"/>
        <v>0</v>
      </c>
      <c r="P260" s="1477">
        <f t="shared" si="78"/>
        <v>133685.34</v>
      </c>
      <c r="Q260" s="1477">
        <f t="shared" si="79"/>
        <v>135674.94</v>
      </c>
      <c r="R260" s="1576">
        <f t="shared" si="80"/>
        <v>135674.94</v>
      </c>
      <c r="S260" s="1869">
        <v>0</v>
      </c>
      <c r="T260" s="1866">
        <v>0</v>
      </c>
      <c r="U260" s="2442"/>
      <c r="V260" s="1866">
        <f t="shared" si="83"/>
        <v>0</v>
      </c>
      <c r="W260" s="1869">
        <f t="shared" si="91"/>
        <v>0</v>
      </c>
      <c r="X260" s="1870">
        <f t="shared" si="81"/>
        <v>0</v>
      </c>
      <c r="Y260" s="1871">
        <f t="shared" si="84"/>
        <v>0</v>
      </c>
      <c r="Z260" s="1694">
        <f t="shared" si="92"/>
        <v>720.87</v>
      </c>
      <c r="AA260" s="1872">
        <f t="shared" si="85"/>
        <v>135674.94270000001</v>
      </c>
      <c r="AB260" s="1873">
        <f t="shared" si="86"/>
        <v>1.0000000199005064</v>
      </c>
      <c r="AC260" s="1418">
        <f t="shared" si="70"/>
        <v>-2.7000000118277967E-3</v>
      </c>
      <c r="AD260" s="1418">
        <f t="shared" si="71"/>
        <v>0</v>
      </c>
      <c r="AE260" s="1418">
        <v>135674.94270000001</v>
      </c>
      <c r="AF260" s="1418">
        <f t="shared" si="72"/>
        <v>2.7000000118277967E-3</v>
      </c>
      <c r="AG260" s="1418">
        <v>188.21</v>
      </c>
      <c r="AH260" s="1418">
        <f t="shared" si="73"/>
        <v>0</v>
      </c>
      <c r="AI260" s="1428"/>
      <c r="AO260" s="2504">
        <v>0</v>
      </c>
      <c r="AP260" s="1418">
        <f t="shared" si="82"/>
        <v>0</v>
      </c>
      <c r="AQ260" s="1418">
        <f t="shared" si="74"/>
        <v>2.7000000118277967E-3</v>
      </c>
    </row>
    <row r="261" spans="1:44" s="1410" customFormat="1" ht="15.75">
      <c r="A261" s="2102"/>
      <c r="B261" s="1268" t="s">
        <v>2404</v>
      </c>
      <c r="C261" s="1241" t="s">
        <v>3049</v>
      </c>
      <c r="D261" s="1245" t="s">
        <v>36</v>
      </c>
      <c r="E261" s="1413">
        <v>20</v>
      </c>
      <c r="F261" s="1555">
        <v>2516.1999999999998</v>
      </c>
      <c r="G261" s="1480">
        <v>2577.14</v>
      </c>
      <c r="H261" s="1414">
        <v>2609.13</v>
      </c>
      <c r="I261" s="1477">
        <f t="shared" si="68"/>
        <v>50324</v>
      </c>
      <c r="J261" s="1477">
        <f t="shared" si="69"/>
        <v>51542.8</v>
      </c>
      <c r="K261" s="1477">
        <v>0</v>
      </c>
      <c r="L261" s="1477">
        <f t="shared" si="75"/>
        <v>0</v>
      </c>
      <c r="M261" s="1477">
        <v>20</v>
      </c>
      <c r="N261" s="1477">
        <f t="shared" si="76"/>
        <v>20</v>
      </c>
      <c r="O261" s="1477">
        <f t="shared" si="77"/>
        <v>0</v>
      </c>
      <c r="P261" s="1477">
        <f t="shared" si="78"/>
        <v>51542.8</v>
      </c>
      <c r="Q261" s="1477">
        <f t="shared" si="79"/>
        <v>52182.6</v>
      </c>
      <c r="R261" s="1576">
        <f t="shared" si="80"/>
        <v>52182.6</v>
      </c>
      <c r="S261" s="1869">
        <v>0</v>
      </c>
      <c r="T261" s="1866">
        <v>0</v>
      </c>
      <c r="U261" s="2442"/>
      <c r="V261" s="1866">
        <f t="shared" si="83"/>
        <v>0</v>
      </c>
      <c r="W261" s="1869">
        <f t="shared" si="91"/>
        <v>0</v>
      </c>
      <c r="X261" s="1870">
        <f t="shared" si="81"/>
        <v>0</v>
      </c>
      <c r="Y261" s="1871">
        <f t="shared" si="84"/>
        <v>0</v>
      </c>
      <c r="Z261" s="1694">
        <f t="shared" si="92"/>
        <v>20</v>
      </c>
      <c r="AA261" s="1872">
        <f t="shared" si="85"/>
        <v>52182.600000000006</v>
      </c>
      <c r="AB261" s="1873">
        <f t="shared" si="86"/>
        <v>1.0000000000000002</v>
      </c>
      <c r="AC261" s="1418">
        <f t="shared" si="70"/>
        <v>0</v>
      </c>
      <c r="AD261" s="1418">
        <f t="shared" si="71"/>
        <v>0</v>
      </c>
      <c r="AE261" s="1418">
        <v>52182.600000000006</v>
      </c>
      <c r="AF261" s="1418">
        <f t="shared" si="72"/>
        <v>0</v>
      </c>
      <c r="AG261" s="1418">
        <v>2609.13</v>
      </c>
      <c r="AH261" s="1418">
        <f t="shared" si="73"/>
        <v>0</v>
      </c>
      <c r="AI261" s="1428"/>
      <c r="AO261" s="2504">
        <v>0</v>
      </c>
      <c r="AP261" s="1418">
        <f t="shared" si="82"/>
        <v>0</v>
      </c>
      <c r="AQ261" s="1418">
        <f t="shared" si="74"/>
        <v>0</v>
      </c>
    </row>
    <row r="262" spans="1:44" s="1410" customFormat="1" ht="15.75">
      <c r="A262" s="2102"/>
      <c r="B262" s="1268" t="s">
        <v>2405</v>
      </c>
      <c r="C262" s="1241" t="s">
        <v>3050</v>
      </c>
      <c r="D262" s="1245" t="s">
        <v>37</v>
      </c>
      <c r="E262" s="1413">
        <v>453.84</v>
      </c>
      <c r="F262" s="1555">
        <v>484.01</v>
      </c>
      <c r="G262" s="1480">
        <v>496.2</v>
      </c>
      <c r="H262" s="1414">
        <v>502.59</v>
      </c>
      <c r="I262" s="1477">
        <f t="shared" si="68"/>
        <v>219663.1</v>
      </c>
      <c r="J262" s="1477">
        <f t="shared" si="69"/>
        <v>225195.41</v>
      </c>
      <c r="K262" s="1477">
        <v>0</v>
      </c>
      <c r="L262" s="1477">
        <f t="shared" si="75"/>
        <v>0</v>
      </c>
      <c r="M262" s="1477">
        <v>453.84</v>
      </c>
      <c r="N262" s="1477">
        <f t="shared" si="76"/>
        <v>453.84</v>
      </c>
      <c r="O262" s="1477">
        <f t="shared" si="77"/>
        <v>0</v>
      </c>
      <c r="P262" s="1477">
        <f t="shared" si="78"/>
        <v>225195.41</v>
      </c>
      <c r="Q262" s="1477">
        <f t="shared" si="79"/>
        <v>228095.45</v>
      </c>
      <c r="R262" s="1576">
        <f t="shared" si="80"/>
        <v>228095.45</v>
      </c>
      <c r="S262" s="1869">
        <v>0</v>
      </c>
      <c r="T262" s="1866">
        <v>0</v>
      </c>
      <c r="U262" s="2442"/>
      <c r="V262" s="1866">
        <f t="shared" si="83"/>
        <v>0</v>
      </c>
      <c r="W262" s="1869">
        <f t="shared" si="91"/>
        <v>0</v>
      </c>
      <c r="X262" s="1870">
        <f t="shared" si="81"/>
        <v>0</v>
      </c>
      <c r="Y262" s="1871">
        <f t="shared" si="84"/>
        <v>0</v>
      </c>
      <c r="Z262" s="1694">
        <f t="shared" si="92"/>
        <v>453.84</v>
      </c>
      <c r="AA262" s="1872">
        <f t="shared" si="85"/>
        <v>228095.44559999998</v>
      </c>
      <c r="AB262" s="1873">
        <f t="shared" si="86"/>
        <v>0.99999998070982987</v>
      </c>
      <c r="AC262" s="1418">
        <f t="shared" si="70"/>
        <v>4.400000034365803E-3</v>
      </c>
      <c r="AD262" s="1418">
        <f t="shared" si="71"/>
        <v>0</v>
      </c>
      <c r="AE262" s="1418">
        <v>228095.44559999998</v>
      </c>
      <c r="AF262" s="1418">
        <f t="shared" si="72"/>
        <v>-4.400000034365803E-3</v>
      </c>
      <c r="AG262" s="1418">
        <v>502.59</v>
      </c>
      <c r="AH262" s="1418">
        <f t="shared" si="73"/>
        <v>0</v>
      </c>
      <c r="AI262" s="1428"/>
      <c r="AO262" s="2504">
        <v>0</v>
      </c>
      <c r="AP262" s="1418">
        <f t="shared" si="82"/>
        <v>0</v>
      </c>
      <c r="AQ262" s="1418">
        <f t="shared" si="74"/>
        <v>-4.400000034365803E-3</v>
      </c>
    </row>
    <row r="263" spans="1:44" s="1410" customFormat="1" ht="15.75">
      <c r="A263" s="2102"/>
      <c r="B263" s="1268" t="s">
        <v>2406</v>
      </c>
      <c r="C263" s="1241" t="s">
        <v>3051</v>
      </c>
      <c r="D263" s="1245" t="s">
        <v>36</v>
      </c>
      <c r="E263" s="1413">
        <v>222</v>
      </c>
      <c r="F263" s="1555">
        <v>37.72</v>
      </c>
      <c r="G263" s="1480">
        <v>38.380000000000003</v>
      </c>
      <c r="H263" s="1414">
        <v>38.71</v>
      </c>
      <c r="I263" s="1477">
        <f t="shared" si="68"/>
        <v>8373.84</v>
      </c>
      <c r="J263" s="1477">
        <f t="shared" si="69"/>
        <v>8520.36</v>
      </c>
      <c r="K263" s="1477">
        <v>0</v>
      </c>
      <c r="L263" s="1477">
        <f t="shared" si="75"/>
        <v>0</v>
      </c>
      <c r="M263" s="1477">
        <v>222</v>
      </c>
      <c r="N263" s="1477">
        <f t="shared" si="76"/>
        <v>222</v>
      </c>
      <c r="O263" s="1477">
        <f t="shared" si="77"/>
        <v>0</v>
      </c>
      <c r="P263" s="1477">
        <f t="shared" si="78"/>
        <v>8520.36</v>
      </c>
      <c r="Q263" s="1477">
        <f t="shared" si="79"/>
        <v>8593.6200000000008</v>
      </c>
      <c r="R263" s="1576">
        <f t="shared" si="80"/>
        <v>8593.6200000000008</v>
      </c>
      <c r="S263" s="1869">
        <v>0</v>
      </c>
      <c r="T263" s="1866">
        <v>0</v>
      </c>
      <c r="U263" s="2442"/>
      <c r="V263" s="1866">
        <f t="shared" si="83"/>
        <v>0</v>
      </c>
      <c r="W263" s="1869">
        <f t="shared" si="91"/>
        <v>0</v>
      </c>
      <c r="X263" s="1870">
        <f t="shared" si="81"/>
        <v>0</v>
      </c>
      <c r="Y263" s="1871">
        <f t="shared" si="84"/>
        <v>0</v>
      </c>
      <c r="Z263" s="1694">
        <f t="shared" si="92"/>
        <v>222</v>
      </c>
      <c r="AA263" s="1872">
        <f t="shared" si="85"/>
        <v>8593.6200000000008</v>
      </c>
      <c r="AB263" s="1873">
        <f t="shared" si="86"/>
        <v>1</v>
      </c>
      <c r="AC263" s="1418">
        <f t="shared" si="70"/>
        <v>0</v>
      </c>
      <c r="AD263" s="1418">
        <f t="shared" si="71"/>
        <v>0</v>
      </c>
      <c r="AE263" s="1418">
        <v>8593.6200000000008</v>
      </c>
      <c r="AF263" s="1418">
        <f t="shared" si="72"/>
        <v>0</v>
      </c>
      <c r="AG263" s="1418">
        <v>38.71</v>
      </c>
      <c r="AH263" s="1418">
        <f t="shared" si="73"/>
        <v>0</v>
      </c>
      <c r="AI263" s="1428"/>
      <c r="AO263" s="2504">
        <v>0</v>
      </c>
      <c r="AP263" s="1418">
        <f t="shared" si="82"/>
        <v>0</v>
      </c>
      <c r="AQ263" s="1418">
        <f t="shared" si="74"/>
        <v>0</v>
      </c>
    </row>
    <row r="264" spans="1:44" s="1410" customFormat="1" ht="15.75">
      <c r="A264" s="2102"/>
      <c r="B264" s="1268" t="s">
        <v>2407</v>
      </c>
      <c r="C264" s="1241" t="s">
        <v>3052</v>
      </c>
      <c r="D264" s="1245" t="s">
        <v>38</v>
      </c>
      <c r="E264" s="1413">
        <v>2916.85</v>
      </c>
      <c r="F264" s="1555">
        <v>7.3</v>
      </c>
      <c r="G264" s="1480">
        <v>7.83</v>
      </c>
      <c r="H264" s="1414">
        <v>8.1199999999999992</v>
      </c>
      <c r="I264" s="1477">
        <f t="shared" si="68"/>
        <v>21293.01</v>
      </c>
      <c r="J264" s="1477">
        <f t="shared" si="69"/>
        <v>22838.94</v>
      </c>
      <c r="K264" s="1477">
        <v>0</v>
      </c>
      <c r="L264" s="1477">
        <f t="shared" si="75"/>
        <v>0</v>
      </c>
      <c r="M264" s="1477">
        <v>2916.85</v>
      </c>
      <c r="N264" s="1477">
        <f t="shared" si="76"/>
        <v>2916.85</v>
      </c>
      <c r="O264" s="1477">
        <f t="shared" si="77"/>
        <v>0</v>
      </c>
      <c r="P264" s="1477">
        <f t="shared" si="78"/>
        <v>22838.94</v>
      </c>
      <c r="Q264" s="1477">
        <f t="shared" si="79"/>
        <v>23684.82</v>
      </c>
      <c r="R264" s="1576">
        <f t="shared" si="80"/>
        <v>23684.82</v>
      </c>
      <c r="S264" s="1869">
        <v>0</v>
      </c>
      <c r="T264" s="1866">
        <v>0</v>
      </c>
      <c r="U264" s="2442"/>
      <c r="V264" s="1866">
        <f t="shared" si="83"/>
        <v>0</v>
      </c>
      <c r="W264" s="1869">
        <f t="shared" si="91"/>
        <v>0</v>
      </c>
      <c r="X264" s="1870">
        <f t="shared" si="81"/>
        <v>0</v>
      </c>
      <c r="Y264" s="1871">
        <f t="shared" si="84"/>
        <v>0</v>
      </c>
      <c r="Z264" s="1694">
        <f t="shared" si="92"/>
        <v>2916.85</v>
      </c>
      <c r="AA264" s="1872">
        <f t="shared" si="85"/>
        <v>23684.821999999996</v>
      </c>
      <c r="AB264" s="1873">
        <f t="shared" si="86"/>
        <v>1.0000000844422714</v>
      </c>
      <c r="AC264" s="1418">
        <f t="shared" si="70"/>
        <v>-1.9999999967694748E-3</v>
      </c>
      <c r="AD264" s="1418">
        <f t="shared" si="71"/>
        <v>0</v>
      </c>
      <c r="AE264" s="1418">
        <v>23684.821999999996</v>
      </c>
      <c r="AF264" s="1418">
        <f t="shared" si="72"/>
        <v>1.9999999967694748E-3</v>
      </c>
      <c r="AG264" s="1418">
        <v>8.1199999999999992</v>
      </c>
      <c r="AH264" s="1418">
        <f t="shared" si="73"/>
        <v>0</v>
      </c>
      <c r="AI264" s="1428"/>
      <c r="AO264" s="2504">
        <v>0</v>
      </c>
      <c r="AP264" s="1418">
        <f t="shared" si="82"/>
        <v>0</v>
      </c>
      <c r="AQ264" s="1418">
        <f t="shared" si="74"/>
        <v>1.9999999967694748E-3</v>
      </c>
    </row>
    <row r="265" spans="1:44" s="1410" customFormat="1" ht="15.75">
      <c r="A265" s="2102"/>
      <c r="B265" s="1268" t="s">
        <v>2408</v>
      </c>
      <c r="C265" s="1241" t="s">
        <v>3053</v>
      </c>
      <c r="D265" s="1245" t="s">
        <v>37</v>
      </c>
      <c r="E265" s="1413">
        <v>5.04</v>
      </c>
      <c r="F265" s="1555">
        <v>61.8</v>
      </c>
      <c r="G265" s="1480">
        <v>62.48</v>
      </c>
      <c r="H265" s="1414">
        <v>62.87</v>
      </c>
      <c r="I265" s="1477">
        <f t="shared" si="68"/>
        <v>311.47000000000003</v>
      </c>
      <c r="J265" s="1477">
        <f t="shared" si="69"/>
        <v>314.89999999999998</v>
      </c>
      <c r="K265" s="1477">
        <v>0</v>
      </c>
      <c r="L265" s="1477">
        <f t="shared" si="75"/>
        <v>0</v>
      </c>
      <c r="M265" s="1477">
        <v>5.04</v>
      </c>
      <c r="N265" s="1477">
        <f t="shared" si="76"/>
        <v>5.04</v>
      </c>
      <c r="O265" s="1477">
        <f t="shared" si="77"/>
        <v>0</v>
      </c>
      <c r="P265" s="1477">
        <f t="shared" si="78"/>
        <v>314.89999999999998</v>
      </c>
      <c r="Q265" s="1477">
        <f t="shared" si="79"/>
        <v>316.86</v>
      </c>
      <c r="R265" s="1576">
        <f t="shared" si="80"/>
        <v>316.86</v>
      </c>
      <c r="S265" s="1869">
        <v>0</v>
      </c>
      <c r="T265" s="1866">
        <v>0</v>
      </c>
      <c r="U265" s="2442"/>
      <c r="V265" s="1866">
        <f t="shared" si="83"/>
        <v>0</v>
      </c>
      <c r="W265" s="1869">
        <f t="shared" si="91"/>
        <v>0</v>
      </c>
      <c r="X265" s="1870">
        <f t="shared" si="81"/>
        <v>0</v>
      </c>
      <c r="Y265" s="1871">
        <f t="shared" si="84"/>
        <v>0</v>
      </c>
      <c r="Z265" s="1694">
        <f t="shared" si="92"/>
        <v>5.04</v>
      </c>
      <c r="AA265" s="1872">
        <f t="shared" si="85"/>
        <v>316.8648</v>
      </c>
      <c r="AB265" s="1873">
        <f t="shared" si="86"/>
        <v>1.0000151486460898</v>
      </c>
      <c r="AC265" s="1418">
        <f t="shared" si="70"/>
        <v>-4.7999999999888132E-3</v>
      </c>
      <c r="AD265" s="1418">
        <f t="shared" si="71"/>
        <v>0</v>
      </c>
      <c r="AE265" s="1418">
        <v>316.8648</v>
      </c>
      <c r="AF265" s="1418">
        <f t="shared" si="72"/>
        <v>4.7999999999888132E-3</v>
      </c>
      <c r="AG265" s="1418">
        <v>62.87</v>
      </c>
      <c r="AH265" s="1418">
        <f t="shared" si="73"/>
        <v>0</v>
      </c>
      <c r="AI265" s="1428"/>
      <c r="AO265" s="2504">
        <v>0</v>
      </c>
      <c r="AP265" s="1418">
        <f t="shared" si="82"/>
        <v>0</v>
      </c>
      <c r="AQ265" s="1418">
        <f t="shared" si="74"/>
        <v>4.7999999999888132E-3</v>
      </c>
    </row>
    <row r="266" spans="1:44" s="1410" customFormat="1" ht="15.75">
      <c r="A266" s="2102"/>
      <c r="B266" s="1272" t="s">
        <v>738</v>
      </c>
      <c r="C266" s="1262" t="s">
        <v>2915</v>
      </c>
      <c r="D266" s="1273"/>
      <c r="E266" s="1415"/>
      <c r="F266" s="1267"/>
      <c r="G266" s="1480"/>
      <c r="H266" s="1416"/>
      <c r="I266" s="1477">
        <f t="shared" si="68"/>
        <v>0</v>
      </c>
      <c r="J266" s="1477">
        <f t="shared" si="69"/>
        <v>0</v>
      </c>
      <c r="K266" s="1477"/>
      <c r="L266" s="1477">
        <f t="shared" si="75"/>
        <v>0</v>
      </c>
      <c r="M266" s="1477"/>
      <c r="N266" s="1477">
        <f t="shared" si="76"/>
        <v>0</v>
      </c>
      <c r="O266" s="1477">
        <f t="shared" si="77"/>
        <v>0</v>
      </c>
      <c r="P266" s="1477">
        <f t="shared" si="78"/>
        <v>0</v>
      </c>
      <c r="Q266" s="1477">
        <f t="shared" si="79"/>
        <v>0</v>
      </c>
      <c r="R266" s="1576">
        <f t="shared" si="80"/>
        <v>0</v>
      </c>
      <c r="S266" s="1869"/>
      <c r="T266" s="1866"/>
      <c r="U266" s="2442"/>
      <c r="V266" s="1866">
        <f t="shared" si="83"/>
        <v>0</v>
      </c>
      <c r="W266" s="1869"/>
      <c r="X266" s="1870"/>
      <c r="Y266" s="1871" t="str">
        <f t="shared" si="84"/>
        <v/>
      </c>
      <c r="Z266" s="1694"/>
      <c r="AA266" s="1872">
        <f t="shared" si="85"/>
        <v>0</v>
      </c>
      <c r="AB266" s="1873" t="str">
        <f t="shared" si="86"/>
        <v/>
      </c>
      <c r="AC266" s="1418">
        <f t="shared" si="70"/>
        <v>0</v>
      </c>
      <c r="AD266" s="1418">
        <f t="shared" si="71"/>
        <v>0</v>
      </c>
      <c r="AE266" s="1418"/>
      <c r="AF266" s="1418">
        <f t="shared" si="72"/>
        <v>0</v>
      </c>
      <c r="AG266" s="1418"/>
      <c r="AH266" s="1418">
        <f t="shared" si="73"/>
        <v>0</v>
      </c>
      <c r="AI266" s="1428"/>
      <c r="AO266" s="2504"/>
      <c r="AP266" s="1418">
        <f t="shared" si="82"/>
        <v>0</v>
      </c>
      <c r="AQ266" s="1418">
        <f t="shared" si="74"/>
        <v>0</v>
      </c>
    </row>
    <row r="267" spans="1:44" s="1410" customFormat="1" ht="15.75">
      <c r="A267" s="2102"/>
      <c r="B267" s="1268" t="s">
        <v>739</v>
      </c>
      <c r="C267" s="1241" t="s">
        <v>3054</v>
      </c>
      <c r="D267" s="1245" t="s">
        <v>36</v>
      </c>
      <c r="E267" s="1413">
        <v>68</v>
      </c>
      <c r="F267" s="1555">
        <v>30.82</v>
      </c>
      <c r="G267" s="1480">
        <v>32.630000000000003</v>
      </c>
      <c r="H267" s="1414">
        <v>33.57</v>
      </c>
      <c r="I267" s="1477">
        <f t="shared" si="68"/>
        <v>2095.7600000000002</v>
      </c>
      <c r="J267" s="1477">
        <f t="shared" si="69"/>
        <v>2218.84</v>
      </c>
      <c r="K267" s="1477">
        <v>0</v>
      </c>
      <c r="L267" s="1477">
        <f t="shared" si="75"/>
        <v>0</v>
      </c>
      <c r="M267" s="1477">
        <v>68</v>
      </c>
      <c r="N267" s="1477">
        <f t="shared" si="76"/>
        <v>68</v>
      </c>
      <c r="O267" s="1477">
        <f t="shared" si="77"/>
        <v>0</v>
      </c>
      <c r="P267" s="1477">
        <f t="shared" si="78"/>
        <v>2218.84</v>
      </c>
      <c r="Q267" s="1477">
        <f t="shared" si="79"/>
        <v>2282.7600000000002</v>
      </c>
      <c r="R267" s="1576">
        <f t="shared" si="80"/>
        <v>2282.7600000000002</v>
      </c>
      <c r="S267" s="1869">
        <v>0</v>
      </c>
      <c r="T267" s="1866">
        <v>0</v>
      </c>
      <c r="U267" s="2442"/>
      <c r="V267" s="1866">
        <f t="shared" si="83"/>
        <v>0</v>
      </c>
      <c r="W267" s="1869">
        <f>S267+U267</f>
        <v>0</v>
      </c>
      <c r="X267" s="1870">
        <f t="shared" si="81"/>
        <v>0</v>
      </c>
      <c r="Y267" s="1871">
        <f t="shared" si="84"/>
        <v>0</v>
      </c>
      <c r="Z267" s="1694">
        <f>+E267-W267</f>
        <v>68</v>
      </c>
      <c r="AA267" s="1872">
        <f t="shared" si="85"/>
        <v>2282.7600000000002</v>
      </c>
      <c r="AB267" s="1873">
        <f t="shared" si="86"/>
        <v>1</v>
      </c>
      <c r="AC267" s="1418">
        <f t="shared" si="70"/>
        <v>0</v>
      </c>
      <c r="AD267" s="1418">
        <f t="shared" si="71"/>
        <v>0</v>
      </c>
      <c r="AE267" s="1418">
        <v>2282.7600000000002</v>
      </c>
      <c r="AF267" s="1418">
        <f t="shared" si="72"/>
        <v>0</v>
      </c>
      <c r="AG267" s="1418">
        <v>33.57</v>
      </c>
      <c r="AH267" s="1418">
        <f t="shared" si="73"/>
        <v>0</v>
      </c>
      <c r="AI267" s="1428"/>
      <c r="AO267" s="2504">
        <v>0</v>
      </c>
      <c r="AP267" s="1418">
        <f t="shared" si="82"/>
        <v>0</v>
      </c>
      <c r="AQ267" s="1418">
        <f t="shared" si="74"/>
        <v>0</v>
      </c>
    </row>
    <row r="268" spans="1:44" s="1410" customFormat="1" ht="15.75">
      <c r="A268" s="2102"/>
      <c r="B268" s="1268" t="s">
        <v>740</v>
      </c>
      <c r="C268" s="1241" t="s">
        <v>3055</v>
      </c>
      <c r="D268" s="1245" t="s">
        <v>38</v>
      </c>
      <c r="E268" s="1413">
        <v>287</v>
      </c>
      <c r="F268" s="1555">
        <v>110.4</v>
      </c>
      <c r="G268" s="1480">
        <v>113.69</v>
      </c>
      <c r="H268" s="1414">
        <v>115.43</v>
      </c>
      <c r="I268" s="1477">
        <f t="shared" si="68"/>
        <v>31684.799999999999</v>
      </c>
      <c r="J268" s="1477">
        <f t="shared" si="69"/>
        <v>32629.03</v>
      </c>
      <c r="K268" s="1477">
        <v>0</v>
      </c>
      <c r="L268" s="1477">
        <f t="shared" si="75"/>
        <v>0</v>
      </c>
      <c r="M268" s="1477">
        <v>287</v>
      </c>
      <c r="N268" s="1477">
        <f t="shared" si="76"/>
        <v>287</v>
      </c>
      <c r="O268" s="1477">
        <f t="shared" si="77"/>
        <v>0</v>
      </c>
      <c r="P268" s="1477">
        <f t="shared" si="78"/>
        <v>32629.03</v>
      </c>
      <c r="Q268" s="1477">
        <f t="shared" si="79"/>
        <v>33128.410000000003</v>
      </c>
      <c r="R268" s="1576">
        <f t="shared" si="80"/>
        <v>33128.410000000003</v>
      </c>
      <c r="S268" s="1869">
        <v>0</v>
      </c>
      <c r="T268" s="1866">
        <v>0</v>
      </c>
      <c r="U268" s="2442"/>
      <c r="V268" s="1866">
        <f t="shared" si="83"/>
        <v>0</v>
      </c>
      <c r="W268" s="1869">
        <f>S268+U268</f>
        <v>0</v>
      </c>
      <c r="X268" s="1870">
        <f t="shared" si="81"/>
        <v>0</v>
      </c>
      <c r="Y268" s="1871">
        <f t="shared" si="84"/>
        <v>0</v>
      </c>
      <c r="Z268" s="1694">
        <f>+E268-W268</f>
        <v>287</v>
      </c>
      <c r="AA268" s="1872">
        <f t="shared" si="85"/>
        <v>33128.410000000003</v>
      </c>
      <c r="AB268" s="1873">
        <f t="shared" si="86"/>
        <v>1</v>
      </c>
      <c r="AC268" s="1418">
        <f t="shared" si="70"/>
        <v>0</v>
      </c>
      <c r="AD268" s="1418">
        <f t="shared" si="71"/>
        <v>0</v>
      </c>
      <c r="AE268" s="1418">
        <v>33128.410000000003</v>
      </c>
      <c r="AF268" s="1418">
        <f t="shared" si="72"/>
        <v>0</v>
      </c>
      <c r="AG268" s="1418">
        <v>115.43</v>
      </c>
      <c r="AH268" s="1418">
        <f t="shared" si="73"/>
        <v>0</v>
      </c>
      <c r="AI268" s="1428"/>
      <c r="AO268" s="2504">
        <v>0</v>
      </c>
      <c r="AP268" s="1418">
        <f t="shared" si="82"/>
        <v>0</v>
      </c>
      <c r="AQ268" s="1418">
        <f t="shared" si="74"/>
        <v>0</v>
      </c>
    </row>
    <row r="269" spans="1:44" s="1410" customFormat="1" ht="15.75">
      <c r="A269" s="2102"/>
      <c r="B269" s="1268" t="s">
        <v>2409</v>
      </c>
      <c r="C269" s="1241" t="s">
        <v>3056</v>
      </c>
      <c r="D269" s="1245" t="s">
        <v>38</v>
      </c>
      <c r="E269" s="1413">
        <v>296.2</v>
      </c>
      <c r="F269" s="1555">
        <v>110.4</v>
      </c>
      <c r="G269" s="1480">
        <v>113.69</v>
      </c>
      <c r="H269" s="1414">
        <v>115.43</v>
      </c>
      <c r="I269" s="1477">
        <f t="shared" si="68"/>
        <v>32700.48</v>
      </c>
      <c r="J269" s="1477">
        <f t="shared" si="69"/>
        <v>33674.980000000003</v>
      </c>
      <c r="K269" s="1477">
        <v>0</v>
      </c>
      <c r="L269" s="1477">
        <f t="shared" si="75"/>
        <v>0</v>
      </c>
      <c r="M269" s="1477">
        <v>296.2</v>
      </c>
      <c r="N269" s="1477">
        <f t="shared" si="76"/>
        <v>296.2</v>
      </c>
      <c r="O269" s="1477">
        <f t="shared" si="77"/>
        <v>0</v>
      </c>
      <c r="P269" s="1477">
        <f t="shared" si="78"/>
        <v>33674.980000000003</v>
      </c>
      <c r="Q269" s="1477">
        <f t="shared" si="79"/>
        <v>34190.370000000003</v>
      </c>
      <c r="R269" s="1576">
        <f t="shared" si="80"/>
        <v>34190.370000000003</v>
      </c>
      <c r="S269" s="1869">
        <v>0</v>
      </c>
      <c r="T269" s="1866">
        <v>0</v>
      </c>
      <c r="U269" s="2442"/>
      <c r="V269" s="1866">
        <f t="shared" si="83"/>
        <v>0</v>
      </c>
      <c r="W269" s="1869">
        <f>S269+U269</f>
        <v>0</v>
      </c>
      <c r="X269" s="1870">
        <f t="shared" si="81"/>
        <v>0</v>
      </c>
      <c r="Y269" s="1871">
        <f t="shared" si="84"/>
        <v>0</v>
      </c>
      <c r="Z269" s="1694">
        <f>+E269-W269</f>
        <v>296.2</v>
      </c>
      <c r="AA269" s="1872">
        <f t="shared" si="85"/>
        <v>34190.366000000002</v>
      </c>
      <c r="AB269" s="1873">
        <f t="shared" si="86"/>
        <v>0.99999988300799314</v>
      </c>
      <c r="AC269" s="1418">
        <f t="shared" si="70"/>
        <v>4.0000000008149073E-3</v>
      </c>
      <c r="AD269" s="1418">
        <f t="shared" si="71"/>
        <v>0</v>
      </c>
      <c r="AE269" s="1418">
        <v>34190.366000000002</v>
      </c>
      <c r="AF269" s="1418">
        <f t="shared" si="72"/>
        <v>-4.0000000008149073E-3</v>
      </c>
      <c r="AG269" s="1418">
        <v>115.43</v>
      </c>
      <c r="AH269" s="1418">
        <f t="shared" si="73"/>
        <v>0</v>
      </c>
      <c r="AI269" s="1428"/>
      <c r="AO269" s="2504">
        <v>0</v>
      </c>
      <c r="AP269" s="1418">
        <f t="shared" si="82"/>
        <v>0</v>
      </c>
      <c r="AQ269" s="1418">
        <f t="shared" si="74"/>
        <v>-4.0000000008149073E-3</v>
      </c>
    </row>
    <row r="270" spans="1:44" s="1231" customFormat="1" ht="15.75">
      <c r="A270" s="2103"/>
      <c r="B270" s="1263" t="s">
        <v>741</v>
      </c>
      <c r="C270" s="1264" t="s">
        <v>3057</v>
      </c>
      <c r="D270" s="1265"/>
      <c r="E270" s="1266"/>
      <c r="F270" s="1267"/>
      <c r="G270" s="1480"/>
      <c r="H270" s="1267"/>
      <c r="I270" s="1477">
        <f t="shared" si="68"/>
        <v>0</v>
      </c>
      <c r="J270" s="1477">
        <f t="shared" si="69"/>
        <v>0</v>
      </c>
      <c r="K270" s="1477"/>
      <c r="L270" s="1477">
        <f t="shared" si="75"/>
        <v>0</v>
      </c>
      <c r="M270" s="1477"/>
      <c r="N270" s="1477">
        <f t="shared" si="76"/>
        <v>0</v>
      </c>
      <c r="O270" s="1477">
        <f t="shared" si="77"/>
        <v>0</v>
      </c>
      <c r="P270" s="1477">
        <f t="shared" si="78"/>
        <v>0</v>
      </c>
      <c r="Q270" s="1477">
        <f t="shared" si="79"/>
        <v>0</v>
      </c>
      <c r="R270" s="1576">
        <f t="shared" si="80"/>
        <v>0</v>
      </c>
      <c r="S270" s="2452"/>
      <c r="T270" s="1866"/>
      <c r="U270" s="2442"/>
      <c r="V270" s="1866">
        <f t="shared" si="83"/>
        <v>0</v>
      </c>
      <c r="W270" s="2452"/>
      <c r="X270" s="1870"/>
      <c r="Y270" s="1871" t="str">
        <f t="shared" si="84"/>
        <v/>
      </c>
      <c r="Z270" s="1694"/>
      <c r="AA270" s="1872">
        <f t="shared" si="85"/>
        <v>0</v>
      </c>
      <c r="AB270" s="1873" t="str">
        <f t="shared" si="86"/>
        <v/>
      </c>
      <c r="AC270" s="1418">
        <f t="shared" si="70"/>
        <v>0</v>
      </c>
      <c r="AD270" s="1418">
        <f t="shared" si="71"/>
        <v>0</v>
      </c>
      <c r="AE270" s="1230"/>
      <c r="AF270" s="1230">
        <f t="shared" si="72"/>
        <v>0</v>
      </c>
      <c r="AG270" s="1230"/>
      <c r="AH270" s="1418">
        <f t="shared" si="73"/>
        <v>0</v>
      </c>
      <c r="AI270" s="1346"/>
      <c r="AO270" s="1736"/>
      <c r="AP270" s="1418">
        <f t="shared" si="82"/>
        <v>0</v>
      </c>
      <c r="AQ270" s="1418">
        <f t="shared" si="74"/>
        <v>0</v>
      </c>
    </row>
    <row r="271" spans="1:44" s="1410" customFormat="1" ht="15.75">
      <c r="A271" s="2102"/>
      <c r="B271" s="1268" t="s">
        <v>742</v>
      </c>
      <c r="C271" s="1241" t="s">
        <v>3058</v>
      </c>
      <c r="D271" s="1245" t="s">
        <v>38</v>
      </c>
      <c r="E271" s="1413">
        <v>2558.3000000000002</v>
      </c>
      <c r="F271" s="1555">
        <v>25.96</v>
      </c>
      <c r="G271" s="1480">
        <v>27.09</v>
      </c>
      <c r="H271" s="1414">
        <v>27.7</v>
      </c>
      <c r="I271" s="1477">
        <f t="shared" si="68"/>
        <v>66413.47</v>
      </c>
      <c r="J271" s="1477">
        <f t="shared" si="69"/>
        <v>69304.350000000006</v>
      </c>
      <c r="K271" s="1477">
        <v>0</v>
      </c>
      <c r="L271" s="1477">
        <f t="shared" si="75"/>
        <v>0</v>
      </c>
      <c r="M271" s="1477">
        <v>2558.3000000000002</v>
      </c>
      <c r="N271" s="1477">
        <f t="shared" si="76"/>
        <v>2558.3000000000002</v>
      </c>
      <c r="O271" s="1477">
        <f t="shared" si="77"/>
        <v>0</v>
      </c>
      <c r="P271" s="1477">
        <f t="shared" si="78"/>
        <v>69304.350000000006</v>
      </c>
      <c r="Q271" s="1477">
        <f t="shared" si="79"/>
        <v>70864.91</v>
      </c>
      <c r="R271" s="1576">
        <f t="shared" si="80"/>
        <v>70864.91</v>
      </c>
      <c r="S271" s="1869">
        <v>1957.15</v>
      </c>
      <c r="T271" s="1866">
        <v>54213.055</v>
      </c>
      <c r="U271" s="2442"/>
      <c r="V271" s="1866">
        <f t="shared" si="83"/>
        <v>0</v>
      </c>
      <c r="W271" s="1869">
        <f>S271+U271</f>
        <v>1957.15</v>
      </c>
      <c r="X271" s="1870">
        <f>+V271+T271</f>
        <v>54213.055</v>
      </c>
      <c r="Y271" s="1871">
        <f t="shared" si="84"/>
        <v>0.76501973967087511</v>
      </c>
      <c r="Z271" s="1694">
        <f>+E271-W271</f>
        <v>601.15000000000009</v>
      </c>
      <c r="AA271" s="1872">
        <f t="shared" si="85"/>
        <v>16651.855000000003</v>
      </c>
      <c r="AB271" s="1873">
        <f t="shared" si="86"/>
        <v>0.23498026032912483</v>
      </c>
      <c r="AC271" s="1418">
        <f t="shared" si="70"/>
        <v>0</v>
      </c>
      <c r="AD271" s="1418">
        <f t="shared" si="71"/>
        <v>0</v>
      </c>
      <c r="AE271" s="1418">
        <v>70864.91</v>
      </c>
      <c r="AF271" s="1418">
        <f t="shared" si="72"/>
        <v>0</v>
      </c>
      <c r="AG271" s="1418">
        <v>27.7</v>
      </c>
      <c r="AH271" s="1418">
        <f t="shared" si="73"/>
        <v>0</v>
      </c>
      <c r="AI271" s="1428"/>
      <c r="AO271" s="2504">
        <v>54213.055</v>
      </c>
      <c r="AP271" s="1418">
        <f t="shared" si="82"/>
        <v>0</v>
      </c>
      <c r="AQ271" s="1418">
        <f t="shared" si="74"/>
        <v>0</v>
      </c>
      <c r="AR271" s="1410">
        <f>+Z271*0.5</f>
        <v>300.57500000000005</v>
      </c>
    </row>
    <row r="272" spans="1:44" s="1410" customFormat="1" ht="15.75">
      <c r="A272" s="2102"/>
      <c r="B272" s="1268" t="s">
        <v>745</v>
      </c>
      <c r="C272" s="1241" t="s">
        <v>3059</v>
      </c>
      <c r="D272" s="1245" t="s">
        <v>37</v>
      </c>
      <c r="E272" s="1413">
        <v>1840.77</v>
      </c>
      <c r="F272" s="1555">
        <v>74.47</v>
      </c>
      <c r="G272" s="1480">
        <v>75.41</v>
      </c>
      <c r="H272" s="1414">
        <v>75.91</v>
      </c>
      <c r="I272" s="1477">
        <f t="shared" ref="I272:I335" si="93">ROUND(E272*F272,2)</f>
        <v>137082.14000000001</v>
      </c>
      <c r="J272" s="1477">
        <f t="shared" ref="J272:J335" si="94">ROUND(E272*G272,2)</f>
        <v>138812.47</v>
      </c>
      <c r="K272" s="1477">
        <v>0</v>
      </c>
      <c r="L272" s="1477">
        <f t="shared" si="75"/>
        <v>0</v>
      </c>
      <c r="M272" s="1477">
        <v>1840.77</v>
      </c>
      <c r="N272" s="1477">
        <f t="shared" si="76"/>
        <v>1840.77</v>
      </c>
      <c r="O272" s="1477">
        <f t="shared" si="77"/>
        <v>0</v>
      </c>
      <c r="P272" s="1477">
        <f t="shared" si="78"/>
        <v>138812.47</v>
      </c>
      <c r="Q272" s="1477">
        <f t="shared" si="79"/>
        <v>139732.85</v>
      </c>
      <c r="R272" s="1576">
        <f t="shared" si="80"/>
        <v>139732.85</v>
      </c>
      <c r="S272" s="1869">
        <v>1242.145</v>
      </c>
      <c r="T272" s="1866">
        <v>94291.226949999997</v>
      </c>
      <c r="U272" s="2442"/>
      <c r="V272" s="1866">
        <f t="shared" si="83"/>
        <v>0</v>
      </c>
      <c r="W272" s="1869">
        <f>S272+U272</f>
        <v>1242.145</v>
      </c>
      <c r="X272" s="1870">
        <f t="shared" si="81"/>
        <v>94291.226949999997</v>
      </c>
      <c r="Y272" s="1871">
        <f t="shared" si="84"/>
        <v>0.67479642009734997</v>
      </c>
      <c r="Z272" s="1694">
        <f>+E272-W272</f>
        <v>598.625</v>
      </c>
      <c r="AA272" s="1872">
        <f t="shared" si="85"/>
        <v>45441.623749999999</v>
      </c>
      <c r="AB272" s="1873">
        <f t="shared" si="86"/>
        <v>0.32520358491220924</v>
      </c>
      <c r="AC272" s="1418">
        <f t="shared" ref="AC272:AC335" si="95">+R272-X272-AA272</f>
        <v>-6.9999998959247023E-4</v>
      </c>
      <c r="AD272" s="1418">
        <f t="shared" ref="AD272:AD335" si="96">+E272-W272-Z272</f>
        <v>0</v>
      </c>
      <c r="AE272" s="1418">
        <v>139732.85069999998</v>
      </c>
      <c r="AF272" s="1418">
        <f t="shared" ref="AF272:AF335" si="97">+AE272-R272</f>
        <v>6.99999975040555E-4</v>
      </c>
      <c r="AG272" s="1418">
        <v>75.91</v>
      </c>
      <c r="AH272" s="1418">
        <f t="shared" ref="AH272:AH335" si="98">+AG272-H272</f>
        <v>0</v>
      </c>
      <c r="AI272" s="1428"/>
      <c r="AO272" s="2504">
        <v>94291.226949999997</v>
      </c>
      <c r="AP272" s="1418">
        <f t="shared" si="82"/>
        <v>0</v>
      </c>
      <c r="AQ272" s="1418">
        <f t="shared" ref="AQ272:AQ278" si="99">+T272+V272+AA272-R272</f>
        <v>7.0000000414438546E-4</v>
      </c>
      <c r="AR272" s="1410">
        <f t="shared" ref="AR272:AR273" si="100">+Z272*0.5</f>
        <v>299.3125</v>
      </c>
    </row>
    <row r="273" spans="1:44" s="1410" customFormat="1" ht="15.75">
      <c r="A273" s="2102"/>
      <c r="B273" s="1268" t="s">
        <v>747</v>
      </c>
      <c r="C273" s="1241" t="s">
        <v>3060</v>
      </c>
      <c r="D273" s="1245" t="s">
        <v>38</v>
      </c>
      <c r="E273" s="1413">
        <v>370.2</v>
      </c>
      <c r="F273" s="1555">
        <v>39.03</v>
      </c>
      <c r="G273" s="1480">
        <v>40.090000000000003</v>
      </c>
      <c r="H273" s="1414">
        <v>40.659999999999997</v>
      </c>
      <c r="I273" s="1477">
        <f t="shared" si="93"/>
        <v>14448.91</v>
      </c>
      <c r="J273" s="1477">
        <f t="shared" si="94"/>
        <v>14841.32</v>
      </c>
      <c r="K273" s="1477">
        <v>0</v>
      </c>
      <c r="L273" s="1477">
        <f t="shared" ref="L273:L336" si="101">E273-N273</f>
        <v>0</v>
      </c>
      <c r="M273" s="1477">
        <v>370.2</v>
      </c>
      <c r="N273" s="1477">
        <f t="shared" ref="N273:N336" si="102">ROUND(M273,2)</f>
        <v>370.2</v>
      </c>
      <c r="O273" s="1477">
        <f t="shared" ref="O273:O336" si="103">ROUND(L273*G273,2)</f>
        <v>0</v>
      </c>
      <c r="P273" s="1477">
        <f t="shared" ref="P273:P336" si="104">ROUND(N273*G273,2)</f>
        <v>14841.32</v>
      </c>
      <c r="Q273" s="1477">
        <f t="shared" ref="Q273:Q336" si="105">ROUND(N273*H273,2)</f>
        <v>15052.33</v>
      </c>
      <c r="R273" s="1576">
        <f t="shared" ref="R273:R336" si="106">O273+Q273</f>
        <v>15052.33</v>
      </c>
      <c r="S273" s="1869">
        <v>257.5</v>
      </c>
      <c r="T273" s="1866">
        <v>10469.950000000001</v>
      </c>
      <c r="U273" s="2442"/>
      <c r="V273" s="1866">
        <f t="shared" si="83"/>
        <v>0</v>
      </c>
      <c r="W273" s="1869">
        <f>S273+U273</f>
        <v>257.5</v>
      </c>
      <c r="X273" s="1870">
        <f t="shared" ref="X273:X335" si="107">+V273+T273</f>
        <v>10469.950000000001</v>
      </c>
      <c r="Y273" s="1871">
        <f t="shared" si="84"/>
        <v>0.69557005460284227</v>
      </c>
      <c r="Z273" s="1694">
        <f>+E273-W273</f>
        <v>112.69999999999999</v>
      </c>
      <c r="AA273" s="1872">
        <f t="shared" si="85"/>
        <v>4582.3819999999996</v>
      </c>
      <c r="AB273" s="1873">
        <f t="shared" si="86"/>
        <v>0.30443007826695268</v>
      </c>
      <c r="AC273" s="1418">
        <f t="shared" si="95"/>
        <v>-2.0000000004074536E-3</v>
      </c>
      <c r="AD273" s="1418">
        <f t="shared" si="96"/>
        <v>0</v>
      </c>
      <c r="AE273" s="1418">
        <v>15052.331999999999</v>
      </c>
      <c r="AF273" s="1418">
        <f t="shared" si="97"/>
        <v>1.9999999985884642E-3</v>
      </c>
      <c r="AG273" s="1418">
        <v>40.659999999999997</v>
      </c>
      <c r="AH273" s="1418">
        <f t="shared" si="98"/>
        <v>0</v>
      </c>
      <c r="AI273" s="1428"/>
      <c r="AO273" s="2504">
        <v>10469.950000000001</v>
      </c>
      <c r="AP273" s="1418">
        <f t="shared" ref="AP273:AP336" si="108">+AO273-X273</f>
        <v>0</v>
      </c>
      <c r="AQ273" s="1418">
        <f t="shared" si="99"/>
        <v>2.0000000004074536E-3</v>
      </c>
      <c r="AR273" s="1410">
        <f t="shared" si="100"/>
        <v>56.349999999999994</v>
      </c>
    </row>
    <row r="274" spans="1:44" s="1410" customFormat="1" ht="15.75">
      <c r="A274" s="2102"/>
      <c r="B274" s="1268" t="s">
        <v>760</v>
      </c>
      <c r="C274" s="1241" t="s">
        <v>3061</v>
      </c>
      <c r="D274" s="1245" t="s">
        <v>37</v>
      </c>
      <c r="E274" s="1413">
        <v>1840.77</v>
      </c>
      <c r="F274" s="1555">
        <v>11.27</v>
      </c>
      <c r="G274" s="1480">
        <v>11.65</v>
      </c>
      <c r="H274" s="1414">
        <v>11.85</v>
      </c>
      <c r="I274" s="1477">
        <f t="shared" si="93"/>
        <v>20745.48</v>
      </c>
      <c r="J274" s="1477">
        <f t="shared" si="94"/>
        <v>21444.97</v>
      </c>
      <c r="K274" s="1477">
        <v>0</v>
      </c>
      <c r="L274" s="1477">
        <f t="shared" si="101"/>
        <v>0</v>
      </c>
      <c r="M274" s="1477">
        <v>1840.77</v>
      </c>
      <c r="N274" s="1477">
        <f t="shared" si="102"/>
        <v>1840.77</v>
      </c>
      <c r="O274" s="1477">
        <f t="shared" si="103"/>
        <v>0</v>
      </c>
      <c r="P274" s="1477">
        <f t="shared" si="104"/>
        <v>21444.97</v>
      </c>
      <c r="Q274" s="1477">
        <f t="shared" si="105"/>
        <v>21813.119999999999</v>
      </c>
      <c r="R274" s="1576">
        <f t="shared" si="106"/>
        <v>21813.119999999999</v>
      </c>
      <c r="S274" s="1869">
        <v>0</v>
      </c>
      <c r="T274" s="1866">
        <v>0</v>
      </c>
      <c r="U274" s="2442"/>
      <c r="V274" s="1866">
        <f t="shared" ref="V274:V337" si="109">+U274*H274</f>
        <v>0</v>
      </c>
      <c r="W274" s="1869">
        <f>S274+U274</f>
        <v>0</v>
      </c>
      <c r="X274" s="1870">
        <f t="shared" si="107"/>
        <v>0</v>
      </c>
      <c r="Y274" s="1871">
        <f t="shared" ref="Y274:Y337" si="110">+IF(D274=0,"",X274/R274)</f>
        <v>0</v>
      </c>
      <c r="Z274" s="1694">
        <f>+E274-W274</f>
        <v>1840.77</v>
      </c>
      <c r="AA274" s="1872">
        <f t="shared" ref="AA274:AA337" si="111">+Z274*H274</f>
        <v>21813.124499999998</v>
      </c>
      <c r="AB274" s="1873">
        <f t="shared" ref="AB274:AB337" si="112">+IF(R274=0,"",AA274/R274)</f>
        <v>1.000000206297861</v>
      </c>
      <c r="AC274" s="1418">
        <f t="shared" si="95"/>
        <v>-4.4999999990977813E-3</v>
      </c>
      <c r="AD274" s="1418">
        <f t="shared" si="96"/>
        <v>0</v>
      </c>
      <c r="AE274" s="1418">
        <v>21813.124499999998</v>
      </c>
      <c r="AF274" s="1418">
        <f t="shared" si="97"/>
        <v>4.4999999990977813E-3</v>
      </c>
      <c r="AG274" s="1418">
        <v>11.85</v>
      </c>
      <c r="AH274" s="1418">
        <f t="shared" si="98"/>
        <v>0</v>
      </c>
      <c r="AI274" s="1428"/>
      <c r="AO274" s="2504">
        <v>0</v>
      </c>
      <c r="AP274" s="1418">
        <f t="shared" si="108"/>
        <v>0</v>
      </c>
      <c r="AQ274" s="1418">
        <f t="shared" si="99"/>
        <v>4.4999999990977813E-3</v>
      </c>
    </row>
    <row r="275" spans="1:44" s="1410" customFormat="1" ht="15.75">
      <c r="A275" s="2102"/>
      <c r="B275" s="1268" t="s">
        <v>2410</v>
      </c>
      <c r="C275" s="1241" t="s">
        <v>3062</v>
      </c>
      <c r="D275" s="1245" t="s">
        <v>37</v>
      </c>
      <c r="E275" s="1413">
        <v>1154.25</v>
      </c>
      <c r="F275" s="1555">
        <v>253.34</v>
      </c>
      <c r="G275" s="1480">
        <v>256.85000000000002</v>
      </c>
      <c r="H275" s="1414">
        <v>258.7</v>
      </c>
      <c r="I275" s="1477">
        <f t="shared" si="93"/>
        <v>292417.7</v>
      </c>
      <c r="J275" s="1477">
        <f t="shared" si="94"/>
        <v>296469.11</v>
      </c>
      <c r="K275" s="1477">
        <v>0</v>
      </c>
      <c r="L275" s="1477">
        <f t="shared" si="101"/>
        <v>0</v>
      </c>
      <c r="M275" s="1477">
        <v>1154.25</v>
      </c>
      <c r="N275" s="1477">
        <f t="shared" si="102"/>
        <v>1154.25</v>
      </c>
      <c r="O275" s="1477">
        <f t="shared" si="103"/>
        <v>0</v>
      </c>
      <c r="P275" s="1477">
        <f t="shared" si="104"/>
        <v>296469.11</v>
      </c>
      <c r="Q275" s="1477">
        <f t="shared" si="105"/>
        <v>298604.48</v>
      </c>
      <c r="R275" s="1576">
        <f t="shared" si="106"/>
        <v>298604.48</v>
      </c>
      <c r="S275" s="1869">
        <v>0</v>
      </c>
      <c r="T275" s="1866">
        <v>0</v>
      </c>
      <c r="U275" s="2442"/>
      <c r="V275" s="1866">
        <f t="shared" si="109"/>
        <v>0</v>
      </c>
      <c r="W275" s="1869">
        <f>S275+U275</f>
        <v>0</v>
      </c>
      <c r="X275" s="1870">
        <f t="shared" si="107"/>
        <v>0</v>
      </c>
      <c r="Y275" s="1871">
        <f t="shared" si="110"/>
        <v>0</v>
      </c>
      <c r="Z275" s="1694">
        <f>+E275-W275</f>
        <v>1154.25</v>
      </c>
      <c r="AA275" s="1872">
        <f t="shared" si="111"/>
        <v>298604.47499999998</v>
      </c>
      <c r="AB275" s="1873">
        <f t="shared" si="112"/>
        <v>0.99999998325544215</v>
      </c>
      <c r="AC275" s="1418">
        <f t="shared" si="95"/>
        <v>5.0000000046566129E-3</v>
      </c>
      <c r="AD275" s="1418">
        <f t="shared" si="96"/>
        <v>0</v>
      </c>
      <c r="AE275" s="1418">
        <v>298604.47499999998</v>
      </c>
      <c r="AF275" s="1418">
        <f t="shared" si="97"/>
        <v>-5.0000000046566129E-3</v>
      </c>
      <c r="AG275" s="1418">
        <v>258.7</v>
      </c>
      <c r="AH275" s="1418">
        <f t="shared" si="98"/>
        <v>0</v>
      </c>
      <c r="AI275" s="1428"/>
      <c r="AO275" s="2504">
        <v>0</v>
      </c>
      <c r="AP275" s="1418">
        <f t="shared" si="108"/>
        <v>0</v>
      </c>
      <c r="AQ275" s="1418">
        <f t="shared" si="99"/>
        <v>-5.0000000046566129E-3</v>
      </c>
    </row>
    <row r="276" spans="1:44" s="1231" customFormat="1" ht="15.75">
      <c r="A276" s="2103"/>
      <c r="B276" s="1263" t="s">
        <v>762</v>
      </c>
      <c r="C276" s="1264" t="s">
        <v>3063</v>
      </c>
      <c r="D276" s="1265"/>
      <c r="E276" s="1266"/>
      <c r="F276" s="1267"/>
      <c r="G276" s="1480"/>
      <c r="H276" s="1267"/>
      <c r="I276" s="1477">
        <f t="shared" si="93"/>
        <v>0</v>
      </c>
      <c r="J276" s="1477">
        <f t="shared" si="94"/>
        <v>0</v>
      </c>
      <c r="K276" s="1477"/>
      <c r="L276" s="1477">
        <f t="shared" si="101"/>
        <v>0</v>
      </c>
      <c r="M276" s="1477"/>
      <c r="N276" s="1477">
        <f t="shared" si="102"/>
        <v>0</v>
      </c>
      <c r="O276" s="1477">
        <f t="shared" si="103"/>
        <v>0</v>
      </c>
      <c r="P276" s="1477">
        <f t="shared" si="104"/>
        <v>0</v>
      </c>
      <c r="Q276" s="1477">
        <f t="shared" si="105"/>
        <v>0</v>
      </c>
      <c r="R276" s="1576">
        <f t="shared" si="106"/>
        <v>0</v>
      </c>
      <c r="S276" s="2452"/>
      <c r="T276" s="1866"/>
      <c r="U276" s="2442"/>
      <c r="V276" s="1866">
        <f t="shared" si="109"/>
        <v>0</v>
      </c>
      <c r="W276" s="2452"/>
      <c r="X276" s="1870"/>
      <c r="Y276" s="1871" t="str">
        <f t="shared" si="110"/>
        <v/>
      </c>
      <c r="Z276" s="1694"/>
      <c r="AA276" s="1872">
        <f t="shared" si="111"/>
        <v>0</v>
      </c>
      <c r="AB276" s="1873" t="str">
        <f t="shared" si="112"/>
        <v/>
      </c>
      <c r="AC276" s="1418">
        <f t="shared" si="95"/>
        <v>0</v>
      </c>
      <c r="AD276" s="1418">
        <f t="shared" si="96"/>
        <v>0</v>
      </c>
      <c r="AE276" s="1230"/>
      <c r="AF276" s="1230">
        <f t="shared" si="97"/>
        <v>0</v>
      </c>
      <c r="AG276" s="1230"/>
      <c r="AH276" s="1418">
        <f t="shared" si="98"/>
        <v>0</v>
      </c>
      <c r="AI276" s="1346"/>
      <c r="AO276" s="1736"/>
      <c r="AP276" s="1418">
        <f t="shared" si="108"/>
        <v>0</v>
      </c>
      <c r="AQ276" s="1418">
        <f t="shared" si="99"/>
        <v>0</v>
      </c>
    </row>
    <row r="277" spans="1:44" s="1410" customFormat="1" ht="15.75">
      <c r="A277" s="2102"/>
      <c r="B277" s="1268" t="s">
        <v>763</v>
      </c>
      <c r="C277" s="2131" t="s">
        <v>3064</v>
      </c>
      <c r="D277" s="1245" t="s">
        <v>38</v>
      </c>
      <c r="E277" s="1413">
        <v>109.6</v>
      </c>
      <c r="F277" s="1555">
        <v>16.100000000000001</v>
      </c>
      <c r="G277" s="1480">
        <v>16.350000000000001</v>
      </c>
      <c r="H277" s="1414">
        <v>16.489999999999998</v>
      </c>
      <c r="I277" s="1477">
        <f t="shared" si="93"/>
        <v>1764.56</v>
      </c>
      <c r="J277" s="1477">
        <f t="shared" si="94"/>
        <v>1791.96</v>
      </c>
      <c r="K277" s="1477">
        <v>0</v>
      </c>
      <c r="L277" s="1477">
        <f t="shared" si="101"/>
        <v>0</v>
      </c>
      <c r="M277" s="1477">
        <v>109.6</v>
      </c>
      <c r="N277" s="1477">
        <f t="shared" si="102"/>
        <v>109.6</v>
      </c>
      <c r="O277" s="1477">
        <f t="shared" si="103"/>
        <v>0</v>
      </c>
      <c r="P277" s="1477">
        <f t="shared" si="104"/>
        <v>1791.96</v>
      </c>
      <c r="Q277" s="1477">
        <f t="shared" si="105"/>
        <v>1807.3</v>
      </c>
      <c r="R277" s="1576">
        <f t="shared" si="106"/>
        <v>1807.3</v>
      </c>
      <c r="S277" s="1869">
        <v>10.5</v>
      </c>
      <c r="T277" s="1866">
        <v>173.14499999999998</v>
      </c>
      <c r="U277" s="2442">
        <v>9.6</v>
      </c>
      <c r="V277" s="1866">
        <f t="shared" si="109"/>
        <v>158.30399999999997</v>
      </c>
      <c r="W277" s="1869">
        <f>S277+U277</f>
        <v>20.100000000000001</v>
      </c>
      <c r="X277" s="1870">
        <f t="shared" si="107"/>
        <v>331.44899999999996</v>
      </c>
      <c r="Y277" s="1871">
        <f t="shared" si="110"/>
        <v>0.18339456648038507</v>
      </c>
      <c r="Z277" s="1694">
        <f>+E277-W277</f>
        <v>89.5</v>
      </c>
      <c r="AA277" s="1872">
        <f t="shared" si="111"/>
        <v>1475.8549999999998</v>
      </c>
      <c r="AB277" s="1873">
        <f t="shared" si="112"/>
        <v>0.81660764676589381</v>
      </c>
      <c r="AC277" s="1418">
        <f t="shared" si="95"/>
        <v>-3.9999999996780389E-3</v>
      </c>
      <c r="AD277" s="1418">
        <f t="shared" si="96"/>
        <v>0</v>
      </c>
      <c r="AE277" s="1418">
        <v>1807.3039999999996</v>
      </c>
      <c r="AF277" s="1418">
        <f t="shared" si="97"/>
        <v>3.9999999996780389E-3</v>
      </c>
      <c r="AG277" s="1418">
        <v>16.489999999999998</v>
      </c>
      <c r="AH277" s="1418">
        <f t="shared" si="98"/>
        <v>0</v>
      </c>
      <c r="AI277" s="1428"/>
      <c r="AO277" s="2504">
        <v>173.14499999999998</v>
      </c>
      <c r="AP277" s="1418">
        <f t="shared" si="108"/>
        <v>-158.30399999999997</v>
      </c>
      <c r="AQ277" s="1418">
        <f t="shared" si="99"/>
        <v>3.9999999996780389E-3</v>
      </c>
    </row>
    <row r="278" spans="1:44" s="1410" customFormat="1" ht="15.75">
      <c r="A278" s="2102"/>
      <c r="B278" s="1268" t="s">
        <v>766</v>
      </c>
      <c r="C278" s="1241" t="s">
        <v>3065</v>
      </c>
      <c r="D278" s="1245" t="s">
        <v>38</v>
      </c>
      <c r="E278" s="1413">
        <v>856.71</v>
      </c>
      <c r="F278" s="1555">
        <v>8.14</v>
      </c>
      <c r="G278" s="1480">
        <v>8.76</v>
      </c>
      <c r="H278" s="1414">
        <v>9.08</v>
      </c>
      <c r="I278" s="1477">
        <f t="shared" si="93"/>
        <v>6973.62</v>
      </c>
      <c r="J278" s="1477">
        <f t="shared" si="94"/>
        <v>7504.78</v>
      </c>
      <c r="K278" s="1477">
        <v>0</v>
      </c>
      <c r="L278" s="1477">
        <f t="shared" si="101"/>
        <v>0</v>
      </c>
      <c r="M278" s="1477">
        <v>856.71</v>
      </c>
      <c r="N278" s="1477">
        <f t="shared" si="102"/>
        <v>856.71</v>
      </c>
      <c r="O278" s="1477">
        <f t="shared" si="103"/>
        <v>0</v>
      </c>
      <c r="P278" s="1477">
        <f t="shared" si="104"/>
        <v>7504.78</v>
      </c>
      <c r="Q278" s="1477">
        <f t="shared" si="105"/>
        <v>7778.93</v>
      </c>
      <c r="R278" s="1576">
        <f t="shared" si="106"/>
        <v>7778.93</v>
      </c>
      <c r="S278" s="1869">
        <v>856.71</v>
      </c>
      <c r="T278" s="1866">
        <v>7778.9268000000002</v>
      </c>
      <c r="U278" s="2442"/>
      <c r="V278" s="1866">
        <f t="shared" si="109"/>
        <v>0</v>
      </c>
      <c r="W278" s="1869">
        <f>S278+U278</f>
        <v>856.71</v>
      </c>
      <c r="X278" s="1870">
        <f t="shared" si="107"/>
        <v>7778.9268000000002</v>
      </c>
      <c r="Y278" s="1871">
        <f t="shared" si="110"/>
        <v>0.99999958863236971</v>
      </c>
      <c r="Z278" s="1694">
        <f>+E278-W278</f>
        <v>0</v>
      </c>
      <c r="AA278" s="1872">
        <f t="shared" si="111"/>
        <v>0</v>
      </c>
      <c r="AB278" s="1873">
        <f t="shared" si="112"/>
        <v>0</v>
      </c>
      <c r="AC278" s="1418">
        <f t="shared" si="95"/>
        <v>3.200000000106229E-3</v>
      </c>
      <c r="AD278" s="1418">
        <f t="shared" si="96"/>
        <v>0</v>
      </c>
      <c r="AE278" s="1418">
        <v>7778.9268000000002</v>
      </c>
      <c r="AF278" s="1418">
        <f t="shared" si="97"/>
        <v>-3.200000000106229E-3</v>
      </c>
      <c r="AG278" s="1418">
        <v>9.08</v>
      </c>
      <c r="AH278" s="1418">
        <f t="shared" si="98"/>
        <v>0</v>
      </c>
      <c r="AI278" s="1428"/>
      <c r="AO278" s="2504">
        <v>7778.9268000000002</v>
      </c>
      <c r="AP278" s="1418">
        <f t="shared" si="108"/>
        <v>0</v>
      </c>
      <c r="AQ278" s="1418">
        <f t="shared" si="99"/>
        <v>-3.200000000106229E-3</v>
      </c>
    </row>
    <row r="279" spans="1:44" s="2383" customFormat="1" ht="15.75">
      <c r="A279" s="2373" t="s">
        <v>3619</v>
      </c>
      <c r="B279" s="2384" t="s">
        <v>45</v>
      </c>
      <c r="C279" s="2375" t="s">
        <v>1233</v>
      </c>
      <c r="D279" s="2376"/>
      <c r="E279" s="2377"/>
      <c r="F279" s="2378"/>
      <c r="G279" s="2379"/>
      <c r="H279" s="2378"/>
      <c r="I279" s="2380">
        <f t="shared" si="93"/>
        <v>0</v>
      </c>
      <c r="J279" s="2380">
        <f t="shared" si="94"/>
        <v>0</v>
      </c>
      <c r="K279" s="2380"/>
      <c r="L279" s="2380">
        <f t="shared" si="101"/>
        <v>0</v>
      </c>
      <c r="M279" s="2380"/>
      <c r="N279" s="2380">
        <f t="shared" si="102"/>
        <v>0</v>
      </c>
      <c r="O279" s="2380">
        <f t="shared" si="103"/>
        <v>0</v>
      </c>
      <c r="P279" s="2380">
        <f t="shared" si="104"/>
        <v>0</v>
      </c>
      <c r="Q279" s="2380">
        <f t="shared" si="105"/>
        <v>0</v>
      </c>
      <c r="R279" s="2380">
        <f t="shared" si="106"/>
        <v>0</v>
      </c>
      <c r="S279" s="2454"/>
      <c r="T279" s="2455"/>
      <c r="U279" s="2463"/>
      <c r="V279" s="2455">
        <f t="shared" si="109"/>
        <v>0</v>
      </c>
      <c r="W279" s="2454"/>
      <c r="X279" s="2457"/>
      <c r="Y279" s="2458" t="str">
        <f t="shared" si="110"/>
        <v/>
      </c>
      <c r="Z279" s="2459"/>
      <c r="AA279" s="2460">
        <f t="shared" si="111"/>
        <v>0</v>
      </c>
      <c r="AB279" s="2461" t="str">
        <f t="shared" si="112"/>
        <v/>
      </c>
      <c r="AC279" s="2370">
        <f t="shared" si="95"/>
        <v>0</v>
      </c>
      <c r="AD279" s="2370">
        <f t="shared" si="96"/>
        <v>0</v>
      </c>
      <c r="AE279" s="2381"/>
      <c r="AF279" s="2381">
        <f t="shared" si="97"/>
        <v>0</v>
      </c>
      <c r="AG279" s="2381"/>
      <c r="AH279" s="2370">
        <f t="shared" si="98"/>
        <v>0</v>
      </c>
      <c r="AI279" s="2382"/>
      <c r="AO279" s="2509"/>
      <c r="AP279" s="1418">
        <f t="shared" si="108"/>
        <v>0</v>
      </c>
    </row>
    <row r="280" spans="1:44" s="1231" customFormat="1" ht="15.75">
      <c r="A280" s="2103" t="s">
        <v>3619</v>
      </c>
      <c r="B280" s="1263" t="s">
        <v>47</v>
      </c>
      <c r="C280" s="1264" t="s">
        <v>3066</v>
      </c>
      <c r="D280" s="1265"/>
      <c r="E280" s="1266"/>
      <c r="F280" s="1267"/>
      <c r="G280" s="1480"/>
      <c r="H280" s="1267"/>
      <c r="I280" s="1477">
        <f t="shared" si="93"/>
        <v>0</v>
      </c>
      <c r="J280" s="1477">
        <f t="shared" si="94"/>
        <v>0</v>
      </c>
      <c r="K280" s="1477"/>
      <c r="L280" s="1477">
        <f t="shared" si="101"/>
        <v>0</v>
      </c>
      <c r="M280" s="1477"/>
      <c r="N280" s="1477">
        <f t="shared" si="102"/>
        <v>0</v>
      </c>
      <c r="O280" s="1477">
        <f t="shared" si="103"/>
        <v>0</v>
      </c>
      <c r="P280" s="1477">
        <f t="shared" si="104"/>
        <v>0</v>
      </c>
      <c r="Q280" s="1477">
        <f t="shared" si="105"/>
        <v>0</v>
      </c>
      <c r="R280" s="1576">
        <f t="shared" si="106"/>
        <v>0</v>
      </c>
      <c r="S280" s="2452"/>
      <c r="T280" s="1866"/>
      <c r="U280" s="2442"/>
      <c r="V280" s="1866">
        <f t="shared" si="109"/>
        <v>0</v>
      </c>
      <c r="W280" s="2452"/>
      <c r="X280" s="1870"/>
      <c r="Y280" s="1871" t="str">
        <f t="shared" si="110"/>
        <v/>
      </c>
      <c r="Z280" s="1694"/>
      <c r="AA280" s="1872">
        <f t="shared" si="111"/>
        <v>0</v>
      </c>
      <c r="AB280" s="1873" t="str">
        <f t="shared" si="112"/>
        <v/>
      </c>
      <c r="AC280" s="1418">
        <f t="shared" si="95"/>
        <v>0</v>
      </c>
      <c r="AD280" s="1418">
        <f t="shared" si="96"/>
        <v>0</v>
      </c>
      <c r="AE280" s="1230"/>
      <c r="AF280" s="1230">
        <f t="shared" si="97"/>
        <v>0</v>
      </c>
      <c r="AG280" s="1230"/>
      <c r="AH280" s="1418">
        <f t="shared" si="98"/>
        <v>0</v>
      </c>
      <c r="AI280" s="1346"/>
      <c r="AO280" s="1736"/>
      <c r="AP280" s="1418">
        <f t="shared" si="108"/>
        <v>0</v>
      </c>
    </row>
    <row r="281" spans="1:44" s="1410" customFormat="1" ht="15.75">
      <c r="A281" s="2102" t="s">
        <v>3619</v>
      </c>
      <c r="B281" s="1268" t="s">
        <v>49</v>
      </c>
      <c r="C281" s="1241" t="s">
        <v>3067</v>
      </c>
      <c r="D281" s="1245" t="s">
        <v>37</v>
      </c>
      <c r="E281" s="1413">
        <v>1292.19</v>
      </c>
      <c r="F281" s="1555">
        <v>165.59</v>
      </c>
      <c r="G281" s="1480">
        <v>168.84</v>
      </c>
      <c r="H281" s="1414">
        <v>170.54</v>
      </c>
      <c r="I281" s="1477">
        <f t="shared" si="93"/>
        <v>213973.74</v>
      </c>
      <c r="J281" s="1477">
        <f t="shared" si="94"/>
        <v>218173.36</v>
      </c>
      <c r="K281" s="1477">
        <v>467.43150000000003</v>
      </c>
      <c r="L281" s="1477">
        <f t="shared" si="101"/>
        <v>467.43000000000006</v>
      </c>
      <c r="M281" s="1477">
        <v>824.75850000000003</v>
      </c>
      <c r="N281" s="1477">
        <f t="shared" si="102"/>
        <v>824.76</v>
      </c>
      <c r="O281" s="1477">
        <f t="shared" si="103"/>
        <v>78920.88</v>
      </c>
      <c r="P281" s="1477">
        <f t="shared" si="104"/>
        <v>139252.48000000001</v>
      </c>
      <c r="Q281" s="1477">
        <f t="shared" si="105"/>
        <v>140654.57</v>
      </c>
      <c r="R281" s="1576">
        <f t="shared" si="106"/>
        <v>219575.45</v>
      </c>
      <c r="S281" s="1869">
        <v>1292.19</v>
      </c>
      <c r="T281" s="1866">
        <v>219575.44905</v>
      </c>
      <c r="U281" s="2442"/>
      <c r="V281" s="1866">
        <f t="shared" si="109"/>
        <v>0</v>
      </c>
      <c r="W281" s="1869">
        <f t="shared" ref="W281:W287" si="113">S281+U281</f>
        <v>1292.19</v>
      </c>
      <c r="X281" s="1870">
        <f t="shared" si="107"/>
        <v>219575.44905</v>
      </c>
      <c r="Y281" s="1871">
        <f t="shared" si="110"/>
        <v>0.99999999567346887</v>
      </c>
      <c r="Z281" s="1694">
        <f t="shared" ref="Z281:Z287" si="114">+E281-W281</f>
        <v>0</v>
      </c>
      <c r="AA281" s="1872">
        <f t="shared" si="111"/>
        <v>0</v>
      </c>
      <c r="AB281" s="1873">
        <f t="shared" si="112"/>
        <v>0</v>
      </c>
      <c r="AC281" s="1418">
        <f t="shared" si="95"/>
        <v>9.5000001601874828E-4</v>
      </c>
      <c r="AD281" s="1418">
        <f t="shared" si="96"/>
        <v>0</v>
      </c>
      <c r="AE281" s="1418">
        <v>219575.44905</v>
      </c>
      <c r="AF281" s="1418">
        <f t="shared" si="97"/>
        <v>-9.5000001601874828E-4</v>
      </c>
      <c r="AG281" s="1418">
        <v>170.54</v>
      </c>
      <c r="AH281" s="1418">
        <f t="shared" si="98"/>
        <v>0</v>
      </c>
      <c r="AI281" s="1428"/>
      <c r="AO281" s="2504">
        <v>219575.44905</v>
      </c>
      <c r="AP281" s="1418">
        <f t="shared" si="108"/>
        <v>0</v>
      </c>
    </row>
    <row r="282" spans="1:44" s="1410" customFormat="1" ht="15.75">
      <c r="A282" s="2102" t="s">
        <v>3619</v>
      </c>
      <c r="B282" s="1268" t="s">
        <v>50</v>
      </c>
      <c r="C282" s="1241" t="s">
        <v>3068</v>
      </c>
      <c r="D282" s="1245" t="s">
        <v>37</v>
      </c>
      <c r="E282" s="1413">
        <v>975.72</v>
      </c>
      <c r="F282" s="1555">
        <v>96.95</v>
      </c>
      <c r="G282" s="1480">
        <v>99.19</v>
      </c>
      <c r="H282" s="1414">
        <v>100.36</v>
      </c>
      <c r="I282" s="1477">
        <f t="shared" si="93"/>
        <v>94596.05</v>
      </c>
      <c r="J282" s="1477">
        <f t="shared" si="94"/>
        <v>96781.67</v>
      </c>
      <c r="K282" s="1477">
        <v>142.04429999999999</v>
      </c>
      <c r="L282" s="1477">
        <f t="shared" si="101"/>
        <v>142.04000000000008</v>
      </c>
      <c r="M282" s="1477">
        <v>833.67570000000001</v>
      </c>
      <c r="N282" s="1477">
        <f t="shared" si="102"/>
        <v>833.68</v>
      </c>
      <c r="O282" s="1477">
        <f t="shared" si="103"/>
        <v>14088.95</v>
      </c>
      <c r="P282" s="1477">
        <f t="shared" si="104"/>
        <v>82692.72</v>
      </c>
      <c r="Q282" s="1477">
        <f t="shared" si="105"/>
        <v>83668.12</v>
      </c>
      <c r="R282" s="1576">
        <f t="shared" si="106"/>
        <v>97757.069999999992</v>
      </c>
      <c r="S282" s="1869">
        <v>975.72</v>
      </c>
      <c r="T282" s="1866">
        <v>97757.067368999997</v>
      </c>
      <c r="U282" s="2442"/>
      <c r="V282" s="1866">
        <f t="shared" si="109"/>
        <v>0</v>
      </c>
      <c r="W282" s="1869">
        <f t="shared" si="113"/>
        <v>975.72</v>
      </c>
      <c r="X282" s="1870">
        <f>+V282+T282</f>
        <v>97757.067368999997</v>
      </c>
      <c r="Y282" s="1871">
        <f t="shared" si="110"/>
        <v>0.99999997308634558</v>
      </c>
      <c r="Z282" s="1694">
        <f t="shared" si="114"/>
        <v>0</v>
      </c>
      <c r="AA282" s="1872">
        <f t="shared" si="111"/>
        <v>0</v>
      </c>
      <c r="AB282" s="1873">
        <f t="shared" si="112"/>
        <v>0</v>
      </c>
      <c r="AC282" s="1418">
        <f t="shared" si="95"/>
        <v>2.6309999957447872E-3</v>
      </c>
      <c r="AD282" s="1418">
        <f t="shared" si="96"/>
        <v>0</v>
      </c>
      <c r="AE282" s="1418">
        <v>97757.067368999997</v>
      </c>
      <c r="AF282" s="1418">
        <f t="shared" si="97"/>
        <v>-2.6309999957447872E-3</v>
      </c>
      <c r="AG282" s="1418">
        <v>100.36</v>
      </c>
      <c r="AH282" s="1418">
        <f t="shared" si="98"/>
        <v>0</v>
      </c>
      <c r="AI282" s="1428"/>
      <c r="AO282" s="2504">
        <v>97757.067368999997</v>
      </c>
      <c r="AP282" s="1418">
        <f t="shared" si="108"/>
        <v>0</v>
      </c>
    </row>
    <row r="283" spans="1:44" s="1410" customFormat="1" ht="15.75">
      <c r="A283" s="2102"/>
      <c r="B283" s="1268" t="s">
        <v>51</v>
      </c>
      <c r="C283" s="1241" t="s">
        <v>3069</v>
      </c>
      <c r="D283" s="1245" t="s">
        <v>37</v>
      </c>
      <c r="E283" s="1413">
        <v>123.18</v>
      </c>
      <c r="F283" s="1555">
        <v>84.27</v>
      </c>
      <c r="G283" s="1480">
        <v>87.22</v>
      </c>
      <c r="H283" s="1414">
        <v>88.75</v>
      </c>
      <c r="I283" s="1477">
        <f t="shared" si="93"/>
        <v>10380.379999999999</v>
      </c>
      <c r="J283" s="1477">
        <f t="shared" si="94"/>
        <v>10743.76</v>
      </c>
      <c r="K283" s="1477">
        <v>0</v>
      </c>
      <c r="L283" s="1477">
        <f t="shared" si="101"/>
        <v>0</v>
      </c>
      <c r="M283" s="1477">
        <v>123.18</v>
      </c>
      <c r="N283" s="1477">
        <f t="shared" si="102"/>
        <v>123.18</v>
      </c>
      <c r="O283" s="1477">
        <f t="shared" si="103"/>
        <v>0</v>
      </c>
      <c r="P283" s="1477">
        <f t="shared" si="104"/>
        <v>10743.76</v>
      </c>
      <c r="Q283" s="1477">
        <f t="shared" si="105"/>
        <v>10932.23</v>
      </c>
      <c r="R283" s="1576">
        <f t="shared" si="106"/>
        <v>10932.23</v>
      </c>
      <c r="S283" s="1869">
        <v>97.698340000000016</v>
      </c>
      <c r="T283" s="1866">
        <v>8670.7276750000001</v>
      </c>
      <c r="U283" s="2442"/>
      <c r="V283" s="1866">
        <f t="shared" si="109"/>
        <v>0</v>
      </c>
      <c r="W283" s="1869">
        <f t="shared" si="113"/>
        <v>97.698340000000016</v>
      </c>
      <c r="X283" s="1870">
        <f t="shared" si="107"/>
        <v>8670.7276750000001</v>
      </c>
      <c r="Y283" s="1871">
        <f t="shared" si="110"/>
        <v>0.79313439938603569</v>
      </c>
      <c r="Z283" s="1694">
        <f t="shared" si="114"/>
        <v>25.481659999999991</v>
      </c>
      <c r="AA283" s="1872">
        <f t="shared" si="111"/>
        <v>2261.4973249999994</v>
      </c>
      <c r="AB283" s="1873">
        <f t="shared" si="112"/>
        <v>0.20686514325073654</v>
      </c>
      <c r="AC283" s="1418">
        <f t="shared" si="95"/>
        <v>5.0000000001091394E-3</v>
      </c>
      <c r="AD283" s="1418">
        <f t="shared" si="96"/>
        <v>0</v>
      </c>
      <c r="AE283" s="1418">
        <v>10932.225</v>
      </c>
      <c r="AF283" s="1418">
        <f t="shared" si="97"/>
        <v>-4.9999999991996447E-3</v>
      </c>
      <c r="AG283" s="1418">
        <v>88.75</v>
      </c>
      <c r="AH283" s="1418">
        <f t="shared" si="98"/>
        <v>0</v>
      </c>
      <c r="AI283" s="1428"/>
      <c r="AO283" s="2504">
        <v>8670.7276750000001</v>
      </c>
      <c r="AP283" s="1418">
        <f t="shared" si="108"/>
        <v>0</v>
      </c>
    </row>
    <row r="284" spans="1:44" s="1410" customFormat="1" ht="15.75">
      <c r="A284" s="2102" t="s">
        <v>3619</v>
      </c>
      <c r="B284" s="1268" t="s">
        <v>277</v>
      </c>
      <c r="C284" s="1241" t="s">
        <v>3070</v>
      </c>
      <c r="D284" s="1245" t="s">
        <v>37</v>
      </c>
      <c r="E284" s="1413">
        <v>588.87</v>
      </c>
      <c r="F284" s="1555">
        <v>112</v>
      </c>
      <c r="G284" s="1480">
        <v>115.53</v>
      </c>
      <c r="H284" s="1414">
        <v>117.38</v>
      </c>
      <c r="I284" s="1477">
        <f t="shared" si="93"/>
        <v>65953.440000000002</v>
      </c>
      <c r="J284" s="1477">
        <f t="shared" si="94"/>
        <v>68032.149999999994</v>
      </c>
      <c r="K284" s="1477">
        <v>319.47399999999999</v>
      </c>
      <c r="L284" s="1477">
        <f t="shared" si="101"/>
        <v>319.47000000000003</v>
      </c>
      <c r="M284" s="1477">
        <v>269.39600000000002</v>
      </c>
      <c r="N284" s="1477">
        <f t="shared" si="102"/>
        <v>269.39999999999998</v>
      </c>
      <c r="O284" s="1477">
        <f t="shared" si="103"/>
        <v>36908.370000000003</v>
      </c>
      <c r="P284" s="1477">
        <f t="shared" si="104"/>
        <v>31123.78</v>
      </c>
      <c r="Q284" s="1477">
        <f t="shared" si="105"/>
        <v>31622.17</v>
      </c>
      <c r="R284" s="1576">
        <f t="shared" si="106"/>
        <v>68530.540000000008</v>
      </c>
      <c r="S284" s="1869">
        <v>588.87</v>
      </c>
      <c r="T284" s="1866">
        <v>68530.5337</v>
      </c>
      <c r="U284" s="2442"/>
      <c r="V284" s="1866">
        <f t="shared" si="109"/>
        <v>0</v>
      </c>
      <c r="W284" s="1869">
        <f t="shared" si="113"/>
        <v>588.87</v>
      </c>
      <c r="X284" s="1870">
        <f t="shared" si="107"/>
        <v>68530.5337</v>
      </c>
      <c r="Y284" s="1871">
        <f t="shared" si="110"/>
        <v>0.99999990807018291</v>
      </c>
      <c r="Z284" s="1694">
        <f t="shared" si="114"/>
        <v>0</v>
      </c>
      <c r="AA284" s="1872">
        <f t="shared" si="111"/>
        <v>0</v>
      </c>
      <c r="AB284" s="1873">
        <f t="shared" si="112"/>
        <v>0</v>
      </c>
      <c r="AC284" s="1418">
        <f t="shared" si="95"/>
        <v>6.3000000081956387E-3</v>
      </c>
      <c r="AD284" s="1418">
        <f t="shared" si="96"/>
        <v>0</v>
      </c>
      <c r="AE284" s="1418">
        <v>68530.5337</v>
      </c>
      <c r="AF284" s="1418">
        <f t="shared" si="97"/>
        <v>-6.3000000081956387E-3</v>
      </c>
      <c r="AG284" s="1418">
        <v>117.38</v>
      </c>
      <c r="AH284" s="1418">
        <f t="shared" si="98"/>
        <v>0</v>
      </c>
      <c r="AI284" s="1428"/>
      <c r="AO284" s="2504">
        <v>68530.5337</v>
      </c>
      <c r="AP284" s="1418">
        <f t="shared" si="108"/>
        <v>0</v>
      </c>
    </row>
    <row r="285" spans="1:44" s="1410" customFormat="1" ht="15.75">
      <c r="A285" s="2102"/>
      <c r="B285" s="1268" t="s">
        <v>279</v>
      </c>
      <c r="C285" s="1241" t="s">
        <v>3071</v>
      </c>
      <c r="D285" s="1245" t="s">
        <v>37</v>
      </c>
      <c r="E285" s="1413">
        <v>184.57</v>
      </c>
      <c r="F285" s="1555">
        <v>112.29</v>
      </c>
      <c r="G285" s="1480">
        <v>114.98</v>
      </c>
      <c r="H285" s="1414">
        <v>116.39</v>
      </c>
      <c r="I285" s="1477">
        <f t="shared" si="93"/>
        <v>20725.37</v>
      </c>
      <c r="J285" s="1477">
        <f t="shared" si="94"/>
        <v>21221.86</v>
      </c>
      <c r="K285" s="1477">
        <v>0</v>
      </c>
      <c r="L285" s="1477">
        <f t="shared" si="101"/>
        <v>0</v>
      </c>
      <c r="M285" s="1477">
        <v>184.57</v>
      </c>
      <c r="N285" s="1477">
        <f t="shared" si="102"/>
        <v>184.57</v>
      </c>
      <c r="O285" s="1477">
        <f t="shared" si="103"/>
        <v>0</v>
      </c>
      <c r="P285" s="1477">
        <f t="shared" si="104"/>
        <v>21221.86</v>
      </c>
      <c r="Q285" s="1477">
        <f t="shared" si="105"/>
        <v>21482.1</v>
      </c>
      <c r="R285" s="1576">
        <f t="shared" si="106"/>
        <v>21482.1</v>
      </c>
      <c r="S285" s="1869">
        <v>98.842400000000026</v>
      </c>
      <c r="T285" s="1866">
        <v>11504.266936000004</v>
      </c>
      <c r="U285" s="2442"/>
      <c r="V285" s="1866">
        <f t="shared" si="109"/>
        <v>0</v>
      </c>
      <c r="W285" s="1869">
        <f t="shared" si="113"/>
        <v>98.842400000000026</v>
      </c>
      <c r="X285" s="1870">
        <f t="shared" si="107"/>
        <v>11504.266936000004</v>
      </c>
      <c r="Y285" s="1871">
        <f t="shared" si="110"/>
        <v>0.53552804129950071</v>
      </c>
      <c r="Z285" s="1694">
        <f t="shared" si="114"/>
        <v>85.727599999999967</v>
      </c>
      <c r="AA285" s="1872">
        <f t="shared" si="111"/>
        <v>9977.8353639999968</v>
      </c>
      <c r="AB285" s="1873">
        <f t="shared" si="112"/>
        <v>0.46447206576638211</v>
      </c>
      <c r="AC285" s="1418">
        <f t="shared" si="95"/>
        <v>-2.3000000019237632E-3</v>
      </c>
      <c r="AD285" s="1418">
        <f t="shared" si="96"/>
        <v>0</v>
      </c>
      <c r="AE285" s="1418">
        <v>21482.102299999999</v>
      </c>
      <c r="AF285" s="1418">
        <f t="shared" si="97"/>
        <v>2.3000000001047738E-3</v>
      </c>
      <c r="AG285" s="1418">
        <v>116.39</v>
      </c>
      <c r="AH285" s="1418">
        <f t="shared" si="98"/>
        <v>0</v>
      </c>
      <c r="AI285" s="1428"/>
      <c r="AO285" s="2504">
        <v>11504.266936000004</v>
      </c>
      <c r="AP285" s="1418">
        <f t="shared" si="108"/>
        <v>0</v>
      </c>
    </row>
    <row r="286" spans="1:44" s="1410" customFormat="1" ht="15.75">
      <c r="A286" s="2102"/>
      <c r="B286" s="1268" t="s">
        <v>280</v>
      </c>
      <c r="C286" s="1241" t="s">
        <v>3072</v>
      </c>
      <c r="D286" s="1245" t="s">
        <v>37</v>
      </c>
      <c r="E286" s="1413">
        <v>167.62</v>
      </c>
      <c r="F286" s="1555">
        <v>118.14</v>
      </c>
      <c r="G286" s="1480">
        <v>121.33</v>
      </c>
      <c r="H286" s="1414">
        <v>123</v>
      </c>
      <c r="I286" s="1477">
        <f t="shared" si="93"/>
        <v>19802.63</v>
      </c>
      <c r="J286" s="1477">
        <f t="shared" si="94"/>
        <v>20337.330000000002</v>
      </c>
      <c r="K286" s="1477">
        <v>0</v>
      </c>
      <c r="L286" s="1477">
        <f t="shared" si="101"/>
        <v>0</v>
      </c>
      <c r="M286" s="1477">
        <v>167.62</v>
      </c>
      <c r="N286" s="1477">
        <f t="shared" si="102"/>
        <v>167.62</v>
      </c>
      <c r="O286" s="1477">
        <f t="shared" si="103"/>
        <v>0</v>
      </c>
      <c r="P286" s="1477">
        <f t="shared" si="104"/>
        <v>20337.330000000002</v>
      </c>
      <c r="Q286" s="1477">
        <f t="shared" si="105"/>
        <v>20617.259999999998</v>
      </c>
      <c r="R286" s="1576">
        <f t="shared" si="106"/>
        <v>20617.259999999998</v>
      </c>
      <c r="S286" s="1869">
        <v>38.925999999999995</v>
      </c>
      <c r="T286" s="1866">
        <v>4787.8979999999992</v>
      </c>
      <c r="U286" s="2442"/>
      <c r="V286" s="1866">
        <f t="shared" si="109"/>
        <v>0</v>
      </c>
      <c r="W286" s="1869">
        <f t="shared" si="113"/>
        <v>38.925999999999995</v>
      </c>
      <c r="X286" s="1870">
        <f t="shared" si="107"/>
        <v>4787.8979999999992</v>
      </c>
      <c r="Y286" s="1871">
        <f t="shared" si="110"/>
        <v>0.23222765779739885</v>
      </c>
      <c r="Z286" s="1694">
        <f t="shared" si="114"/>
        <v>128.69400000000002</v>
      </c>
      <c r="AA286" s="1872">
        <f t="shared" si="111"/>
        <v>15829.362000000003</v>
      </c>
      <c r="AB286" s="1873">
        <f t="shared" si="112"/>
        <v>0.76777234220260127</v>
      </c>
      <c r="AC286" s="1418">
        <f t="shared" si="95"/>
        <v>0</v>
      </c>
      <c r="AD286" s="1418">
        <f t="shared" si="96"/>
        <v>0</v>
      </c>
      <c r="AE286" s="1418">
        <v>20617.260000000002</v>
      </c>
      <c r="AF286" s="1418">
        <f t="shared" si="97"/>
        <v>0</v>
      </c>
      <c r="AG286" s="1418">
        <v>123</v>
      </c>
      <c r="AH286" s="1418">
        <f t="shared" si="98"/>
        <v>0</v>
      </c>
      <c r="AI286" s="1428"/>
      <c r="AO286" s="2504">
        <v>4787.8979999999992</v>
      </c>
      <c r="AP286" s="1418">
        <f t="shared" si="108"/>
        <v>0</v>
      </c>
    </row>
    <row r="287" spans="1:44" s="1410" customFormat="1" ht="15.75">
      <c r="A287" s="2102"/>
      <c r="B287" s="1268" t="s">
        <v>281</v>
      </c>
      <c r="C287" s="1241" t="s">
        <v>3073</v>
      </c>
      <c r="D287" s="1245" t="s">
        <v>37</v>
      </c>
      <c r="E287" s="1413">
        <v>84.78</v>
      </c>
      <c r="F287" s="1555">
        <v>230.79</v>
      </c>
      <c r="G287" s="1480">
        <v>231.96</v>
      </c>
      <c r="H287" s="1414">
        <v>232.55</v>
      </c>
      <c r="I287" s="1477">
        <f t="shared" si="93"/>
        <v>19566.38</v>
      </c>
      <c r="J287" s="1477">
        <f t="shared" si="94"/>
        <v>19665.57</v>
      </c>
      <c r="K287" s="1477">
        <v>0</v>
      </c>
      <c r="L287" s="1477">
        <f t="shared" si="101"/>
        <v>0</v>
      </c>
      <c r="M287" s="1477">
        <v>84.78</v>
      </c>
      <c r="N287" s="1477">
        <f t="shared" si="102"/>
        <v>84.78</v>
      </c>
      <c r="O287" s="1477">
        <f t="shared" si="103"/>
        <v>0</v>
      </c>
      <c r="P287" s="1477">
        <f t="shared" si="104"/>
        <v>19665.57</v>
      </c>
      <c r="Q287" s="1477">
        <f t="shared" si="105"/>
        <v>19715.59</v>
      </c>
      <c r="R287" s="1576">
        <f t="shared" si="106"/>
        <v>19715.59</v>
      </c>
      <c r="S287" s="1869">
        <v>0</v>
      </c>
      <c r="T287" s="1866">
        <v>0</v>
      </c>
      <c r="U287" s="2442"/>
      <c r="V287" s="1866">
        <f t="shared" si="109"/>
        <v>0</v>
      </c>
      <c r="W287" s="1869">
        <f t="shared" si="113"/>
        <v>0</v>
      </c>
      <c r="X287" s="1870">
        <f t="shared" si="107"/>
        <v>0</v>
      </c>
      <c r="Y287" s="1871">
        <f t="shared" si="110"/>
        <v>0</v>
      </c>
      <c r="Z287" s="1694">
        <f t="shared" si="114"/>
        <v>84.78</v>
      </c>
      <c r="AA287" s="1872">
        <f t="shared" si="111"/>
        <v>19715.589</v>
      </c>
      <c r="AB287" s="1873">
        <f t="shared" si="112"/>
        <v>0.99999994927871805</v>
      </c>
      <c r="AC287" s="1418">
        <f t="shared" si="95"/>
        <v>1.0000000002037268E-3</v>
      </c>
      <c r="AD287" s="1418">
        <f t="shared" si="96"/>
        <v>0</v>
      </c>
      <c r="AE287" s="1418">
        <v>19715.589</v>
      </c>
      <c r="AF287" s="1418">
        <f t="shared" si="97"/>
        <v>-1.0000000002037268E-3</v>
      </c>
      <c r="AG287" s="1418">
        <v>232.55</v>
      </c>
      <c r="AH287" s="1418">
        <f t="shared" si="98"/>
        <v>0</v>
      </c>
      <c r="AI287" s="1428"/>
      <c r="AO287" s="2504">
        <v>0</v>
      </c>
      <c r="AP287" s="1418">
        <f t="shared" si="108"/>
        <v>0</v>
      </c>
    </row>
    <row r="288" spans="1:44" s="1231" customFormat="1" ht="15.75">
      <c r="A288" s="2103" t="s">
        <v>3619</v>
      </c>
      <c r="B288" s="1263" t="s">
        <v>474</v>
      </c>
      <c r="C288" s="1264" t="s">
        <v>3074</v>
      </c>
      <c r="D288" s="1265"/>
      <c r="E288" s="1266"/>
      <c r="F288" s="1267"/>
      <c r="G288" s="1480"/>
      <c r="H288" s="1267"/>
      <c r="I288" s="1477">
        <f t="shared" si="93"/>
        <v>0</v>
      </c>
      <c r="J288" s="1477">
        <f t="shared" si="94"/>
        <v>0</v>
      </c>
      <c r="K288" s="1477"/>
      <c r="L288" s="1477">
        <f t="shared" si="101"/>
        <v>0</v>
      </c>
      <c r="M288" s="1477"/>
      <c r="N288" s="1477">
        <f t="shared" si="102"/>
        <v>0</v>
      </c>
      <c r="O288" s="1477">
        <f t="shared" si="103"/>
        <v>0</v>
      </c>
      <c r="P288" s="1477">
        <f t="shared" si="104"/>
        <v>0</v>
      </c>
      <c r="Q288" s="1477">
        <f t="shared" si="105"/>
        <v>0</v>
      </c>
      <c r="R288" s="1576">
        <f t="shared" si="106"/>
        <v>0</v>
      </c>
      <c r="S288" s="2452"/>
      <c r="T288" s="1866"/>
      <c r="U288" s="2442"/>
      <c r="V288" s="1866">
        <f t="shared" si="109"/>
        <v>0</v>
      </c>
      <c r="W288" s="2452"/>
      <c r="X288" s="1870"/>
      <c r="Y288" s="1871" t="str">
        <f t="shared" si="110"/>
        <v/>
      </c>
      <c r="Z288" s="1694"/>
      <c r="AA288" s="1872">
        <f t="shared" si="111"/>
        <v>0</v>
      </c>
      <c r="AB288" s="1873" t="str">
        <f t="shared" si="112"/>
        <v/>
      </c>
      <c r="AC288" s="1418">
        <f t="shared" si="95"/>
        <v>0</v>
      </c>
      <c r="AD288" s="1418">
        <f t="shared" si="96"/>
        <v>0</v>
      </c>
      <c r="AE288" s="1230"/>
      <c r="AF288" s="1230">
        <f t="shared" si="97"/>
        <v>0</v>
      </c>
      <c r="AG288" s="1230"/>
      <c r="AH288" s="1418">
        <f t="shared" si="98"/>
        <v>0</v>
      </c>
      <c r="AI288" s="1346"/>
      <c r="AO288" s="1736"/>
      <c r="AP288" s="1418">
        <f t="shared" si="108"/>
        <v>0</v>
      </c>
    </row>
    <row r="289" spans="1:42" s="1410" customFormat="1" ht="15.75">
      <c r="A289" s="2102"/>
      <c r="B289" s="1268" t="s">
        <v>475</v>
      </c>
      <c r="C289" s="1241" t="s">
        <v>3075</v>
      </c>
      <c r="D289" s="1245" t="s">
        <v>37</v>
      </c>
      <c r="E289" s="1413">
        <v>1062.6199999999999</v>
      </c>
      <c r="F289" s="1555">
        <v>21.11</v>
      </c>
      <c r="G289" s="1480">
        <v>22.42</v>
      </c>
      <c r="H289" s="1414">
        <v>23.12</v>
      </c>
      <c r="I289" s="1477">
        <f t="shared" si="93"/>
        <v>22431.91</v>
      </c>
      <c r="J289" s="1477">
        <f t="shared" si="94"/>
        <v>23823.94</v>
      </c>
      <c r="K289" s="1477">
        <v>35.909999999999997</v>
      </c>
      <c r="L289" s="1477">
        <f t="shared" si="101"/>
        <v>35.909999999999854</v>
      </c>
      <c r="M289" s="1477">
        <v>1026.7099999999998</v>
      </c>
      <c r="N289" s="1477">
        <f t="shared" si="102"/>
        <v>1026.71</v>
      </c>
      <c r="O289" s="1477">
        <f t="shared" si="103"/>
        <v>805.1</v>
      </c>
      <c r="P289" s="1477">
        <f t="shared" si="104"/>
        <v>23018.84</v>
      </c>
      <c r="Q289" s="1477">
        <f t="shared" si="105"/>
        <v>23737.54</v>
      </c>
      <c r="R289" s="1576">
        <f t="shared" si="106"/>
        <v>24542.639999999999</v>
      </c>
      <c r="S289" s="1869">
        <v>1062.6199999999999</v>
      </c>
      <c r="T289" s="1866">
        <v>24542.6374</v>
      </c>
      <c r="U289" s="2442"/>
      <c r="V289" s="1866">
        <f t="shared" si="109"/>
        <v>0</v>
      </c>
      <c r="W289" s="1869">
        <f t="shared" ref="W289:W310" si="115">S289+U289</f>
        <v>1062.6199999999999</v>
      </c>
      <c r="X289" s="1870">
        <f t="shared" si="107"/>
        <v>24542.6374</v>
      </c>
      <c r="Y289" s="1871">
        <f t="shared" si="110"/>
        <v>0.99999989406192646</v>
      </c>
      <c r="Z289" s="1694">
        <f t="shared" ref="Z289:Z310" si="116">+E289-W289</f>
        <v>0</v>
      </c>
      <c r="AA289" s="1872">
        <f t="shared" si="111"/>
        <v>0</v>
      </c>
      <c r="AB289" s="1873">
        <f t="shared" si="112"/>
        <v>0</v>
      </c>
      <c r="AC289" s="1418">
        <f t="shared" si="95"/>
        <v>2.599999999802094E-3</v>
      </c>
      <c r="AD289" s="1418">
        <f t="shared" si="96"/>
        <v>0</v>
      </c>
      <c r="AE289" s="1418">
        <v>24542.6374</v>
      </c>
      <c r="AF289" s="1418">
        <f t="shared" si="97"/>
        <v>-2.599999999802094E-3</v>
      </c>
      <c r="AG289" s="1418">
        <v>23.12</v>
      </c>
      <c r="AH289" s="1418">
        <f t="shared" si="98"/>
        <v>0</v>
      </c>
      <c r="AI289" s="1428"/>
      <c r="AO289" s="2504">
        <v>24542.6374</v>
      </c>
      <c r="AP289" s="1418">
        <f t="shared" si="108"/>
        <v>0</v>
      </c>
    </row>
    <row r="290" spans="1:42" s="1410" customFormat="1" ht="15.75">
      <c r="A290" s="2102" t="s">
        <v>3619</v>
      </c>
      <c r="B290" s="1268" t="s">
        <v>476</v>
      </c>
      <c r="C290" s="1241" t="s">
        <v>3076</v>
      </c>
      <c r="D290" s="1245" t="s">
        <v>37</v>
      </c>
      <c r="E290" s="1413">
        <v>4145.22</v>
      </c>
      <c r="F290" s="1555">
        <v>22.38</v>
      </c>
      <c r="G290" s="1480">
        <v>23.79</v>
      </c>
      <c r="H290" s="1414">
        <v>24.52</v>
      </c>
      <c r="I290" s="1477">
        <f t="shared" si="93"/>
        <v>92770.02</v>
      </c>
      <c r="J290" s="1477">
        <f t="shared" si="94"/>
        <v>98614.78</v>
      </c>
      <c r="K290" s="1477">
        <v>1273.9954</v>
      </c>
      <c r="L290" s="1477">
        <f t="shared" si="101"/>
        <v>1274.0000000000005</v>
      </c>
      <c r="M290" s="1477">
        <v>2871.2246000000005</v>
      </c>
      <c r="N290" s="1477">
        <f t="shared" si="102"/>
        <v>2871.22</v>
      </c>
      <c r="O290" s="1477">
        <f t="shared" si="103"/>
        <v>30308.46</v>
      </c>
      <c r="P290" s="1477">
        <f t="shared" si="104"/>
        <v>68306.320000000007</v>
      </c>
      <c r="Q290" s="1477">
        <f t="shared" si="105"/>
        <v>70402.31</v>
      </c>
      <c r="R290" s="1576">
        <f t="shared" si="106"/>
        <v>100710.76999999999</v>
      </c>
      <c r="S290" s="1869">
        <v>4145.22</v>
      </c>
      <c r="T290" s="1866">
        <v>100710.77775800001</v>
      </c>
      <c r="U290" s="2442"/>
      <c r="V290" s="1866">
        <f t="shared" si="109"/>
        <v>0</v>
      </c>
      <c r="W290" s="1869">
        <f t="shared" si="115"/>
        <v>4145.22</v>
      </c>
      <c r="X290" s="1870">
        <f t="shared" si="107"/>
        <v>100710.77775800001</v>
      </c>
      <c r="Y290" s="1871">
        <f t="shared" si="110"/>
        <v>1.0000000770324764</v>
      </c>
      <c r="Z290" s="1694">
        <f t="shared" si="116"/>
        <v>0</v>
      </c>
      <c r="AA290" s="1872">
        <f t="shared" si="111"/>
        <v>0</v>
      </c>
      <c r="AB290" s="1873">
        <f t="shared" si="112"/>
        <v>0</v>
      </c>
      <c r="AC290" s="1418">
        <f t="shared" si="95"/>
        <v>-7.7580000215675682E-3</v>
      </c>
      <c r="AD290" s="1418">
        <f t="shared" si="96"/>
        <v>0</v>
      </c>
      <c r="AE290" s="1418">
        <v>100710.777758</v>
      </c>
      <c r="AF290" s="1418">
        <f t="shared" si="97"/>
        <v>7.758000007015653E-3</v>
      </c>
      <c r="AG290" s="1418">
        <v>24.52</v>
      </c>
      <c r="AH290" s="1418">
        <f t="shared" si="98"/>
        <v>0</v>
      </c>
      <c r="AI290" s="1428"/>
      <c r="AO290" s="2504">
        <v>100710.77775800001</v>
      </c>
      <c r="AP290" s="1418">
        <f t="shared" si="108"/>
        <v>0</v>
      </c>
    </row>
    <row r="291" spans="1:42" s="1410" customFormat="1" ht="15.75">
      <c r="A291" s="2102"/>
      <c r="B291" s="1268" t="s">
        <v>477</v>
      </c>
      <c r="C291" s="1241" t="s">
        <v>3077</v>
      </c>
      <c r="D291" s="1245" t="s">
        <v>37</v>
      </c>
      <c r="E291" s="1413">
        <v>3326.19</v>
      </c>
      <c r="F291" s="1555">
        <v>25.07</v>
      </c>
      <c r="G291" s="1480">
        <v>26.7</v>
      </c>
      <c r="H291" s="1414">
        <v>27.55</v>
      </c>
      <c r="I291" s="1477">
        <f t="shared" si="93"/>
        <v>83387.58</v>
      </c>
      <c r="J291" s="1477">
        <f t="shared" si="94"/>
        <v>88809.27</v>
      </c>
      <c r="K291" s="1477">
        <v>670.38700000000006</v>
      </c>
      <c r="L291" s="1477">
        <f t="shared" si="101"/>
        <v>670.38999999999987</v>
      </c>
      <c r="M291" s="1477">
        <v>2655.8029999999999</v>
      </c>
      <c r="N291" s="1477">
        <f t="shared" si="102"/>
        <v>2655.8</v>
      </c>
      <c r="O291" s="1477">
        <f t="shared" si="103"/>
        <v>17899.41</v>
      </c>
      <c r="P291" s="1477">
        <f t="shared" si="104"/>
        <v>70909.86</v>
      </c>
      <c r="Q291" s="1477">
        <f t="shared" si="105"/>
        <v>73167.289999999994</v>
      </c>
      <c r="R291" s="1576">
        <f t="shared" si="106"/>
        <v>91066.7</v>
      </c>
      <c r="S291" s="1869">
        <v>3010.5984500000009</v>
      </c>
      <c r="T291" s="1866">
        <v>82372.158347499993</v>
      </c>
      <c r="U291" s="2442"/>
      <c r="V291" s="1866">
        <f t="shared" si="109"/>
        <v>0</v>
      </c>
      <c r="W291" s="1869">
        <f t="shared" si="115"/>
        <v>3010.5984500000009</v>
      </c>
      <c r="X291" s="1870">
        <f t="shared" si="107"/>
        <v>82372.158347499993</v>
      </c>
      <c r="Y291" s="1871">
        <f t="shared" si="110"/>
        <v>0.90452556584898758</v>
      </c>
      <c r="Z291" s="1694">
        <f t="shared" si="116"/>
        <v>315.59154999999919</v>
      </c>
      <c r="AA291" s="1872">
        <f t="shared" si="111"/>
        <v>8694.5472024999781</v>
      </c>
      <c r="AB291" s="1873">
        <f t="shared" si="112"/>
        <v>9.5474495095352954E-2</v>
      </c>
      <c r="AC291" s="1418">
        <f t="shared" si="95"/>
        <v>-5.5499999743915396E-3</v>
      </c>
      <c r="AD291" s="1418">
        <f t="shared" si="96"/>
        <v>0</v>
      </c>
      <c r="AE291" s="1418">
        <v>91066.705550000013</v>
      </c>
      <c r="AF291" s="1418">
        <f t="shared" si="97"/>
        <v>5.5500000162282959E-3</v>
      </c>
      <c r="AG291" s="1418">
        <v>27.55</v>
      </c>
      <c r="AH291" s="1418">
        <f t="shared" si="98"/>
        <v>0</v>
      </c>
      <c r="AI291" s="1428"/>
      <c r="AO291" s="2504">
        <v>82372.158347499993</v>
      </c>
      <c r="AP291" s="1418">
        <f t="shared" si="108"/>
        <v>0</v>
      </c>
    </row>
    <row r="292" spans="1:42" s="1410" customFormat="1" ht="15.75">
      <c r="A292" s="2102" t="s">
        <v>3619</v>
      </c>
      <c r="B292" s="1268" t="s">
        <v>478</v>
      </c>
      <c r="C292" s="1241" t="s">
        <v>3078</v>
      </c>
      <c r="D292" s="1245" t="s">
        <v>37</v>
      </c>
      <c r="E292" s="1413">
        <v>4129.2</v>
      </c>
      <c r="F292" s="1555">
        <v>35.06</v>
      </c>
      <c r="G292" s="1480">
        <v>37.56</v>
      </c>
      <c r="H292" s="1414">
        <v>38.869999999999997</v>
      </c>
      <c r="I292" s="1477">
        <f t="shared" si="93"/>
        <v>144769.75</v>
      </c>
      <c r="J292" s="1477">
        <f t="shared" si="94"/>
        <v>155092.75</v>
      </c>
      <c r="K292" s="1477">
        <v>1246.9489000000001</v>
      </c>
      <c r="L292" s="1477">
        <f t="shared" si="101"/>
        <v>1246.9499999999998</v>
      </c>
      <c r="M292" s="1477">
        <v>2882.2510999999995</v>
      </c>
      <c r="N292" s="1477">
        <f t="shared" si="102"/>
        <v>2882.25</v>
      </c>
      <c r="O292" s="1477">
        <f t="shared" si="103"/>
        <v>46835.44</v>
      </c>
      <c r="P292" s="1477">
        <f t="shared" si="104"/>
        <v>108257.31</v>
      </c>
      <c r="Q292" s="1477">
        <f t="shared" si="105"/>
        <v>112033.06</v>
      </c>
      <c r="R292" s="1576">
        <f t="shared" si="106"/>
        <v>158868.5</v>
      </c>
      <c r="S292" s="1869">
        <v>4129.2</v>
      </c>
      <c r="T292" s="1866">
        <v>158868.52426300006</v>
      </c>
      <c r="U292" s="2442"/>
      <c r="V292" s="1866">
        <f t="shared" si="109"/>
        <v>0</v>
      </c>
      <c r="W292" s="1869">
        <f t="shared" si="115"/>
        <v>4129.2</v>
      </c>
      <c r="X292" s="1870">
        <f t="shared" si="107"/>
        <v>158868.52426300006</v>
      </c>
      <c r="Y292" s="1871">
        <f t="shared" si="110"/>
        <v>1.0000001527237938</v>
      </c>
      <c r="Z292" s="1694">
        <f t="shared" si="116"/>
        <v>0</v>
      </c>
      <c r="AA292" s="1872">
        <f t="shared" si="111"/>
        <v>0</v>
      </c>
      <c r="AB292" s="1873">
        <f t="shared" si="112"/>
        <v>0</v>
      </c>
      <c r="AC292" s="1418">
        <f t="shared" si="95"/>
        <v>-2.4263000057544559E-2</v>
      </c>
      <c r="AD292" s="1418">
        <f t="shared" si="96"/>
        <v>0</v>
      </c>
      <c r="AE292" s="1418">
        <v>158868.50094099998</v>
      </c>
      <c r="AF292" s="1418">
        <f t="shared" si="97"/>
        <v>9.4099997659213841E-4</v>
      </c>
      <c r="AG292" s="1418">
        <v>38.869999999999997</v>
      </c>
      <c r="AH292" s="1418">
        <f t="shared" si="98"/>
        <v>0</v>
      </c>
      <c r="AI292" s="1428"/>
      <c r="AO292" s="2504">
        <v>158868.52426300006</v>
      </c>
      <c r="AP292" s="1418">
        <f t="shared" si="108"/>
        <v>0</v>
      </c>
    </row>
    <row r="293" spans="1:42" s="1410" customFormat="1" ht="15.75">
      <c r="A293" s="2102" t="s">
        <v>3619</v>
      </c>
      <c r="B293" s="1268" t="s">
        <v>479</v>
      </c>
      <c r="C293" s="1241" t="s">
        <v>3079</v>
      </c>
      <c r="D293" s="1245" t="s">
        <v>37</v>
      </c>
      <c r="E293" s="1413">
        <v>1946.39</v>
      </c>
      <c r="F293" s="1555">
        <v>41.85</v>
      </c>
      <c r="G293" s="1480">
        <v>44.92</v>
      </c>
      <c r="H293" s="1414">
        <v>46.54</v>
      </c>
      <c r="I293" s="1477">
        <f t="shared" si="93"/>
        <v>81456.42</v>
      </c>
      <c r="J293" s="1477">
        <f t="shared" si="94"/>
        <v>87431.84</v>
      </c>
      <c r="K293" s="1477">
        <v>365.47649999999987</v>
      </c>
      <c r="L293" s="1477">
        <f t="shared" si="101"/>
        <v>365.48</v>
      </c>
      <c r="M293" s="1477">
        <v>1580.9135000000001</v>
      </c>
      <c r="N293" s="1477">
        <f t="shared" si="102"/>
        <v>1580.91</v>
      </c>
      <c r="O293" s="1477">
        <f t="shared" si="103"/>
        <v>16417.36</v>
      </c>
      <c r="P293" s="1477">
        <f t="shared" si="104"/>
        <v>71014.48</v>
      </c>
      <c r="Q293" s="1477">
        <f t="shared" si="105"/>
        <v>73575.55</v>
      </c>
      <c r="R293" s="1576">
        <f t="shared" si="106"/>
        <v>89992.91</v>
      </c>
      <c r="S293" s="1869">
        <v>1896.9654999999998</v>
      </c>
      <c r="T293" s="1866">
        <v>87692.702439999979</v>
      </c>
      <c r="U293" s="2442"/>
      <c r="V293" s="1866">
        <f t="shared" si="109"/>
        <v>0</v>
      </c>
      <c r="W293" s="1869">
        <f t="shared" si="115"/>
        <v>1896.9654999999998</v>
      </c>
      <c r="X293" s="1870">
        <f t="shared" si="107"/>
        <v>87692.702439999979</v>
      </c>
      <c r="Y293" s="1871">
        <f t="shared" si="110"/>
        <v>0.97444012467204333</v>
      </c>
      <c r="Z293" s="1694">
        <f t="shared" si="116"/>
        <v>49.424500000000307</v>
      </c>
      <c r="AA293" s="1872">
        <f t="shared" si="111"/>
        <v>2300.2162300000141</v>
      </c>
      <c r="AB293" s="1873">
        <f t="shared" si="112"/>
        <v>2.5559971668879404E-2</v>
      </c>
      <c r="AC293" s="1418">
        <f t="shared" si="95"/>
        <v>-8.6699999897064117E-3</v>
      </c>
      <c r="AD293" s="1418">
        <f t="shared" si="96"/>
        <v>0</v>
      </c>
      <c r="AE293" s="1418">
        <v>89992.918670000014</v>
      </c>
      <c r="AF293" s="1418">
        <f t="shared" si="97"/>
        <v>8.6700000101700425E-3</v>
      </c>
      <c r="AG293" s="1418">
        <v>46.54</v>
      </c>
      <c r="AH293" s="1418">
        <f t="shared" si="98"/>
        <v>0</v>
      </c>
      <c r="AI293" s="1428"/>
      <c r="AO293" s="2504">
        <v>87692.702439999979</v>
      </c>
      <c r="AP293" s="1418">
        <f t="shared" si="108"/>
        <v>0</v>
      </c>
    </row>
    <row r="294" spans="1:42" s="1410" customFormat="1" ht="15.75">
      <c r="A294" s="2102"/>
      <c r="B294" s="1268" t="s">
        <v>480</v>
      </c>
      <c r="C294" s="1241" t="s">
        <v>3080</v>
      </c>
      <c r="D294" s="1245" t="s">
        <v>37</v>
      </c>
      <c r="E294" s="1413">
        <v>209.08</v>
      </c>
      <c r="F294" s="1555">
        <v>26.45</v>
      </c>
      <c r="G294" s="1480">
        <v>28.23</v>
      </c>
      <c r="H294" s="1414">
        <v>29.14</v>
      </c>
      <c r="I294" s="1477">
        <f t="shared" si="93"/>
        <v>5530.17</v>
      </c>
      <c r="J294" s="1477">
        <f t="shared" si="94"/>
        <v>5902.33</v>
      </c>
      <c r="K294" s="1477">
        <v>0</v>
      </c>
      <c r="L294" s="1477">
        <f t="shared" si="101"/>
        <v>0</v>
      </c>
      <c r="M294" s="1477">
        <v>209.08</v>
      </c>
      <c r="N294" s="1477">
        <f t="shared" si="102"/>
        <v>209.08</v>
      </c>
      <c r="O294" s="1477">
        <f t="shared" si="103"/>
        <v>0</v>
      </c>
      <c r="P294" s="1477">
        <f t="shared" si="104"/>
        <v>5902.33</v>
      </c>
      <c r="Q294" s="1477">
        <f t="shared" si="105"/>
        <v>6092.59</v>
      </c>
      <c r="R294" s="1576">
        <f t="shared" si="106"/>
        <v>6092.59</v>
      </c>
      <c r="S294" s="1869">
        <v>209.08</v>
      </c>
      <c r="T294" s="1866">
        <v>6092.5912000000008</v>
      </c>
      <c r="U294" s="2442"/>
      <c r="V294" s="1866">
        <f t="shared" si="109"/>
        <v>0</v>
      </c>
      <c r="W294" s="1869">
        <f t="shared" si="115"/>
        <v>209.08</v>
      </c>
      <c r="X294" s="1870">
        <f t="shared" si="107"/>
        <v>6092.5912000000008</v>
      </c>
      <c r="Y294" s="1871">
        <f t="shared" si="110"/>
        <v>1.0000001969605703</v>
      </c>
      <c r="Z294" s="1694">
        <f t="shared" si="116"/>
        <v>0</v>
      </c>
      <c r="AA294" s="1872">
        <f t="shared" si="111"/>
        <v>0</v>
      </c>
      <c r="AB294" s="1873">
        <f t="shared" si="112"/>
        <v>0</v>
      </c>
      <c r="AC294" s="1418">
        <f t="shared" si="95"/>
        <v>-1.2000000006082701E-3</v>
      </c>
      <c r="AD294" s="1418">
        <f t="shared" si="96"/>
        <v>0</v>
      </c>
      <c r="AE294" s="1418">
        <v>6092.5912000000008</v>
      </c>
      <c r="AF294" s="1418">
        <f t="shared" si="97"/>
        <v>1.2000000006082701E-3</v>
      </c>
      <c r="AG294" s="1418">
        <v>29.14</v>
      </c>
      <c r="AH294" s="1418">
        <f t="shared" si="98"/>
        <v>0</v>
      </c>
      <c r="AI294" s="1428"/>
      <c r="AO294" s="2504">
        <v>6092.5912000000008</v>
      </c>
      <c r="AP294" s="1418">
        <f t="shared" si="108"/>
        <v>0</v>
      </c>
    </row>
    <row r="295" spans="1:42" s="1410" customFormat="1" ht="15.75">
      <c r="A295" s="2102"/>
      <c r="B295" s="1268" t="s">
        <v>481</v>
      </c>
      <c r="C295" s="1241" t="s">
        <v>3081</v>
      </c>
      <c r="D295" s="1245" t="s">
        <v>37</v>
      </c>
      <c r="E295" s="1413">
        <v>136.97</v>
      </c>
      <c r="F295" s="1555">
        <v>26.45</v>
      </c>
      <c r="G295" s="1480">
        <v>28.23</v>
      </c>
      <c r="H295" s="1414">
        <v>29.14</v>
      </c>
      <c r="I295" s="1477">
        <f t="shared" si="93"/>
        <v>3622.86</v>
      </c>
      <c r="J295" s="1477">
        <f t="shared" si="94"/>
        <v>3866.66</v>
      </c>
      <c r="K295" s="1477">
        <v>0</v>
      </c>
      <c r="L295" s="1477">
        <f t="shared" si="101"/>
        <v>0</v>
      </c>
      <c r="M295" s="1477">
        <v>136.97</v>
      </c>
      <c r="N295" s="1477">
        <f t="shared" si="102"/>
        <v>136.97</v>
      </c>
      <c r="O295" s="1477">
        <f t="shared" si="103"/>
        <v>0</v>
      </c>
      <c r="P295" s="1477">
        <f t="shared" si="104"/>
        <v>3866.66</v>
      </c>
      <c r="Q295" s="1477">
        <f t="shared" si="105"/>
        <v>3991.31</v>
      </c>
      <c r="R295" s="1576">
        <f t="shared" si="106"/>
        <v>3991.31</v>
      </c>
      <c r="S295" s="1869">
        <v>136.97</v>
      </c>
      <c r="T295" s="1866">
        <v>3991.3058000000001</v>
      </c>
      <c r="U295" s="2442"/>
      <c r="V295" s="1866">
        <f t="shared" si="109"/>
        <v>0</v>
      </c>
      <c r="W295" s="1869">
        <f t="shared" si="115"/>
        <v>136.97</v>
      </c>
      <c r="X295" s="1870">
        <f t="shared" si="107"/>
        <v>3991.3058000000001</v>
      </c>
      <c r="Y295" s="1871">
        <f t="shared" si="110"/>
        <v>0.99999894771390851</v>
      </c>
      <c r="Z295" s="1694">
        <f t="shared" si="116"/>
        <v>0</v>
      </c>
      <c r="AA295" s="1872">
        <f t="shared" si="111"/>
        <v>0</v>
      </c>
      <c r="AB295" s="1873">
        <f t="shared" si="112"/>
        <v>0</v>
      </c>
      <c r="AC295" s="1418">
        <f t="shared" si="95"/>
        <v>4.1999999998552084E-3</v>
      </c>
      <c r="AD295" s="1418">
        <f t="shared" si="96"/>
        <v>0</v>
      </c>
      <c r="AE295" s="1418">
        <v>3991.3058000000001</v>
      </c>
      <c r="AF295" s="1418">
        <f t="shared" si="97"/>
        <v>-4.1999999998552084E-3</v>
      </c>
      <c r="AG295" s="1418">
        <v>29.14</v>
      </c>
      <c r="AH295" s="1418">
        <f t="shared" si="98"/>
        <v>0</v>
      </c>
      <c r="AI295" s="1428"/>
      <c r="AO295" s="2504">
        <v>3991.3058000000001</v>
      </c>
      <c r="AP295" s="1418">
        <f t="shared" si="108"/>
        <v>0</v>
      </c>
    </row>
    <row r="296" spans="1:42" s="1410" customFormat="1" ht="15.75">
      <c r="A296" s="2102" t="s">
        <v>3619</v>
      </c>
      <c r="B296" s="1268" t="s">
        <v>482</v>
      </c>
      <c r="C296" s="1241" t="s">
        <v>3082</v>
      </c>
      <c r="D296" s="1245" t="s">
        <v>37</v>
      </c>
      <c r="E296" s="1413">
        <v>2167.59</v>
      </c>
      <c r="F296" s="1555">
        <v>26.45</v>
      </c>
      <c r="G296" s="1480">
        <v>28.23</v>
      </c>
      <c r="H296" s="1414">
        <v>29.14</v>
      </c>
      <c r="I296" s="1477">
        <f t="shared" si="93"/>
        <v>57332.76</v>
      </c>
      <c r="J296" s="1477">
        <f t="shared" si="94"/>
        <v>61191.07</v>
      </c>
      <c r="K296" s="1477">
        <v>375.72</v>
      </c>
      <c r="L296" s="1477">
        <f t="shared" si="101"/>
        <v>375.72000000000025</v>
      </c>
      <c r="M296" s="1477">
        <v>1791.8700000000001</v>
      </c>
      <c r="N296" s="1477">
        <f t="shared" si="102"/>
        <v>1791.87</v>
      </c>
      <c r="O296" s="1477">
        <f t="shared" si="103"/>
        <v>10606.58</v>
      </c>
      <c r="P296" s="1477">
        <f t="shared" si="104"/>
        <v>50584.49</v>
      </c>
      <c r="Q296" s="1477">
        <f t="shared" si="105"/>
        <v>52215.09</v>
      </c>
      <c r="R296" s="1576">
        <f t="shared" si="106"/>
        <v>62821.67</v>
      </c>
      <c r="S296" s="1869">
        <v>1481.8585</v>
      </c>
      <c r="T296" s="1866">
        <v>42839.451490000007</v>
      </c>
      <c r="U296" s="2442"/>
      <c r="V296" s="1866">
        <f t="shared" si="109"/>
        <v>0</v>
      </c>
      <c r="W296" s="1869">
        <f t="shared" si="115"/>
        <v>1481.8585</v>
      </c>
      <c r="X296" s="1870">
        <f t="shared" si="107"/>
        <v>42839.451490000007</v>
      </c>
      <c r="Y296" s="1871">
        <f t="shared" si="110"/>
        <v>0.68192156448563068</v>
      </c>
      <c r="Z296" s="1694">
        <f t="shared" si="116"/>
        <v>685.7315000000001</v>
      </c>
      <c r="AA296" s="1872">
        <f t="shared" si="111"/>
        <v>19982.215910000003</v>
      </c>
      <c r="AB296" s="1873">
        <f t="shared" si="112"/>
        <v>0.31807839412737682</v>
      </c>
      <c r="AC296" s="1418">
        <f t="shared" si="95"/>
        <v>2.5999999888881575E-3</v>
      </c>
      <c r="AD296" s="1418">
        <f t="shared" si="96"/>
        <v>0</v>
      </c>
      <c r="AE296" s="1418">
        <v>62821.667400000006</v>
      </c>
      <c r="AF296" s="1418">
        <f t="shared" si="97"/>
        <v>-2.5999999925261363E-3</v>
      </c>
      <c r="AG296" s="1418">
        <v>29.14</v>
      </c>
      <c r="AH296" s="1418">
        <f t="shared" si="98"/>
        <v>0</v>
      </c>
      <c r="AI296" s="1428"/>
      <c r="AO296" s="2504">
        <v>42839.451490000007</v>
      </c>
      <c r="AP296" s="1418">
        <f t="shared" si="108"/>
        <v>0</v>
      </c>
    </row>
    <row r="297" spans="1:42" s="1410" customFormat="1" ht="15.75">
      <c r="A297" s="2102"/>
      <c r="B297" s="1268" t="s">
        <v>865</v>
      </c>
      <c r="C297" s="1241" t="s">
        <v>3083</v>
      </c>
      <c r="D297" s="1245" t="s">
        <v>37</v>
      </c>
      <c r="E297" s="1413">
        <v>54.93</v>
      </c>
      <c r="F297" s="1555">
        <v>36.590000000000003</v>
      </c>
      <c r="G297" s="1480">
        <v>39.25</v>
      </c>
      <c r="H297" s="1414">
        <v>40.630000000000003</v>
      </c>
      <c r="I297" s="1477">
        <f t="shared" si="93"/>
        <v>2009.89</v>
      </c>
      <c r="J297" s="1477">
        <f t="shared" si="94"/>
        <v>2156</v>
      </c>
      <c r="K297" s="1477">
        <v>0</v>
      </c>
      <c r="L297" s="1477">
        <f t="shared" si="101"/>
        <v>0</v>
      </c>
      <c r="M297" s="1477">
        <v>54.93</v>
      </c>
      <c r="N297" s="1477">
        <f t="shared" si="102"/>
        <v>54.93</v>
      </c>
      <c r="O297" s="1477">
        <f t="shared" si="103"/>
        <v>0</v>
      </c>
      <c r="P297" s="1477">
        <f t="shared" si="104"/>
        <v>2156</v>
      </c>
      <c r="Q297" s="1477">
        <f t="shared" si="105"/>
        <v>2231.81</v>
      </c>
      <c r="R297" s="1576">
        <f t="shared" si="106"/>
        <v>2231.81</v>
      </c>
      <c r="S297" s="1869">
        <v>54.93</v>
      </c>
      <c r="T297" s="1866">
        <v>2231.8059000000003</v>
      </c>
      <c r="U297" s="2442"/>
      <c r="V297" s="1866">
        <f t="shared" si="109"/>
        <v>0</v>
      </c>
      <c r="W297" s="1869">
        <f t="shared" si="115"/>
        <v>54.93</v>
      </c>
      <c r="X297" s="1870">
        <f t="shared" si="107"/>
        <v>2231.8059000000003</v>
      </c>
      <c r="Y297" s="1871">
        <f t="shared" si="110"/>
        <v>0.9999981629260557</v>
      </c>
      <c r="Z297" s="1694">
        <f t="shared" si="116"/>
        <v>0</v>
      </c>
      <c r="AA297" s="1872">
        <f t="shared" si="111"/>
        <v>0</v>
      </c>
      <c r="AB297" s="1873">
        <f t="shared" si="112"/>
        <v>0</v>
      </c>
      <c r="AC297" s="1418">
        <f t="shared" si="95"/>
        <v>4.0999999996529368E-3</v>
      </c>
      <c r="AD297" s="1418">
        <f t="shared" si="96"/>
        <v>0</v>
      </c>
      <c r="AE297" s="1418">
        <v>2231.8059000000003</v>
      </c>
      <c r="AF297" s="1418">
        <f t="shared" si="97"/>
        <v>-4.0999999996529368E-3</v>
      </c>
      <c r="AG297" s="1418">
        <v>40.630000000000003</v>
      </c>
      <c r="AH297" s="1418">
        <f t="shared" si="98"/>
        <v>0</v>
      </c>
      <c r="AI297" s="1428"/>
      <c r="AO297" s="2504">
        <v>2231.8059000000003</v>
      </c>
      <c r="AP297" s="1418">
        <f t="shared" si="108"/>
        <v>0</v>
      </c>
    </row>
    <row r="298" spans="1:42" s="1410" customFormat="1" ht="15.75">
      <c r="A298" s="2102"/>
      <c r="B298" s="1268" t="s">
        <v>867</v>
      </c>
      <c r="C298" s="1241" t="s">
        <v>3084</v>
      </c>
      <c r="D298" s="1245" t="s">
        <v>37</v>
      </c>
      <c r="E298" s="1413">
        <v>107.13</v>
      </c>
      <c r="F298" s="1555">
        <v>36.590000000000003</v>
      </c>
      <c r="G298" s="1480">
        <v>39.25</v>
      </c>
      <c r="H298" s="1414">
        <v>40.630000000000003</v>
      </c>
      <c r="I298" s="1477">
        <f t="shared" si="93"/>
        <v>3919.89</v>
      </c>
      <c r="J298" s="1477">
        <f t="shared" si="94"/>
        <v>4204.8500000000004</v>
      </c>
      <c r="K298" s="1477">
        <v>0</v>
      </c>
      <c r="L298" s="1477">
        <f t="shared" si="101"/>
        <v>0</v>
      </c>
      <c r="M298" s="1477">
        <v>107.13</v>
      </c>
      <c r="N298" s="1477">
        <f t="shared" si="102"/>
        <v>107.13</v>
      </c>
      <c r="O298" s="1477">
        <f t="shared" si="103"/>
        <v>0</v>
      </c>
      <c r="P298" s="1477">
        <f t="shared" si="104"/>
        <v>4204.8500000000004</v>
      </c>
      <c r="Q298" s="1477">
        <f t="shared" si="105"/>
        <v>4352.6899999999996</v>
      </c>
      <c r="R298" s="1576">
        <f t="shared" si="106"/>
        <v>4352.6899999999996</v>
      </c>
      <c r="S298" s="1869">
        <v>107.13</v>
      </c>
      <c r="T298" s="1866">
        <v>4352.6918999999998</v>
      </c>
      <c r="U298" s="2442"/>
      <c r="V298" s="1866">
        <f t="shared" si="109"/>
        <v>0</v>
      </c>
      <c r="W298" s="1869">
        <f t="shared" si="115"/>
        <v>107.13</v>
      </c>
      <c r="X298" s="1870">
        <f t="shared" si="107"/>
        <v>4352.6918999999998</v>
      </c>
      <c r="Y298" s="1871">
        <f t="shared" si="110"/>
        <v>1.0000004365116744</v>
      </c>
      <c r="Z298" s="1694">
        <f t="shared" si="116"/>
        <v>0</v>
      </c>
      <c r="AA298" s="1872">
        <f t="shared" si="111"/>
        <v>0</v>
      </c>
      <c r="AB298" s="1873">
        <f t="shared" si="112"/>
        <v>0</v>
      </c>
      <c r="AC298" s="1418">
        <f t="shared" si="95"/>
        <v>-1.900000000205182E-3</v>
      </c>
      <c r="AD298" s="1418">
        <f t="shared" si="96"/>
        <v>0</v>
      </c>
      <c r="AE298" s="1418">
        <v>4352.6918999999998</v>
      </c>
      <c r="AF298" s="1418">
        <f t="shared" si="97"/>
        <v>1.900000000205182E-3</v>
      </c>
      <c r="AG298" s="1418">
        <v>40.630000000000003</v>
      </c>
      <c r="AH298" s="1418">
        <f t="shared" si="98"/>
        <v>0</v>
      </c>
      <c r="AI298" s="1428"/>
      <c r="AO298" s="2504">
        <v>4352.6918999999998</v>
      </c>
      <c r="AP298" s="1418">
        <f t="shared" si="108"/>
        <v>0</v>
      </c>
    </row>
    <row r="299" spans="1:42" s="1410" customFormat="1" ht="15.75">
      <c r="A299" s="2102"/>
      <c r="B299" s="1268" t="s">
        <v>871</v>
      </c>
      <c r="C299" s="1241" t="s">
        <v>3085</v>
      </c>
      <c r="D299" s="1245" t="s">
        <v>37</v>
      </c>
      <c r="E299" s="1413">
        <v>183.32</v>
      </c>
      <c r="F299" s="1555">
        <v>22.38</v>
      </c>
      <c r="G299" s="1480">
        <v>23.79</v>
      </c>
      <c r="H299" s="1414">
        <v>24.52</v>
      </c>
      <c r="I299" s="1477">
        <f t="shared" si="93"/>
        <v>4102.7</v>
      </c>
      <c r="J299" s="1477">
        <f t="shared" si="94"/>
        <v>4361.18</v>
      </c>
      <c r="K299" s="1477">
        <v>0</v>
      </c>
      <c r="L299" s="1477">
        <f t="shared" si="101"/>
        <v>0</v>
      </c>
      <c r="M299" s="1477">
        <v>183.32</v>
      </c>
      <c r="N299" s="1477">
        <f t="shared" si="102"/>
        <v>183.32</v>
      </c>
      <c r="O299" s="1477">
        <f t="shared" si="103"/>
        <v>0</v>
      </c>
      <c r="P299" s="1477">
        <f t="shared" si="104"/>
        <v>4361.18</v>
      </c>
      <c r="Q299" s="1477">
        <f t="shared" si="105"/>
        <v>4495.01</v>
      </c>
      <c r="R299" s="1576">
        <f t="shared" si="106"/>
        <v>4495.01</v>
      </c>
      <c r="S299" s="1869">
        <v>183.32</v>
      </c>
      <c r="T299" s="1866">
        <v>4495.0063999999993</v>
      </c>
      <c r="U299" s="2442"/>
      <c r="V299" s="1866">
        <f t="shared" si="109"/>
        <v>0</v>
      </c>
      <c r="W299" s="1869">
        <f t="shared" si="115"/>
        <v>183.32</v>
      </c>
      <c r="X299" s="1870">
        <f t="shared" si="107"/>
        <v>4495.0063999999993</v>
      </c>
      <c r="Y299" s="1871">
        <f t="shared" si="110"/>
        <v>0.99999919911190394</v>
      </c>
      <c r="Z299" s="1694">
        <f t="shared" si="116"/>
        <v>0</v>
      </c>
      <c r="AA299" s="1872">
        <f t="shared" si="111"/>
        <v>0</v>
      </c>
      <c r="AB299" s="1873">
        <f t="shared" si="112"/>
        <v>0</v>
      </c>
      <c r="AC299" s="1418">
        <f t="shared" si="95"/>
        <v>3.6000000009153155E-3</v>
      </c>
      <c r="AD299" s="1418">
        <f t="shared" si="96"/>
        <v>0</v>
      </c>
      <c r="AE299" s="1418">
        <v>4495.0063999999993</v>
      </c>
      <c r="AF299" s="1418">
        <f t="shared" si="97"/>
        <v>-3.6000000009153155E-3</v>
      </c>
      <c r="AG299" s="1418">
        <v>24.52</v>
      </c>
      <c r="AH299" s="1418">
        <f t="shared" si="98"/>
        <v>0</v>
      </c>
      <c r="AI299" s="1428"/>
      <c r="AO299" s="2504">
        <v>4495.0063999999993</v>
      </c>
      <c r="AP299" s="1418">
        <f t="shared" si="108"/>
        <v>0</v>
      </c>
    </row>
    <row r="300" spans="1:42" s="1410" customFormat="1" ht="15.75">
      <c r="A300" s="2102"/>
      <c r="B300" s="1268" t="s">
        <v>874</v>
      </c>
      <c r="C300" s="1241" t="s">
        <v>3086</v>
      </c>
      <c r="D300" s="1245" t="s">
        <v>37</v>
      </c>
      <c r="E300" s="1413">
        <v>121.08</v>
      </c>
      <c r="F300" s="1555">
        <v>32.93</v>
      </c>
      <c r="G300" s="1480">
        <v>34.9</v>
      </c>
      <c r="H300" s="1414">
        <v>35.92</v>
      </c>
      <c r="I300" s="1477">
        <f t="shared" si="93"/>
        <v>3987.16</v>
      </c>
      <c r="J300" s="1477">
        <f t="shared" si="94"/>
        <v>4225.6899999999996</v>
      </c>
      <c r="K300" s="1477">
        <v>0</v>
      </c>
      <c r="L300" s="1477">
        <f t="shared" si="101"/>
        <v>0</v>
      </c>
      <c r="M300" s="1477">
        <v>121.08</v>
      </c>
      <c r="N300" s="1477">
        <f t="shared" si="102"/>
        <v>121.08</v>
      </c>
      <c r="O300" s="1477">
        <f t="shared" si="103"/>
        <v>0</v>
      </c>
      <c r="P300" s="1477">
        <f t="shared" si="104"/>
        <v>4225.6899999999996</v>
      </c>
      <c r="Q300" s="1477">
        <f t="shared" si="105"/>
        <v>4349.1899999999996</v>
      </c>
      <c r="R300" s="1576">
        <f t="shared" si="106"/>
        <v>4349.1899999999996</v>
      </c>
      <c r="S300" s="1869">
        <v>121.08</v>
      </c>
      <c r="T300" s="1866">
        <v>4349.1936000000005</v>
      </c>
      <c r="U300" s="2442"/>
      <c r="V300" s="1866">
        <f t="shared" si="109"/>
        <v>0</v>
      </c>
      <c r="W300" s="1869">
        <f t="shared" si="115"/>
        <v>121.08</v>
      </c>
      <c r="X300" s="1870">
        <f t="shared" si="107"/>
        <v>4349.1936000000005</v>
      </c>
      <c r="Y300" s="1871">
        <f t="shared" si="110"/>
        <v>1.000000827740338</v>
      </c>
      <c r="Z300" s="1694">
        <f t="shared" si="116"/>
        <v>0</v>
      </c>
      <c r="AA300" s="1872">
        <f t="shared" si="111"/>
        <v>0</v>
      </c>
      <c r="AB300" s="1873">
        <f t="shared" si="112"/>
        <v>0</v>
      </c>
      <c r="AC300" s="1418">
        <f t="shared" si="95"/>
        <v>-3.6000000009153155E-3</v>
      </c>
      <c r="AD300" s="1418">
        <f t="shared" si="96"/>
        <v>0</v>
      </c>
      <c r="AE300" s="1418">
        <v>4349.1936000000005</v>
      </c>
      <c r="AF300" s="1418">
        <f t="shared" si="97"/>
        <v>3.6000000009153155E-3</v>
      </c>
      <c r="AG300" s="1418">
        <v>35.92</v>
      </c>
      <c r="AH300" s="1418">
        <f t="shared" si="98"/>
        <v>0</v>
      </c>
      <c r="AI300" s="1428"/>
      <c r="AO300" s="2504">
        <v>4349.1936000000005</v>
      </c>
      <c r="AP300" s="1418">
        <f t="shared" si="108"/>
        <v>0</v>
      </c>
    </row>
    <row r="301" spans="1:42" s="1410" customFormat="1" ht="15.75">
      <c r="A301" s="2102"/>
      <c r="B301" s="1268" t="s">
        <v>882</v>
      </c>
      <c r="C301" s="1241" t="s">
        <v>3087</v>
      </c>
      <c r="D301" s="1245" t="s">
        <v>37</v>
      </c>
      <c r="E301" s="1413">
        <v>146.56</v>
      </c>
      <c r="F301" s="1555">
        <v>32.93</v>
      </c>
      <c r="G301" s="1480">
        <v>34.9</v>
      </c>
      <c r="H301" s="1414">
        <v>35.92</v>
      </c>
      <c r="I301" s="1477">
        <f t="shared" si="93"/>
        <v>4826.22</v>
      </c>
      <c r="J301" s="1477">
        <f t="shared" si="94"/>
        <v>5114.9399999999996</v>
      </c>
      <c r="K301" s="1477">
        <v>52.59</v>
      </c>
      <c r="L301" s="1477">
        <f t="shared" si="101"/>
        <v>52.59</v>
      </c>
      <c r="M301" s="1477">
        <v>93.97</v>
      </c>
      <c r="N301" s="1477">
        <f t="shared" si="102"/>
        <v>93.97</v>
      </c>
      <c r="O301" s="1477">
        <f t="shared" si="103"/>
        <v>1835.39</v>
      </c>
      <c r="P301" s="1477">
        <f t="shared" si="104"/>
        <v>3279.55</v>
      </c>
      <c r="Q301" s="1477">
        <f t="shared" si="105"/>
        <v>3375.4</v>
      </c>
      <c r="R301" s="1576">
        <f t="shared" si="106"/>
        <v>5210.79</v>
      </c>
      <c r="S301" s="1869">
        <v>146.56</v>
      </c>
      <c r="T301" s="1866">
        <v>5210.7934000000005</v>
      </c>
      <c r="U301" s="2442"/>
      <c r="V301" s="1866">
        <f t="shared" si="109"/>
        <v>0</v>
      </c>
      <c r="W301" s="1869">
        <f t="shared" si="115"/>
        <v>146.56</v>
      </c>
      <c r="X301" s="1870">
        <f t="shared" si="107"/>
        <v>5210.7934000000005</v>
      </c>
      <c r="Y301" s="1871">
        <f t="shared" si="110"/>
        <v>1.0000006524922325</v>
      </c>
      <c r="Z301" s="1694">
        <f t="shared" si="116"/>
        <v>0</v>
      </c>
      <c r="AA301" s="1872">
        <f t="shared" si="111"/>
        <v>0</v>
      </c>
      <c r="AB301" s="1873">
        <f t="shared" si="112"/>
        <v>0</v>
      </c>
      <c r="AC301" s="1418">
        <f t="shared" si="95"/>
        <v>-3.4000000005107722E-3</v>
      </c>
      <c r="AD301" s="1418">
        <f t="shared" si="96"/>
        <v>0</v>
      </c>
      <c r="AE301" s="1418">
        <v>5210.7934000000005</v>
      </c>
      <c r="AF301" s="1418">
        <f t="shared" si="97"/>
        <v>3.4000000005107722E-3</v>
      </c>
      <c r="AG301" s="1418">
        <v>35.92</v>
      </c>
      <c r="AH301" s="1418">
        <f t="shared" si="98"/>
        <v>0</v>
      </c>
      <c r="AI301" s="1428"/>
      <c r="AO301" s="2504">
        <v>5210.7934000000005</v>
      </c>
      <c r="AP301" s="1418">
        <f t="shared" si="108"/>
        <v>0</v>
      </c>
    </row>
    <row r="302" spans="1:42" s="1410" customFormat="1" ht="15.75">
      <c r="A302" s="2102"/>
      <c r="B302" s="1268" t="s">
        <v>2411</v>
      </c>
      <c r="C302" s="1241" t="s">
        <v>3088</v>
      </c>
      <c r="D302" s="1245" t="s">
        <v>37</v>
      </c>
      <c r="E302" s="1413">
        <v>460.86</v>
      </c>
      <c r="F302" s="1555">
        <v>31.17</v>
      </c>
      <c r="G302" s="1480">
        <v>33.14</v>
      </c>
      <c r="H302" s="1414">
        <v>34.159999999999997</v>
      </c>
      <c r="I302" s="1477">
        <f t="shared" si="93"/>
        <v>14365.01</v>
      </c>
      <c r="J302" s="1477">
        <f t="shared" si="94"/>
        <v>15272.9</v>
      </c>
      <c r="K302" s="1477">
        <v>0</v>
      </c>
      <c r="L302" s="1477">
        <f t="shared" si="101"/>
        <v>0</v>
      </c>
      <c r="M302" s="1477">
        <v>460.86</v>
      </c>
      <c r="N302" s="1477">
        <f t="shared" si="102"/>
        <v>460.86</v>
      </c>
      <c r="O302" s="1477">
        <f t="shared" si="103"/>
        <v>0</v>
      </c>
      <c r="P302" s="1477">
        <f t="shared" si="104"/>
        <v>15272.9</v>
      </c>
      <c r="Q302" s="1477">
        <f t="shared" si="105"/>
        <v>15742.98</v>
      </c>
      <c r="R302" s="1576">
        <f t="shared" si="106"/>
        <v>15742.98</v>
      </c>
      <c r="S302" s="1869">
        <v>185.04</v>
      </c>
      <c r="T302" s="1866">
        <v>6320.9663999999993</v>
      </c>
      <c r="U302" s="2442">
        <v>39.65</v>
      </c>
      <c r="V302" s="1866">
        <f t="shared" si="109"/>
        <v>1354.4439999999997</v>
      </c>
      <c r="W302" s="1869">
        <f t="shared" si="115"/>
        <v>224.69</v>
      </c>
      <c r="X302" s="1870">
        <f t="shared" si="107"/>
        <v>7675.4103999999988</v>
      </c>
      <c r="Y302" s="1871">
        <f t="shared" si="110"/>
        <v>0.48754495019367355</v>
      </c>
      <c r="Z302" s="1694">
        <f t="shared" si="116"/>
        <v>236.17000000000002</v>
      </c>
      <c r="AA302" s="1872">
        <f t="shared" si="111"/>
        <v>8067.5671999999995</v>
      </c>
      <c r="AB302" s="1873">
        <f t="shared" si="112"/>
        <v>0.51245489735742533</v>
      </c>
      <c r="AC302" s="1418">
        <f t="shared" si="95"/>
        <v>2.4000000012165401E-3</v>
      </c>
      <c r="AD302" s="1418">
        <f t="shared" si="96"/>
        <v>0</v>
      </c>
      <c r="AE302" s="1418">
        <v>15742.977599999998</v>
      </c>
      <c r="AF302" s="1418">
        <f t="shared" si="97"/>
        <v>-2.4000000012165401E-3</v>
      </c>
      <c r="AG302" s="1418">
        <v>34.159999999999997</v>
      </c>
      <c r="AH302" s="1418">
        <f t="shared" si="98"/>
        <v>0</v>
      </c>
      <c r="AI302" s="1428"/>
      <c r="AO302" s="2504">
        <v>6320.9663999999993</v>
      </c>
      <c r="AP302" s="1418">
        <f t="shared" si="108"/>
        <v>-1354.4439999999995</v>
      </c>
    </row>
    <row r="303" spans="1:42" s="1410" customFormat="1" ht="15.75">
      <c r="A303" s="2102"/>
      <c r="B303" s="1268" t="s">
        <v>2412</v>
      </c>
      <c r="C303" s="1241" t="s">
        <v>3089</v>
      </c>
      <c r="D303" s="1245" t="s">
        <v>37</v>
      </c>
      <c r="E303" s="1413">
        <v>11.86</v>
      </c>
      <c r="F303" s="1555">
        <v>34.22</v>
      </c>
      <c r="G303" s="1480">
        <v>35.630000000000003</v>
      </c>
      <c r="H303" s="1414">
        <v>36.36</v>
      </c>
      <c r="I303" s="1477">
        <f t="shared" si="93"/>
        <v>405.85</v>
      </c>
      <c r="J303" s="1477">
        <f t="shared" si="94"/>
        <v>422.57</v>
      </c>
      <c r="K303" s="1477">
        <v>0</v>
      </c>
      <c r="L303" s="1477">
        <f t="shared" si="101"/>
        <v>0</v>
      </c>
      <c r="M303" s="1477">
        <v>11.86</v>
      </c>
      <c r="N303" s="1477">
        <f t="shared" si="102"/>
        <v>11.86</v>
      </c>
      <c r="O303" s="1477">
        <f t="shared" si="103"/>
        <v>0</v>
      </c>
      <c r="P303" s="1477">
        <f t="shared" si="104"/>
        <v>422.57</v>
      </c>
      <c r="Q303" s="1477">
        <f t="shared" si="105"/>
        <v>431.23</v>
      </c>
      <c r="R303" s="1576">
        <f t="shared" si="106"/>
        <v>431.23</v>
      </c>
      <c r="S303" s="1869">
        <v>0</v>
      </c>
      <c r="T303" s="1866">
        <v>0</v>
      </c>
      <c r="U303" s="2442"/>
      <c r="V303" s="1866">
        <f t="shared" si="109"/>
        <v>0</v>
      </c>
      <c r="W303" s="1869">
        <f t="shared" si="115"/>
        <v>0</v>
      </c>
      <c r="X303" s="1870">
        <f t="shared" si="107"/>
        <v>0</v>
      </c>
      <c r="Y303" s="1871">
        <f t="shared" si="110"/>
        <v>0</v>
      </c>
      <c r="Z303" s="1694">
        <f t="shared" si="116"/>
        <v>11.86</v>
      </c>
      <c r="AA303" s="1872">
        <f t="shared" si="111"/>
        <v>431.22959999999995</v>
      </c>
      <c r="AB303" s="1873">
        <f t="shared" si="112"/>
        <v>0.99999907242074981</v>
      </c>
      <c r="AC303" s="1418">
        <f t="shared" si="95"/>
        <v>4.0000000007012204E-4</v>
      </c>
      <c r="AD303" s="1418">
        <f t="shared" si="96"/>
        <v>0</v>
      </c>
      <c r="AE303" s="1418">
        <v>431.22959999999995</v>
      </c>
      <c r="AF303" s="1418">
        <f t="shared" si="97"/>
        <v>-4.0000000007012204E-4</v>
      </c>
      <c r="AG303" s="1418">
        <v>36.36</v>
      </c>
      <c r="AH303" s="1418">
        <f t="shared" si="98"/>
        <v>0</v>
      </c>
      <c r="AI303" s="1428"/>
      <c r="AO303" s="2504">
        <v>0</v>
      </c>
      <c r="AP303" s="1418">
        <f t="shared" si="108"/>
        <v>0</v>
      </c>
    </row>
    <row r="304" spans="1:42" s="1410" customFormat="1" ht="15.75">
      <c r="A304" s="2102"/>
      <c r="B304" s="1268" t="s">
        <v>2413</v>
      </c>
      <c r="C304" s="1241" t="s">
        <v>3090</v>
      </c>
      <c r="D304" s="1245" t="s">
        <v>37</v>
      </c>
      <c r="E304" s="1413">
        <v>14.17</v>
      </c>
      <c r="F304" s="1555">
        <v>82.6</v>
      </c>
      <c r="G304" s="1480">
        <v>85.26</v>
      </c>
      <c r="H304" s="1414">
        <v>86.64</v>
      </c>
      <c r="I304" s="1477">
        <f t="shared" si="93"/>
        <v>1170.44</v>
      </c>
      <c r="J304" s="1477">
        <f t="shared" si="94"/>
        <v>1208.1300000000001</v>
      </c>
      <c r="K304" s="1477">
        <v>0</v>
      </c>
      <c r="L304" s="1477">
        <f t="shared" si="101"/>
        <v>0</v>
      </c>
      <c r="M304" s="1477">
        <v>14.17</v>
      </c>
      <c r="N304" s="1477">
        <f t="shared" si="102"/>
        <v>14.17</v>
      </c>
      <c r="O304" s="1477">
        <f t="shared" si="103"/>
        <v>0</v>
      </c>
      <c r="P304" s="1477">
        <f t="shared" si="104"/>
        <v>1208.1300000000001</v>
      </c>
      <c r="Q304" s="1477">
        <f t="shared" si="105"/>
        <v>1227.69</v>
      </c>
      <c r="R304" s="1576">
        <f t="shared" si="106"/>
        <v>1227.69</v>
      </c>
      <c r="S304" s="1869">
        <v>0</v>
      </c>
      <c r="T304" s="1866">
        <v>0</v>
      </c>
      <c r="U304" s="2442"/>
      <c r="V304" s="1866">
        <f t="shared" si="109"/>
        <v>0</v>
      </c>
      <c r="W304" s="1869">
        <f t="shared" si="115"/>
        <v>0</v>
      </c>
      <c r="X304" s="1870">
        <f t="shared" si="107"/>
        <v>0</v>
      </c>
      <c r="Y304" s="1871">
        <f t="shared" si="110"/>
        <v>0</v>
      </c>
      <c r="Z304" s="1694">
        <f t="shared" si="116"/>
        <v>14.17</v>
      </c>
      <c r="AA304" s="1872">
        <f t="shared" si="111"/>
        <v>1227.6887999999999</v>
      </c>
      <c r="AB304" s="1873">
        <f t="shared" si="112"/>
        <v>0.99999902255455353</v>
      </c>
      <c r="AC304" s="1418">
        <f t="shared" si="95"/>
        <v>1.2000000001535227E-3</v>
      </c>
      <c r="AD304" s="1418">
        <f t="shared" si="96"/>
        <v>0</v>
      </c>
      <c r="AE304" s="1418">
        <v>1227.6887999999999</v>
      </c>
      <c r="AF304" s="1418">
        <f t="shared" si="97"/>
        <v>-1.2000000001535227E-3</v>
      </c>
      <c r="AG304" s="1418">
        <v>86.64</v>
      </c>
      <c r="AH304" s="1418">
        <f t="shared" si="98"/>
        <v>0</v>
      </c>
      <c r="AI304" s="1428"/>
      <c r="AO304" s="2504">
        <v>0</v>
      </c>
      <c r="AP304" s="1418">
        <f t="shared" si="108"/>
        <v>0</v>
      </c>
    </row>
    <row r="305" spans="1:43" s="1410" customFormat="1" ht="15.75">
      <c r="A305" s="2102"/>
      <c r="B305" s="1268" t="s">
        <v>2414</v>
      </c>
      <c r="C305" s="1241" t="s">
        <v>3091</v>
      </c>
      <c r="D305" s="1245" t="s">
        <v>37</v>
      </c>
      <c r="E305" s="1413">
        <v>15.78</v>
      </c>
      <c r="F305" s="1555">
        <v>448.46</v>
      </c>
      <c r="G305" s="1480">
        <v>468.16</v>
      </c>
      <c r="H305" s="1414">
        <v>478.93</v>
      </c>
      <c r="I305" s="1477">
        <f t="shared" si="93"/>
        <v>7076.7</v>
      </c>
      <c r="J305" s="1477">
        <f t="shared" si="94"/>
        <v>7387.56</v>
      </c>
      <c r="K305" s="1477">
        <v>0</v>
      </c>
      <c r="L305" s="1477">
        <f t="shared" si="101"/>
        <v>0</v>
      </c>
      <c r="M305" s="1477">
        <v>15.78</v>
      </c>
      <c r="N305" s="1477">
        <f t="shared" si="102"/>
        <v>15.78</v>
      </c>
      <c r="O305" s="1477">
        <f t="shared" si="103"/>
        <v>0</v>
      </c>
      <c r="P305" s="1477">
        <f t="shared" si="104"/>
        <v>7387.56</v>
      </c>
      <c r="Q305" s="1477">
        <f t="shared" si="105"/>
        <v>7557.52</v>
      </c>
      <c r="R305" s="1576">
        <f t="shared" si="106"/>
        <v>7557.52</v>
      </c>
      <c r="S305" s="1869">
        <v>15.78</v>
      </c>
      <c r="T305" s="1866">
        <v>7557.5154000000002</v>
      </c>
      <c r="U305" s="2442"/>
      <c r="V305" s="1866">
        <f t="shared" si="109"/>
        <v>0</v>
      </c>
      <c r="W305" s="1869">
        <f t="shared" si="115"/>
        <v>15.78</v>
      </c>
      <c r="X305" s="1870">
        <f t="shared" si="107"/>
        <v>7557.5154000000002</v>
      </c>
      <c r="Y305" s="1871">
        <f t="shared" si="110"/>
        <v>0.99999939133472349</v>
      </c>
      <c r="Z305" s="1694">
        <f t="shared" si="116"/>
        <v>0</v>
      </c>
      <c r="AA305" s="1872">
        <f t="shared" si="111"/>
        <v>0</v>
      </c>
      <c r="AB305" s="1873">
        <f t="shared" si="112"/>
        <v>0</v>
      </c>
      <c r="AC305" s="1418">
        <f t="shared" si="95"/>
        <v>4.6000000002095476E-3</v>
      </c>
      <c r="AD305" s="1418">
        <f t="shared" si="96"/>
        <v>0</v>
      </c>
      <c r="AE305" s="1418">
        <v>7557.5154000000002</v>
      </c>
      <c r="AF305" s="1418">
        <f t="shared" si="97"/>
        <v>-4.6000000002095476E-3</v>
      </c>
      <c r="AG305" s="1418">
        <v>478.93</v>
      </c>
      <c r="AH305" s="1418">
        <f t="shared" si="98"/>
        <v>0</v>
      </c>
      <c r="AI305" s="1428"/>
      <c r="AO305" s="2504">
        <v>7557.5154000000002</v>
      </c>
      <c r="AP305" s="1418">
        <f t="shared" si="108"/>
        <v>0</v>
      </c>
    </row>
    <row r="306" spans="1:43" s="1410" customFormat="1" ht="15.75">
      <c r="A306" s="2102"/>
      <c r="B306" s="1268" t="s">
        <v>2415</v>
      </c>
      <c r="C306" s="1241" t="s">
        <v>3092</v>
      </c>
      <c r="D306" s="1245" t="s">
        <v>37</v>
      </c>
      <c r="E306" s="1413">
        <v>55.67</v>
      </c>
      <c r="F306" s="1555">
        <v>497.7</v>
      </c>
      <c r="G306" s="1480">
        <v>517.4</v>
      </c>
      <c r="H306" s="1414">
        <v>528.16999999999996</v>
      </c>
      <c r="I306" s="1477">
        <f t="shared" si="93"/>
        <v>27706.959999999999</v>
      </c>
      <c r="J306" s="1477">
        <f t="shared" si="94"/>
        <v>28803.66</v>
      </c>
      <c r="K306" s="1477">
        <v>12</v>
      </c>
      <c r="L306" s="1477">
        <f t="shared" si="101"/>
        <v>12</v>
      </c>
      <c r="M306" s="1477">
        <v>43.67</v>
      </c>
      <c r="N306" s="1477">
        <f t="shared" si="102"/>
        <v>43.67</v>
      </c>
      <c r="O306" s="1477">
        <f t="shared" si="103"/>
        <v>6208.8</v>
      </c>
      <c r="P306" s="1477">
        <f t="shared" si="104"/>
        <v>22594.86</v>
      </c>
      <c r="Q306" s="1477">
        <f t="shared" si="105"/>
        <v>23065.18</v>
      </c>
      <c r="R306" s="1576">
        <f t="shared" si="106"/>
        <v>29273.98</v>
      </c>
      <c r="S306" s="1869">
        <v>41.67799999999999</v>
      </c>
      <c r="T306" s="1866">
        <v>21883.829259999995</v>
      </c>
      <c r="U306" s="2442"/>
      <c r="V306" s="1866">
        <f t="shared" si="109"/>
        <v>0</v>
      </c>
      <c r="W306" s="1869">
        <f t="shared" si="115"/>
        <v>41.67799999999999</v>
      </c>
      <c r="X306" s="1870">
        <f t="shared" si="107"/>
        <v>21883.829259999995</v>
      </c>
      <c r="Y306" s="1871">
        <f t="shared" si="110"/>
        <v>0.7475522378576468</v>
      </c>
      <c r="Z306" s="1694">
        <f t="shared" si="116"/>
        <v>13.992000000000012</v>
      </c>
      <c r="AA306" s="1872">
        <f t="shared" si="111"/>
        <v>7390.1546400000052</v>
      </c>
      <c r="AB306" s="1873">
        <f t="shared" si="112"/>
        <v>0.25244789536646556</v>
      </c>
      <c r="AC306" s="1418">
        <f t="shared" si="95"/>
        <v>-3.9000000006126356E-3</v>
      </c>
      <c r="AD306" s="1418">
        <f t="shared" si="96"/>
        <v>0</v>
      </c>
      <c r="AE306" s="1418">
        <v>29273.983899999999</v>
      </c>
      <c r="AF306" s="1418">
        <f t="shared" si="97"/>
        <v>3.8999999997031409E-3</v>
      </c>
      <c r="AG306" s="1418">
        <v>528.16999999999996</v>
      </c>
      <c r="AH306" s="1418">
        <f t="shared" si="98"/>
        <v>0</v>
      </c>
      <c r="AI306" s="1428"/>
      <c r="AO306" s="2504">
        <v>21883.829259999995</v>
      </c>
      <c r="AP306" s="1418">
        <f t="shared" si="108"/>
        <v>0</v>
      </c>
    </row>
    <row r="307" spans="1:43" s="1410" customFormat="1" ht="15.75">
      <c r="A307" s="2102" t="s">
        <v>3619</v>
      </c>
      <c r="B307" s="1268" t="s">
        <v>2416</v>
      </c>
      <c r="C307" s="1241" t="s">
        <v>3093</v>
      </c>
      <c r="D307" s="1245" t="s">
        <v>38</v>
      </c>
      <c r="E307" s="1413">
        <v>3238.42</v>
      </c>
      <c r="F307" s="1555">
        <v>13.06</v>
      </c>
      <c r="G307" s="1480">
        <v>14.13</v>
      </c>
      <c r="H307" s="1414">
        <v>14.67</v>
      </c>
      <c r="I307" s="1477">
        <f t="shared" si="93"/>
        <v>42293.77</v>
      </c>
      <c r="J307" s="1477">
        <f t="shared" si="94"/>
        <v>45758.87</v>
      </c>
      <c r="K307" s="1477">
        <v>388</v>
      </c>
      <c r="L307" s="1477">
        <f t="shared" si="101"/>
        <v>388</v>
      </c>
      <c r="M307" s="1477">
        <v>2850.42</v>
      </c>
      <c r="N307" s="1477">
        <f t="shared" si="102"/>
        <v>2850.42</v>
      </c>
      <c r="O307" s="1477">
        <f t="shared" si="103"/>
        <v>5482.44</v>
      </c>
      <c r="P307" s="1477">
        <f t="shared" si="104"/>
        <v>40276.43</v>
      </c>
      <c r="Q307" s="1477">
        <f t="shared" si="105"/>
        <v>41815.660000000003</v>
      </c>
      <c r="R307" s="1576">
        <f t="shared" si="106"/>
        <v>47298.100000000006</v>
      </c>
      <c r="S307" s="1869">
        <v>3110.65</v>
      </c>
      <c r="T307" s="1866">
        <v>45423.715499999998</v>
      </c>
      <c r="U307" s="2442"/>
      <c r="V307" s="1866">
        <f t="shared" si="109"/>
        <v>0</v>
      </c>
      <c r="W307" s="1869">
        <f t="shared" si="115"/>
        <v>3110.65</v>
      </c>
      <c r="X307" s="1870">
        <f t="shared" si="107"/>
        <v>45423.715499999998</v>
      </c>
      <c r="Y307" s="1871">
        <f t="shared" si="110"/>
        <v>0.96037082884936165</v>
      </c>
      <c r="Z307" s="1694">
        <f t="shared" si="116"/>
        <v>127.76999999999998</v>
      </c>
      <c r="AA307" s="1872">
        <f t="shared" si="111"/>
        <v>1874.3858999999998</v>
      </c>
      <c r="AB307" s="1873">
        <f t="shared" si="112"/>
        <v>3.9629200750135832E-2</v>
      </c>
      <c r="AC307" s="1418">
        <f t="shared" si="95"/>
        <v>-1.3999999923726136E-3</v>
      </c>
      <c r="AD307" s="1418">
        <f t="shared" si="96"/>
        <v>0</v>
      </c>
      <c r="AE307" s="1418">
        <v>47298.1014</v>
      </c>
      <c r="AF307" s="1418">
        <f t="shared" si="97"/>
        <v>1.3999999937368557E-3</v>
      </c>
      <c r="AG307" s="1418">
        <v>14.67</v>
      </c>
      <c r="AH307" s="1418">
        <f t="shared" si="98"/>
        <v>0</v>
      </c>
      <c r="AI307" s="1428"/>
      <c r="AO307" s="2504">
        <v>45423.715499999998</v>
      </c>
      <c r="AP307" s="1418">
        <f t="shared" si="108"/>
        <v>0</v>
      </c>
    </row>
    <row r="308" spans="1:43" s="1410" customFormat="1" ht="15.75">
      <c r="A308" s="2102" t="s">
        <v>3619</v>
      </c>
      <c r="B308" s="1268" t="s">
        <v>2417</v>
      </c>
      <c r="C308" s="1241" t="s">
        <v>3094</v>
      </c>
      <c r="D308" s="1245" t="s">
        <v>38</v>
      </c>
      <c r="E308" s="1413">
        <v>4141.3100000000004</v>
      </c>
      <c r="F308" s="1555">
        <v>8.77</v>
      </c>
      <c r="G308" s="1480">
        <v>9.5299999999999994</v>
      </c>
      <c r="H308" s="1414">
        <v>9.92</v>
      </c>
      <c r="I308" s="1477">
        <f t="shared" si="93"/>
        <v>36319.29</v>
      </c>
      <c r="J308" s="1477">
        <f t="shared" si="94"/>
        <v>39466.68</v>
      </c>
      <c r="K308" s="1477">
        <v>1171.1650000000004</v>
      </c>
      <c r="L308" s="1477">
        <f t="shared" si="101"/>
        <v>1171.1600000000003</v>
      </c>
      <c r="M308" s="1477">
        <v>2970.145</v>
      </c>
      <c r="N308" s="1477">
        <f t="shared" si="102"/>
        <v>2970.15</v>
      </c>
      <c r="O308" s="1477">
        <f t="shared" si="103"/>
        <v>11161.15</v>
      </c>
      <c r="P308" s="1477">
        <f t="shared" si="104"/>
        <v>28305.53</v>
      </c>
      <c r="Q308" s="1477">
        <f t="shared" si="105"/>
        <v>29463.89</v>
      </c>
      <c r="R308" s="1576">
        <f t="shared" si="106"/>
        <v>40625.040000000001</v>
      </c>
      <c r="S308" s="1869">
        <v>4141.3100000000004</v>
      </c>
      <c r="T308" s="1866">
        <v>40625.04084999999</v>
      </c>
      <c r="U308" s="2442"/>
      <c r="V308" s="1866">
        <f t="shared" si="109"/>
        <v>0</v>
      </c>
      <c r="W308" s="1869">
        <f t="shared" si="115"/>
        <v>4141.3100000000004</v>
      </c>
      <c r="X308" s="1870">
        <f t="shared" si="107"/>
        <v>40625.04084999999</v>
      </c>
      <c r="Y308" s="1871">
        <f t="shared" si="110"/>
        <v>1.000000020923056</v>
      </c>
      <c r="Z308" s="1694">
        <f t="shared" si="116"/>
        <v>0</v>
      </c>
      <c r="AA308" s="1872">
        <f t="shared" si="111"/>
        <v>0</v>
      </c>
      <c r="AB308" s="1873">
        <f t="shared" si="112"/>
        <v>0</v>
      </c>
      <c r="AC308" s="1418">
        <f t="shared" si="95"/>
        <v>-8.4999998944113031E-4</v>
      </c>
      <c r="AD308" s="1418">
        <f t="shared" si="96"/>
        <v>0</v>
      </c>
      <c r="AE308" s="1418">
        <v>40625.040849999998</v>
      </c>
      <c r="AF308" s="1418">
        <f t="shared" si="97"/>
        <v>8.4999999671708792E-4</v>
      </c>
      <c r="AG308" s="1418">
        <v>9.92</v>
      </c>
      <c r="AH308" s="1418">
        <f t="shared" si="98"/>
        <v>0</v>
      </c>
      <c r="AI308" s="1428"/>
      <c r="AO308" s="2504">
        <v>40625.04084999999</v>
      </c>
      <c r="AP308" s="1418">
        <f t="shared" si="108"/>
        <v>0</v>
      </c>
    </row>
    <row r="309" spans="1:43" s="1410" customFormat="1" ht="15.75">
      <c r="A309" s="2102"/>
      <c r="B309" s="1268" t="s">
        <v>2418</v>
      </c>
      <c r="C309" s="1241" t="s">
        <v>3095</v>
      </c>
      <c r="D309" s="1245" t="s">
        <v>37</v>
      </c>
      <c r="E309" s="1413">
        <v>214.49</v>
      </c>
      <c r="F309" s="1555">
        <v>38.67</v>
      </c>
      <c r="G309" s="1480">
        <v>40.799999999999997</v>
      </c>
      <c r="H309" s="1414">
        <v>41.9</v>
      </c>
      <c r="I309" s="1477">
        <f t="shared" si="93"/>
        <v>8294.33</v>
      </c>
      <c r="J309" s="1477">
        <f t="shared" si="94"/>
        <v>8751.19</v>
      </c>
      <c r="K309" s="1477">
        <v>0</v>
      </c>
      <c r="L309" s="1477">
        <f t="shared" si="101"/>
        <v>0</v>
      </c>
      <c r="M309" s="1477">
        <v>214.49</v>
      </c>
      <c r="N309" s="1477">
        <f t="shared" si="102"/>
        <v>214.49</v>
      </c>
      <c r="O309" s="1477">
        <f t="shared" si="103"/>
        <v>0</v>
      </c>
      <c r="P309" s="1477">
        <f t="shared" si="104"/>
        <v>8751.19</v>
      </c>
      <c r="Q309" s="1477">
        <f t="shared" si="105"/>
        <v>8987.1299999999992</v>
      </c>
      <c r="R309" s="1576">
        <f t="shared" si="106"/>
        <v>8987.1299999999992</v>
      </c>
      <c r="S309" s="1869">
        <v>0</v>
      </c>
      <c r="T309" s="1866">
        <v>0</v>
      </c>
      <c r="U309" s="2442"/>
      <c r="V309" s="1866">
        <f t="shared" si="109"/>
        <v>0</v>
      </c>
      <c r="W309" s="1869">
        <f t="shared" si="115"/>
        <v>0</v>
      </c>
      <c r="X309" s="1870">
        <f t="shared" si="107"/>
        <v>0</v>
      </c>
      <c r="Y309" s="1871">
        <f t="shared" si="110"/>
        <v>0</v>
      </c>
      <c r="Z309" s="1694">
        <f t="shared" si="116"/>
        <v>214.49</v>
      </c>
      <c r="AA309" s="1872">
        <f t="shared" si="111"/>
        <v>8987.1309999999994</v>
      </c>
      <c r="AB309" s="1873">
        <f t="shared" si="112"/>
        <v>1.0000001112702275</v>
      </c>
      <c r="AC309" s="1418">
        <f t="shared" si="95"/>
        <v>-1.0000000002037268E-3</v>
      </c>
      <c r="AD309" s="1418">
        <f t="shared" si="96"/>
        <v>0</v>
      </c>
      <c r="AE309" s="1418">
        <v>8987.1309999999994</v>
      </c>
      <c r="AF309" s="1418">
        <f t="shared" si="97"/>
        <v>1.0000000002037268E-3</v>
      </c>
      <c r="AG309" s="1418">
        <v>41.9</v>
      </c>
      <c r="AH309" s="1418">
        <f t="shared" si="98"/>
        <v>0</v>
      </c>
      <c r="AI309" s="1428"/>
      <c r="AO309" s="2504">
        <v>0</v>
      </c>
      <c r="AP309" s="1418">
        <f t="shared" si="108"/>
        <v>0</v>
      </c>
    </row>
    <row r="310" spans="1:43" s="1410" customFormat="1" ht="15.75">
      <c r="A310" s="2102"/>
      <c r="B310" s="1268" t="s">
        <v>2419</v>
      </c>
      <c r="C310" s="1241" t="s">
        <v>3096</v>
      </c>
      <c r="D310" s="1245" t="s">
        <v>37</v>
      </c>
      <c r="E310" s="1413">
        <v>843.66</v>
      </c>
      <c r="F310" s="1555">
        <v>4.8</v>
      </c>
      <c r="G310" s="1480">
        <v>5.18</v>
      </c>
      <c r="H310" s="1414">
        <v>5.39</v>
      </c>
      <c r="I310" s="1477">
        <f t="shared" si="93"/>
        <v>4049.57</v>
      </c>
      <c r="J310" s="1477">
        <f t="shared" si="94"/>
        <v>4370.16</v>
      </c>
      <c r="K310" s="1477">
        <v>0</v>
      </c>
      <c r="L310" s="1477">
        <f t="shared" si="101"/>
        <v>0</v>
      </c>
      <c r="M310" s="1477">
        <v>843.66</v>
      </c>
      <c r="N310" s="1477">
        <f t="shared" si="102"/>
        <v>843.66</v>
      </c>
      <c r="O310" s="1477">
        <f t="shared" si="103"/>
        <v>0</v>
      </c>
      <c r="P310" s="1477">
        <f t="shared" si="104"/>
        <v>4370.16</v>
      </c>
      <c r="Q310" s="1477">
        <f t="shared" si="105"/>
        <v>4547.33</v>
      </c>
      <c r="R310" s="1576">
        <f t="shared" si="106"/>
        <v>4547.33</v>
      </c>
      <c r="S310" s="1869">
        <v>722.35739999999998</v>
      </c>
      <c r="T310" s="1866">
        <v>3893.5063859999996</v>
      </c>
      <c r="U310" s="2442"/>
      <c r="V310" s="1866">
        <f t="shared" si="109"/>
        <v>0</v>
      </c>
      <c r="W310" s="1869">
        <f t="shared" si="115"/>
        <v>722.35739999999998</v>
      </c>
      <c r="X310" s="1870">
        <f t="shared" si="107"/>
        <v>3893.5063859999996</v>
      </c>
      <c r="Y310" s="1871">
        <f t="shared" si="110"/>
        <v>0.85621812931984254</v>
      </c>
      <c r="Z310" s="1694">
        <f t="shared" si="116"/>
        <v>121.30259999999998</v>
      </c>
      <c r="AA310" s="1872">
        <f t="shared" si="111"/>
        <v>653.82101399999988</v>
      </c>
      <c r="AB310" s="1873">
        <f t="shared" si="112"/>
        <v>0.1437812989160672</v>
      </c>
      <c r="AC310" s="1418">
        <f t="shared" si="95"/>
        <v>2.600000000484215E-3</v>
      </c>
      <c r="AD310" s="1418">
        <f t="shared" si="96"/>
        <v>0</v>
      </c>
      <c r="AE310" s="1418">
        <v>4547.3273999999992</v>
      </c>
      <c r="AF310" s="1418">
        <f t="shared" si="97"/>
        <v>-2.6000000007115887E-3</v>
      </c>
      <c r="AG310" s="1418">
        <v>5.39</v>
      </c>
      <c r="AH310" s="1418">
        <f t="shared" si="98"/>
        <v>0</v>
      </c>
      <c r="AI310" s="1428"/>
      <c r="AO310" s="2504">
        <v>3893.5063859999996</v>
      </c>
      <c r="AP310" s="1418">
        <f t="shared" si="108"/>
        <v>0</v>
      </c>
      <c r="AQ310" s="1410">
        <f>+Z310*0.8</f>
        <v>97.042079999999999</v>
      </c>
    </row>
    <row r="311" spans="1:43" s="1231" customFormat="1" ht="15.75">
      <c r="A311" s="2103" t="s">
        <v>3619</v>
      </c>
      <c r="B311" s="1263" t="s">
        <v>483</v>
      </c>
      <c r="C311" s="1264" t="s">
        <v>3097</v>
      </c>
      <c r="D311" s="1265"/>
      <c r="E311" s="1266"/>
      <c r="F311" s="1267"/>
      <c r="G311" s="1480"/>
      <c r="H311" s="1267"/>
      <c r="I311" s="1477">
        <f t="shared" si="93"/>
        <v>0</v>
      </c>
      <c r="J311" s="1477">
        <f t="shared" si="94"/>
        <v>0</v>
      </c>
      <c r="K311" s="1477"/>
      <c r="L311" s="1477">
        <f t="shared" si="101"/>
        <v>0</v>
      </c>
      <c r="M311" s="1477"/>
      <c r="N311" s="1477">
        <f t="shared" si="102"/>
        <v>0</v>
      </c>
      <c r="O311" s="1477">
        <f t="shared" si="103"/>
        <v>0</v>
      </c>
      <c r="P311" s="1477">
        <f t="shared" si="104"/>
        <v>0</v>
      </c>
      <c r="Q311" s="1477">
        <f t="shared" si="105"/>
        <v>0</v>
      </c>
      <c r="R311" s="1576">
        <f t="shared" si="106"/>
        <v>0</v>
      </c>
      <c r="S311" s="2452"/>
      <c r="T311" s="1866"/>
      <c r="U311" s="2442"/>
      <c r="V311" s="1866">
        <f t="shared" si="109"/>
        <v>0</v>
      </c>
      <c r="W311" s="2452"/>
      <c r="X311" s="1870"/>
      <c r="Y311" s="1871" t="str">
        <f t="shared" si="110"/>
        <v/>
      </c>
      <c r="Z311" s="1694"/>
      <c r="AA311" s="1872">
        <f t="shared" si="111"/>
        <v>0</v>
      </c>
      <c r="AB311" s="1873" t="str">
        <f t="shared" si="112"/>
        <v/>
      </c>
      <c r="AC311" s="1418">
        <f t="shared" si="95"/>
        <v>0</v>
      </c>
      <c r="AD311" s="1418">
        <f t="shared" si="96"/>
        <v>0</v>
      </c>
      <c r="AE311" s="1230"/>
      <c r="AF311" s="1230">
        <f t="shared" si="97"/>
        <v>0</v>
      </c>
      <c r="AG311" s="1230"/>
      <c r="AH311" s="1418">
        <f t="shared" si="98"/>
        <v>0</v>
      </c>
      <c r="AI311" s="1346"/>
      <c r="AO311" s="1736"/>
      <c r="AP311" s="1418">
        <f t="shared" si="108"/>
        <v>0</v>
      </c>
    </row>
    <row r="312" spans="1:43" s="1410" customFormat="1" ht="15.75">
      <c r="A312" s="2102" t="s">
        <v>3619</v>
      </c>
      <c r="B312" s="1268" t="s">
        <v>484</v>
      </c>
      <c r="C312" s="1241" t="s">
        <v>3098</v>
      </c>
      <c r="D312" s="1245" t="s">
        <v>37</v>
      </c>
      <c r="E312" s="1413">
        <v>4468.46</v>
      </c>
      <c r="F312" s="1555">
        <v>30.4</v>
      </c>
      <c r="G312" s="1480">
        <v>32.53</v>
      </c>
      <c r="H312" s="1414">
        <v>33.630000000000003</v>
      </c>
      <c r="I312" s="1477">
        <f t="shared" si="93"/>
        <v>135841.18</v>
      </c>
      <c r="J312" s="1477">
        <f t="shared" si="94"/>
        <v>145359</v>
      </c>
      <c r="K312" s="1477">
        <v>1118.1420000000001</v>
      </c>
      <c r="L312" s="1477">
        <f t="shared" si="101"/>
        <v>1118.1399999999999</v>
      </c>
      <c r="M312" s="1477">
        <v>3350.3180000000002</v>
      </c>
      <c r="N312" s="1477">
        <f t="shared" si="102"/>
        <v>3350.32</v>
      </c>
      <c r="O312" s="1477">
        <f t="shared" si="103"/>
        <v>36373.089999999997</v>
      </c>
      <c r="P312" s="1477">
        <f t="shared" si="104"/>
        <v>108985.91</v>
      </c>
      <c r="Q312" s="1477">
        <f t="shared" si="105"/>
        <v>112671.26</v>
      </c>
      <c r="R312" s="1576">
        <f t="shared" si="106"/>
        <v>149044.34999999998</v>
      </c>
      <c r="S312" s="1869">
        <v>4234.9496000000008</v>
      </c>
      <c r="T312" s="1866">
        <v>141191.39884800001</v>
      </c>
      <c r="U312" s="2442"/>
      <c r="V312" s="1866">
        <f t="shared" si="109"/>
        <v>0</v>
      </c>
      <c r="W312" s="1869">
        <f>S312+U312</f>
        <v>4234.9496000000008</v>
      </c>
      <c r="X312" s="1870">
        <f t="shared" si="107"/>
        <v>141191.39884800001</v>
      </c>
      <c r="Y312" s="1871">
        <f t="shared" si="110"/>
        <v>0.94731131269316837</v>
      </c>
      <c r="Z312" s="1694">
        <f>+E312-W312</f>
        <v>233.51039999999921</v>
      </c>
      <c r="AA312" s="1872">
        <f t="shared" si="111"/>
        <v>7852.9547519999742</v>
      </c>
      <c r="AB312" s="1873">
        <f t="shared" si="112"/>
        <v>5.2688711460716055E-2</v>
      </c>
      <c r="AC312" s="1418">
        <f t="shared" si="95"/>
        <v>-3.6000000091007678E-3</v>
      </c>
      <c r="AD312" s="1418">
        <f t="shared" si="96"/>
        <v>0</v>
      </c>
      <c r="AE312" s="1418">
        <v>149044.3536</v>
      </c>
      <c r="AF312" s="1418">
        <f t="shared" si="97"/>
        <v>3.6000000254716724E-3</v>
      </c>
      <c r="AG312" s="1418">
        <v>33.630000000000003</v>
      </c>
      <c r="AH312" s="1418">
        <f t="shared" si="98"/>
        <v>0</v>
      </c>
      <c r="AI312" s="1428"/>
      <c r="AO312" s="2504">
        <v>141191.39884800001</v>
      </c>
      <c r="AP312" s="1418">
        <f t="shared" si="108"/>
        <v>0</v>
      </c>
    </row>
    <row r="313" spans="1:43" s="1410" customFormat="1" ht="15.75">
      <c r="A313" s="2102"/>
      <c r="B313" s="1268" t="s">
        <v>485</v>
      </c>
      <c r="C313" s="1241" t="s">
        <v>3099</v>
      </c>
      <c r="D313" s="1245" t="s">
        <v>37</v>
      </c>
      <c r="E313" s="1413">
        <v>557.97</v>
      </c>
      <c r="F313" s="1555">
        <v>55.57</v>
      </c>
      <c r="G313" s="1480">
        <v>56.9</v>
      </c>
      <c r="H313" s="1414">
        <v>57.56</v>
      </c>
      <c r="I313" s="1477">
        <f t="shared" si="93"/>
        <v>31006.39</v>
      </c>
      <c r="J313" s="1477">
        <f t="shared" si="94"/>
        <v>31748.49</v>
      </c>
      <c r="K313" s="1477">
        <v>0</v>
      </c>
      <c r="L313" s="1477">
        <f t="shared" si="101"/>
        <v>0</v>
      </c>
      <c r="M313" s="1477">
        <v>557.97</v>
      </c>
      <c r="N313" s="1477">
        <f t="shared" si="102"/>
        <v>557.97</v>
      </c>
      <c r="O313" s="1477">
        <f t="shared" si="103"/>
        <v>0</v>
      </c>
      <c r="P313" s="1477">
        <f t="shared" si="104"/>
        <v>31748.49</v>
      </c>
      <c r="Q313" s="1477">
        <f t="shared" si="105"/>
        <v>32116.75</v>
      </c>
      <c r="R313" s="1576">
        <f t="shared" si="106"/>
        <v>32116.75</v>
      </c>
      <c r="S313" s="1869">
        <v>0</v>
      </c>
      <c r="T313" s="1866">
        <v>0</v>
      </c>
      <c r="U313" s="2442"/>
      <c r="V313" s="1866">
        <f t="shared" si="109"/>
        <v>0</v>
      </c>
      <c r="W313" s="1869">
        <f>S313+U313</f>
        <v>0</v>
      </c>
      <c r="X313" s="1870">
        <f t="shared" si="107"/>
        <v>0</v>
      </c>
      <c r="Y313" s="1871">
        <f t="shared" si="110"/>
        <v>0</v>
      </c>
      <c r="Z313" s="1694">
        <f>+E313-W313</f>
        <v>557.97</v>
      </c>
      <c r="AA313" s="1872">
        <f t="shared" si="111"/>
        <v>32116.753200000003</v>
      </c>
      <c r="AB313" s="1873">
        <f t="shared" si="112"/>
        <v>1.0000000996364826</v>
      </c>
      <c r="AC313" s="1418">
        <f t="shared" si="95"/>
        <v>-3.2000000028347131E-3</v>
      </c>
      <c r="AD313" s="1418">
        <f t="shared" si="96"/>
        <v>0</v>
      </c>
      <c r="AE313" s="1418">
        <v>32116.753200000003</v>
      </c>
      <c r="AF313" s="1418">
        <f t="shared" si="97"/>
        <v>3.2000000028347131E-3</v>
      </c>
      <c r="AG313" s="1418">
        <v>57.56</v>
      </c>
      <c r="AH313" s="1418">
        <f t="shared" si="98"/>
        <v>0</v>
      </c>
      <c r="AI313" s="1428"/>
      <c r="AO313" s="2504">
        <v>0</v>
      </c>
      <c r="AP313" s="1418">
        <f t="shared" si="108"/>
        <v>0</v>
      </c>
    </row>
    <row r="314" spans="1:43" s="1231" customFormat="1" ht="15.75">
      <c r="A314" s="2103"/>
      <c r="B314" s="1263" t="s">
        <v>517</v>
      </c>
      <c r="C314" s="1264" t="s">
        <v>3100</v>
      </c>
      <c r="D314" s="1265"/>
      <c r="E314" s="1266"/>
      <c r="F314" s="1267"/>
      <c r="G314" s="1480"/>
      <c r="H314" s="1267"/>
      <c r="I314" s="1477">
        <f t="shared" si="93"/>
        <v>0</v>
      </c>
      <c r="J314" s="1477">
        <f t="shared" si="94"/>
        <v>0</v>
      </c>
      <c r="K314" s="1477"/>
      <c r="L314" s="1477">
        <f t="shared" si="101"/>
        <v>0</v>
      </c>
      <c r="M314" s="1477"/>
      <c r="N314" s="1477">
        <f t="shared" si="102"/>
        <v>0</v>
      </c>
      <c r="O314" s="1477">
        <f t="shared" si="103"/>
        <v>0</v>
      </c>
      <c r="P314" s="1477">
        <f t="shared" si="104"/>
        <v>0</v>
      </c>
      <c r="Q314" s="1477">
        <f t="shared" si="105"/>
        <v>0</v>
      </c>
      <c r="R314" s="1576">
        <f t="shared" si="106"/>
        <v>0</v>
      </c>
      <c r="S314" s="2452"/>
      <c r="T314" s="1866"/>
      <c r="U314" s="2442"/>
      <c r="V314" s="1866">
        <f t="shared" si="109"/>
        <v>0</v>
      </c>
      <c r="W314" s="2452"/>
      <c r="X314" s="1870"/>
      <c r="Y314" s="1871" t="str">
        <f t="shared" si="110"/>
        <v/>
      </c>
      <c r="Z314" s="1694"/>
      <c r="AA314" s="1872">
        <f t="shared" si="111"/>
        <v>0</v>
      </c>
      <c r="AB314" s="1873" t="str">
        <f t="shared" si="112"/>
        <v/>
      </c>
      <c r="AC314" s="1418">
        <f t="shared" si="95"/>
        <v>0</v>
      </c>
      <c r="AD314" s="1418">
        <f t="shared" si="96"/>
        <v>0</v>
      </c>
      <c r="AE314" s="1230"/>
      <c r="AF314" s="1230">
        <f t="shared" si="97"/>
        <v>0</v>
      </c>
      <c r="AG314" s="1230"/>
      <c r="AH314" s="1418">
        <f t="shared" si="98"/>
        <v>0</v>
      </c>
      <c r="AI314" s="1346"/>
      <c r="AO314" s="1736"/>
      <c r="AP314" s="1418">
        <f t="shared" si="108"/>
        <v>0</v>
      </c>
    </row>
    <row r="315" spans="1:43" s="1410" customFormat="1" ht="15.75">
      <c r="A315" s="2102"/>
      <c r="B315" s="1272" t="s">
        <v>518</v>
      </c>
      <c r="C315" s="1262" t="s">
        <v>3101</v>
      </c>
      <c r="D315" s="1273"/>
      <c r="E315" s="1415"/>
      <c r="F315" s="1267"/>
      <c r="G315" s="1480"/>
      <c r="H315" s="1416"/>
      <c r="I315" s="1477">
        <f t="shared" si="93"/>
        <v>0</v>
      </c>
      <c r="J315" s="1477">
        <f t="shared" si="94"/>
        <v>0</v>
      </c>
      <c r="K315" s="1477"/>
      <c r="L315" s="1477">
        <f t="shared" si="101"/>
        <v>0</v>
      </c>
      <c r="M315" s="1477"/>
      <c r="N315" s="1477">
        <f t="shared" si="102"/>
        <v>0</v>
      </c>
      <c r="O315" s="1477">
        <f t="shared" si="103"/>
        <v>0</v>
      </c>
      <c r="P315" s="1477">
        <f t="shared" si="104"/>
        <v>0</v>
      </c>
      <c r="Q315" s="1477">
        <f t="shared" si="105"/>
        <v>0</v>
      </c>
      <c r="R315" s="1576">
        <f t="shared" si="106"/>
        <v>0</v>
      </c>
      <c r="S315" s="1869"/>
      <c r="T315" s="1866"/>
      <c r="U315" s="2442"/>
      <c r="V315" s="1866">
        <f t="shared" si="109"/>
        <v>0</v>
      </c>
      <c r="W315" s="1869"/>
      <c r="X315" s="1870"/>
      <c r="Y315" s="1871" t="str">
        <f t="shared" si="110"/>
        <v/>
      </c>
      <c r="Z315" s="1694"/>
      <c r="AA315" s="1872">
        <f t="shared" si="111"/>
        <v>0</v>
      </c>
      <c r="AB315" s="1873" t="str">
        <f t="shared" si="112"/>
        <v/>
      </c>
      <c r="AC315" s="1418">
        <f t="shared" si="95"/>
        <v>0</v>
      </c>
      <c r="AD315" s="1418">
        <f t="shared" si="96"/>
        <v>0</v>
      </c>
      <c r="AE315" s="1418"/>
      <c r="AF315" s="1418">
        <f t="shared" si="97"/>
        <v>0</v>
      </c>
      <c r="AG315" s="1418"/>
      <c r="AH315" s="1418">
        <f t="shared" si="98"/>
        <v>0</v>
      </c>
      <c r="AI315" s="1428"/>
      <c r="AO315" s="2504"/>
      <c r="AP315" s="1418">
        <f t="shared" si="108"/>
        <v>0</v>
      </c>
    </row>
    <row r="316" spans="1:43" s="1410" customFormat="1" ht="15.75">
      <c r="A316" s="2102"/>
      <c r="B316" s="1268" t="s">
        <v>519</v>
      </c>
      <c r="C316" s="1241" t="s">
        <v>3102</v>
      </c>
      <c r="D316" s="1245" t="s">
        <v>37</v>
      </c>
      <c r="E316" s="1413">
        <v>5670.68</v>
      </c>
      <c r="F316" s="1555">
        <v>37.36</v>
      </c>
      <c r="G316" s="1480">
        <v>39.130000000000003</v>
      </c>
      <c r="H316" s="1414">
        <v>40.06</v>
      </c>
      <c r="I316" s="1477">
        <f t="shared" si="93"/>
        <v>211856.6</v>
      </c>
      <c r="J316" s="1477">
        <f t="shared" si="94"/>
        <v>221893.71</v>
      </c>
      <c r="K316" s="1477">
        <v>0</v>
      </c>
      <c r="L316" s="1477">
        <f t="shared" si="101"/>
        <v>0</v>
      </c>
      <c r="M316" s="1477">
        <v>5670.68</v>
      </c>
      <c r="N316" s="1477">
        <f t="shared" si="102"/>
        <v>5670.68</v>
      </c>
      <c r="O316" s="1477">
        <f t="shared" si="103"/>
        <v>0</v>
      </c>
      <c r="P316" s="1477">
        <f t="shared" si="104"/>
        <v>221893.71</v>
      </c>
      <c r="Q316" s="1477">
        <f t="shared" si="105"/>
        <v>227167.44</v>
      </c>
      <c r="R316" s="1576">
        <f t="shared" si="106"/>
        <v>227167.44</v>
      </c>
      <c r="S316" s="1869">
        <v>5670.68</v>
      </c>
      <c r="T316" s="1866">
        <v>227167.44079999998</v>
      </c>
      <c r="U316" s="2442"/>
      <c r="V316" s="1866">
        <f t="shared" si="109"/>
        <v>0</v>
      </c>
      <c r="W316" s="1869">
        <f>S316+U316</f>
        <v>5670.68</v>
      </c>
      <c r="X316" s="1870">
        <f t="shared" si="107"/>
        <v>227167.44079999998</v>
      </c>
      <c r="Y316" s="1871">
        <f t="shared" si="110"/>
        <v>1.0000000035216314</v>
      </c>
      <c r="Z316" s="1694">
        <f>+E316-W316</f>
        <v>0</v>
      </c>
      <c r="AA316" s="1872">
        <f t="shared" si="111"/>
        <v>0</v>
      </c>
      <c r="AB316" s="1873">
        <f t="shared" si="112"/>
        <v>0</v>
      </c>
      <c r="AC316" s="1418">
        <f t="shared" si="95"/>
        <v>-7.9999997979030013E-4</v>
      </c>
      <c r="AD316" s="1418">
        <f t="shared" si="96"/>
        <v>0</v>
      </c>
      <c r="AE316" s="1418">
        <v>227167.44080000001</v>
      </c>
      <c r="AF316" s="1418">
        <f t="shared" si="97"/>
        <v>8.0000000889413059E-4</v>
      </c>
      <c r="AG316" s="1418">
        <v>40.06</v>
      </c>
      <c r="AH316" s="1418">
        <f t="shared" si="98"/>
        <v>0</v>
      </c>
      <c r="AI316" s="1428"/>
      <c r="AO316" s="2504">
        <v>227167.44079999998</v>
      </c>
      <c r="AP316" s="1418">
        <f t="shared" si="108"/>
        <v>0</v>
      </c>
    </row>
    <row r="317" spans="1:43" s="1410" customFormat="1" ht="15.75">
      <c r="A317" s="2102"/>
      <c r="B317" s="1272" t="s">
        <v>521</v>
      </c>
      <c r="C317" s="1262" t="s">
        <v>3103</v>
      </c>
      <c r="D317" s="1273"/>
      <c r="E317" s="1415"/>
      <c r="F317" s="1267"/>
      <c r="G317" s="1480"/>
      <c r="H317" s="1416"/>
      <c r="I317" s="1477">
        <f t="shared" si="93"/>
        <v>0</v>
      </c>
      <c r="J317" s="1477">
        <f t="shared" si="94"/>
        <v>0</v>
      </c>
      <c r="K317" s="1477"/>
      <c r="L317" s="1477">
        <f t="shared" si="101"/>
        <v>0</v>
      </c>
      <c r="M317" s="1477"/>
      <c r="N317" s="1477">
        <f t="shared" si="102"/>
        <v>0</v>
      </c>
      <c r="O317" s="1477">
        <f t="shared" si="103"/>
        <v>0</v>
      </c>
      <c r="P317" s="1477">
        <f t="shared" si="104"/>
        <v>0</v>
      </c>
      <c r="Q317" s="1477">
        <f t="shared" si="105"/>
        <v>0</v>
      </c>
      <c r="R317" s="1576">
        <f t="shared" si="106"/>
        <v>0</v>
      </c>
      <c r="S317" s="1869"/>
      <c r="T317" s="1866"/>
      <c r="U317" s="2442"/>
      <c r="V317" s="1866">
        <f t="shared" si="109"/>
        <v>0</v>
      </c>
      <c r="W317" s="1869"/>
      <c r="X317" s="1870"/>
      <c r="Y317" s="1871" t="str">
        <f t="shared" si="110"/>
        <v/>
      </c>
      <c r="Z317" s="1694"/>
      <c r="AA317" s="1872">
        <f t="shared" si="111"/>
        <v>0</v>
      </c>
      <c r="AB317" s="1873" t="str">
        <f t="shared" si="112"/>
        <v/>
      </c>
      <c r="AC317" s="1418">
        <f t="shared" si="95"/>
        <v>0</v>
      </c>
      <c r="AD317" s="1418">
        <f t="shared" si="96"/>
        <v>0</v>
      </c>
      <c r="AE317" s="1418"/>
      <c r="AF317" s="1418">
        <f t="shared" si="97"/>
        <v>0</v>
      </c>
      <c r="AG317" s="1418"/>
      <c r="AH317" s="1418">
        <f t="shared" si="98"/>
        <v>0</v>
      </c>
      <c r="AI317" s="1428"/>
      <c r="AO317" s="2504"/>
      <c r="AP317" s="1418">
        <f t="shared" si="108"/>
        <v>0</v>
      </c>
    </row>
    <row r="318" spans="1:43" s="1410" customFormat="1" ht="15.75">
      <c r="A318" s="2102"/>
      <c r="B318" s="1268" t="s">
        <v>522</v>
      </c>
      <c r="C318" s="1241" t="s">
        <v>3104</v>
      </c>
      <c r="D318" s="1245" t="s">
        <v>37</v>
      </c>
      <c r="E318" s="1413">
        <v>338.93</v>
      </c>
      <c r="F318" s="1555">
        <v>76.8</v>
      </c>
      <c r="G318" s="1480">
        <v>78.930000000000007</v>
      </c>
      <c r="H318" s="1414">
        <v>80.03</v>
      </c>
      <c r="I318" s="1477">
        <f t="shared" si="93"/>
        <v>26029.82</v>
      </c>
      <c r="J318" s="1477">
        <f t="shared" si="94"/>
        <v>26751.74</v>
      </c>
      <c r="K318" s="1477">
        <v>0</v>
      </c>
      <c r="L318" s="1477">
        <f t="shared" si="101"/>
        <v>0</v>
      </c>
      <c r="M318" s="1477">
        <v>338.93</v>
      </c>
      <c r="N318" s="1477">
        <f t="shared" si="102"/>
        <v>338.93</v>
      </c>
      <c r="O318" s="1477">
        <f t="shared" si="103"/>
        <v>0</v>
      </c>
      <c r="P318" s="1477">
        <f t="shared" si="104"/>
        <v>26751.74</v>
      </c>
      <c r="Q318" s="1477">
        <f t="shared" si="105"/>
        <v>27124.57</v>
      </c>
      <c r="R318" s="1576">
        <f t="shared" si="106"/>
        <v>27124.57</v>
      </c>
      <c r="S318" s="1869">
        <v>0</v>
      </c>
      <c r="T318" s="1866">
        <v>0</v>
      </c>
      <c r="U318" s="2442"/>
      <c r="V318" s="1866">
        <f t="shared" si="109"/>
        <v>0</v>
      </c>
      <c r="W318" s="1869">
        <f t="shared" ref="W318:W330" si="117">S318+U318</f>
        <v>0</v>
      </c>
      <c r="X318" s="1870">
        <f t="shared" si="107"/>
        <v>0</v>
      </c>
      <c r="Y318" s="1871">
        <f t="shared" si="110"/>
        <v>0</v>
      </c>
      <c r="Z318" s="1694">
        <f t="shared" ref="Z318:Z330" si="118">+E318-W318</f>
        <v>338.93</v>
      </c>
      <c r="AA318" s="1872">
        <f t="shared" si="111"/>
        <v>27124.567900000002</v>
      </c>
      <c r="AB318" s="1873">
        <f t="shared" si="112"/>
        <v>0.99999992257941794</v>
      </c>
      <c r="AC318" s="1418">
        <f t="shared" si="95"/>
        <v>2.0999999978812411E-3</v>
      </c>
      <c r="AD318" s="1418">
        <f t="shared" si="96"/>
        <v>0</v>
      </c>
      <c r="AE318" s="1418">
        <v>27124.567900000002</v>
      </c>
      <c r="AF318" s="1418">
        <f t="shared" si="97"/>
        <v>-2.0999999978812411E-3</v>
      </c>
      <c r="AG318" s="1418">
        <v>80.03</v>
      </c>
      <c r="AH318" s="1418">
        <f t="shared" si="98"/>
        <v>0</v>
      </c>
      <c r="AI318" s="1428"/>
      <c r="AO318" s="2504">
        <v>0</v>
      </c>
      <c r="AP318" s="1418">
        <f t="shared" si="108"/>
        <v>0</v>
      </c>
    </row>
    <row r="319" spans="1:43" s="1410" customFormat="1" ht="15.75">
      <c r="A319" s="2102"/>
      <c r="B319" s="1268" t="s">
        <v>934</v>
      </c>
      <c r="C319" s="1241" t="s">
        <v>3105</v>
      </c>
      <c r="D319" s="1245" t="s">
        <v>37</v>
      </c>
      <c r="E319" s="1413">
        <v>5136.88</v>
      </c>
      <c r="F319" s="1555">
        <v>75.63</v>
      </c>
      <c r="G319" s="1480">
        <v>77.319999999999993</v>
      </c>
      <c r="H319" s="1414">
        <v>78.22</v>
      </c>
      <c r="I319" s="1477">
        <f t="shared" si="93"/>
        <v>388502.23</v>
      </c>
      <c r="J319" s="1477">
        <f t="shared" si="94"/>
        <v>397183.56</v>
      </c>
      <c r="K319" s="1477">
        <v>0</v>
      </c>
      <c r="L319" s="1477">
        <f t="shared" si="101"/>
        <v>0</v>
      </c>
      <c r="M319" s="1477">
        <v>5136.88</v>
      </c>
      <c r="N319" s="1477">
        <f t="shared" si="102"/>
        <v>5136.88</v>
      </c>
      <c r="O319" s="1477">
        <f t="shared" si="103"/>
        <v>0</v>
      </c>
      <c r="P319" s="1477">
        <f t="shared" si="104"/>
        <v>397183.56</v>
      </c>
      <c r="Q319" s="1477">
        <f t="shared" si="105"/>
        <v>401806.75</v>
      </c>
      <c r="R319" s="1576">
        <f t="shared" si="106"/>
        <v>401806.75</v>
      </c>
      <c r="S319" s="1869">
        <v>0</v>
      </c>
      <c r="T319" s="1866">
        <v>0</v>
      </c>
      <c r="U319" s="2442"/>
      <c r="V319" s="1866">
        <f t="shared" si="109"/>
        <v>0</v>
      </c>
      <c r="W319" s="1869">
        <f t="shared" si="117"/>
        <v>0</v>
      </c>
      <c r="X319" s="1870">
        <f t="shared" si="107"/>
        <v>0</v>
      </c>
      <c r="Y319" s="1871">
        <f t="shared" si="110"/>
        <v>0</v>
      </c>
      <c r="Z319" s="1694">
        <f t="shared" si="118"/>
        <v>5136.88</v>
      </c>
      <c r="AA319" s="1872">
        <f t="shared" si="111"/>
        <v>401806.7536</v>
      </c>
      <c r="AB319" s="1873">
        <f t="shared" si="112"/>
        <v>1.0000000089595309</v>
      </c>
      <c r="AC319" s="1418">
        <f t="shared" si="95"/>
        <v>-3.599999996367842E-3</v>
      </c>
      <c r="AD319" s="1418">
        <f t="shared" si="96"/>
        <v>0</v>
      </c>
      <c r="AE319" s="1418">
        <v>401806.7536</v>
      </c>
      <c r="AF319" s="1418">
        <f t="shared" si="97"/>
        <v>3.599999996367842E-3</v>
      </c>
      <c r="AG319" s="1418">
        <v>78.22</v>
      </c>
      <c r="AH319" s="1418">
        <f t="shared" si="98"/>
        <v>0</v>
      </c>
      <c r="AI319" s="1428"/>
      <c r="AO319" s="2504">
        <v>0</v>
      </c>
      <c r="AP319" s="1418">
        <f t="shared" si="108"/>
        <v>0</v>
      </c>
    </row>
    <row r="320" spans="1:43" s="1410" customFormat="1" ht="15.75">
      <c r="A320" s="2102"/>
      <c r="B320" s="1268" t="s">
        <v>935</v>
      </c>
      <c r="C320" s="1241" t="s">
        <v>3106</v>
      </c>
      <c r="D320" s="1245" t="s">
        <v>37</v>
      </c>
      <c r="E320" s="1413">
        <v>71.19</v>
      </c>
      <c r="F320" s="1555">
        <v>83.73</v>
      </c>
      <c r="G320" s="1480">
        <v>85.14</v>
      </c>
      <c r="H320" s="1414">
        <v>85.87</v>
      </c>
      <c r="I320" s="1477">
        <f t="shared" si="93"/>
        <v>5960.74</v>
      </c>
      <c r="J320" s="1477">
        <f t="shared" si="94"/>
        <v>6061.12</v>
      </c>
      <c r="K320" s="1477">
        <v>0</v>
      </c>
      <c r="L320" s="1477">
        <f t="shared" si="101"/>
        <v>0</v>
      </c>
      <c r="M320" s="1477">
        <v>71.19</v>
      </c>
      <c r="N320" s="1477">
        <f t="shared" si="102"/>
        <v>71.19</v>
      </c>
      <c r="O320" s="1477">
        <f t="shared" si="103"/>
        <v>0</v>
      </c>
      <c r="P320" s="1477">
        <f t="shared" si="104"/>
        <v>6061.12</v>
      </c>
      <c r="Q320" s="1477">
        <f t="shared" si="105"/>
        <v>6113.09</v>
      </c>
      <c r="R320" s="1576">
        <f t="shared" si="106"/>
        <v>6113.09</v>
      </c>
      <c r="S320" s="1869">
        <v>0</v>
      </c>
      <c r="T320" s="1866">
        <v>0</v>
      </c>
      <c r="U320" s="2442"/>
      <c r="V320" s="1866">
        <f t="shared" si="109"/>
        <v>0</v>
      </c>
      <c r="W320" s="1869">
        <f t="shared" si="117"/>
        <v>0</v>
      </c>
      <c r="X320" s="1870">
        <f t="shared" si="107"/>
        <v>0</v>
      </c>
      <c r="Y320" s="1871">
        <f t="shared" si="110"/>
        <v>0</v>
      </c>
      <c r="Z320" s="1694">
        <f t="shared" si="118"/>
        <v>71.19</v>
      </c>
      <c r="AA320" s="1872">
        <f t="shared" si="111"/>
        <v>6113.0852999999997</v>
      </c>
      <c r="AB320" s="1873">
        <f t="shared" si="112"/>
        <v>0.99999923115805589</v>
      </c>
      <c r="AC320" s="1418">
        <f t="shared" si="95"/>
        <v>4.7000000004118192E-3</v>
      </c>
      <c r="AD320" s="1418">
        <f t="shared" si="96"/>
        <v>0</v>
      </c>
      <c r="AE320" s="1418">
        <v>6113.0852999999997</v>
      </c>
      <c r="AF320" s="1418">
        <f t="shared" si="97"/>
        <v>-4.7000000004118192E-3</v>
      </c>
      <c r="AG320" s="1418">
        <v>85.87</v>
      </c>
      <c r="AH320" s="1418">
        <f t="shared" si="98"/>
        <v>0</v>
      </c>
      <c r="AI320" s="1428"/>
      <c r="AO320" s="2504">
        <v>0</v>
      </c>
      <c r="AP320" s="1418">
        <f t="shared" si="108"/>
        <v>0</v>
      </c>
    </row>
    <row r="321" spans="1:42" s="1410" customFormat="1" ht="15.75">
      <c r="A321" s="2102"/>
      <c r="B321" s="1268" t="s">
        <v>936</v>
      </c>
      <c r="C321" s="1241" t="s">
        <v>3107</v>
      </c>
      <c r="D321" s="1245" t="s">
        <v>37</v>
      </c>
      <c r="E321" s="1413">
        <v>80.2</v>
      </c>
      <c r="F321" s="1555">
        <v>67.42</v>
      </c>
      <c r="G321" s="1480">
        <v>69.459999999999994</v>
      </c>
      <c r="H321" s="1414">
        <v>70.58</v>
      </c>
      <c r="I321" s="1477">
        <f t="shared" si="93"/>
        <v>5407.08</v>
      </c>
      <c r="J321" s="1477">
        <f t="shared" si="94"/>
        <v>5570.69</v>
      </c>
      <c r="K321" s="1477">
        <v>0</v>
      </c>
      <c r="L321" s="1477">
        <f t="shared" si="101"/>
        <v>0</v>
      </c>
      <c r="M321" s="1477">
        <v>80.2</v>
      </c>
      <c r="N321" s="1477">
        <f t="shared" si="102"/>
        <v>80.2</v>
      </c>
      <c r="O321" s="1477">
        <f t="shared" si="103"/>
        <v>0</v>
      </c>
      <c r="P321" s="1477">
        <f t="shared" si="104"/>
        <v>5570.69</v>
      </c>
      <c r="Q321" s="1477">
        <f t="shared" si="105"/>
        <v>5660.52</v>
      </c>
      <c r="R321" s="1576">
        <f t="shared" si="106"/>
        <v>5660.52</v>
      </c>
      <c r="S321" s="1869">
        <v>0</v>
      </c>
      <c r="T321" s="1866">
        <v>0</v>
      </c>
      <c r="U321" s="2442">
        <v>59.66</v>
      </c>
      <c r="V321" s="1866">
        <f t="shared" si="109"/>
        <v>4210.8027999999995</v>
      </c>
      <c r="W321" s="1869">
        <f t="shared" si="117"/>
        <v>59.66</v>
      </c>
      <c r="X321" s="1870">
        <f t="shared" si="107"/>
        <v>4210.8027999999995</v>
      </c>
      <c r="Y321" s="1871">
        <f t="shared" si="110"/>
        <v>0.74388974864500068</v>
      </c>
      <c r="Z321" s="1694">
        <f t="shared" si="118"/>
        <v>20.540000000000006</v>
      </c>
      <c r="AA321" s="1872">
        <f t="shared" si="111"/>
        <v>1449.7132000000004</v>
      </c>
      <c r="AB321" s="1873">
        <f t="shared" si="112"/>
        <v>0.25610954470614011</v>
      </c>
      <c r="AC321" s="1418">
        <f t="shared" si="95"/>
        <v>4.0000000005875336E-3</v>
      </c>
      <c r="AD321" s="1418">
        <f t="shared" si="96"/>
        <v>0</v>
      </c>
      <c r="AE321" s="1418">
        <v>5660.5159999999996</v>
      </c>
      <c r="AF321" s="1418">
        <f t="shared" si="97"/>
        <v>-4.0000000008149073E-3</v>
      </c>
      <c r="AG321" s="1418">
        <v>70.58</v>
      </c>
      <c r="AH321" s="1418">
        <f t="shared" si="98"/>
        <v>0</v>
      </c>
      <c r="AI321" s="1428"/>
      <c r="AO321" s="2504">
        <v>0</v>
      </c>
      <c r="AP321" s="1418">
        <f t="shared" si="108"/>
        <v>-4210.8027999999995</v>
      </c>
    </row>
    <row r="322" spans="1:42" s="1410" customFormat="1" ht="15.75">
      <c r="A322" s="2102"/>
      <c r="B322" s="1268" t="s">
        <v>937</v>
      </c>
      <c r="C322" s="1241" t="s">
        <v>3108</v>
      </c>
      <c r="D322" s="1245" t="s">
        <v>37</v>
      </c>
      <c r="E322" s="1413">
        <v>41.47</v>
      </c>
      <c r="F322" s="1555">
        <v>32.75</v>
      </c>
      <c r="G322" s="1480">
        <v>33.409999999999997</v>
      </c>
      <c r="H322" s="1414">
        <v>33.729999999999997</v>
      </c>
      <c r="I322" s="1477">
        <f t="shared" si="93"/>
        <v>1358.14</v>
      </c>
      <c r="J322" s="1477">
        <f t="shared" si="94"/>
        <v>1385.51</v>
      </c>
      <c r="K322" s="1477">
        <v>0</v>
      </c>
      <c r="L322" s="1477">
        <f t="shared" si="101"/>
        <v>0</v>
      </c>
      <c r="M322" s="1477">
        <v>41.47</v>
      </c>
      <c r="N322" s="1477">
        <f t="shared" si="102"/>
        <v>41.47</v>
      </c>
      <c r="O322" s="1477">
        <f t="shared" si="103"/>
        <v>0</v>
      </c>
      <c r="P322" s="1477">
        <f t="shared" si="104"/>
        <v>1385.51</v>
      </c>
      <c r="Q322" s="1477">
        <f t="shared" si="105"/>
        <v>1398.78</v>
      </c>
      <c r="R322" s="1576">
        <f t="shared" si="106"/>
        <v>1398.78</v>
      </c>
      <c r="S322" s="1869">
        <v>0</v>
      </c>
      <c r="T322" s="1866">
        <v>0</v>
      </c>
      <c r="U322" s="2442"/>
      <c r="V322" s="1866">
        <f t="shared" si="109"/>
        <v>0</v>
      </c>
      <c r="W322" s="1869">
        <f t="shared" si="117"/>
        <v>0</v>
      </c>
      <c r="X322" s="1870">
        <f t="shared" si="107"/>
        <v>0</v>
      </c>
      <c r="Y322" s="1871">
        <f t="shared" si="110"/>
        <v>0</v>
      </c>
      <c r="Z322" s="1694">
        <f t="shared" si="118"/>
        <v>41.47</v>
      </c>
      <c r="AA322" s="1872">
        <f t="shared" si="111"/>
        <v>1398.7830999999999</v>
      </c>
      <c r="AB322" s="1873">
        <f t="shared" si="112"/>
        <v>1.000002216216989</v>
      </c>
      <c r="AC322" s="1418">
        <f t="shared" si="95"/>
        <v>-3.0999999999039574E-3</v>
      </c>
      <c r="AD322" s="1418">
        <f t="shared" si="96"/>
        <v>0</v>
      </c>
      <c r="AE322" s="1418">
        <v>1398.7830999999999</v>
      </c>
      <c r="AF322" s="1418">
        <f t="shared" si="97"/>
        <v>3.0999999999039574E-3</v>
      </c>
      <c r="AG322" s="1418">
        <v>33.729999999999997</v>
      </c>
      <c r="AH322" s="1418">
        <f t="shared" si="98"/>
        <v>0</v>
      </c>
      <c r="AI322" s="1428"/>
      <c r="AO322" s="2504">
        <v>0</v>
      </c>
      <c r="AP322" s="1418">
        <f t="shared" si="108"/>
        <v>0</v>
      </c>
    </row>
    <row r="323" spans="1:42" s="1410" customFormat="1" ht="15.75">
      <c r="A323" s="2102"/>
      <c r="B323" s="1268" t="s">
        <v>938</v>
      </c>
      <c r="C323" s="1241" t="s">
        <v>3109</v>
      </c>
      <c r="D323" s="1245" t="s">
        <v>37</v>
      </c>
      <c r="E323" s="1413">
        <v>152.71</v>
      </c>
      <c r="F323" s="1555">
        <v>32.93</v>
      </c>
      <c r="G323" s="1480">
        <v>34.58</v>
      </c>
      <c r="H323" s="1414">
        <v>35.42</v>
      </c>
      <c r="I323" s="1477">
        <f t="shared" si="93"/>
        <v>5028.74</v>
      </c>
      <c r="J323" s="1477">
        <f t="shared" si="94"/>
        <v>5280.71</v>
      </c>
      <c r="K323" s="1477">
        <v>0</v>
      </c>
      <c r="L323" s="1477">
        <f t="shared" si="101"/>
        <v>0</v>
      </c>
      <c r="M323" s="1477">
        <v>152.71</v>
      </c>
      <c r="N323" s="1477">
        <f t="shared" si="102"/>
        <v>152.71</v>
      </c>
      <c r="O323" s="1477">
        <f t="shared" si="103"/>
        <v>0</v>
      </c>
      <c r="P323" s="1477">
        <f t="shared" si="104"/>
        <v>5280.71</v>
      </c>
      <c r="Q323" s="1477">
        <f t="shared" si="105"/>
        <v>5408.99</v>
      </c>
      <c r="R323" s="1576">
        <f t="shared" si="106"/>
        <v>5408.99</v>
      </c>
      <c r="S323" s="1869">
        <v>0</v>
      </c>
      <c r="T323" s="1866">
        <v>0</v>
      </c>
      <c r="U323" s="2442"/>
      <c r="V323" s="1866">
        <f t="shared" si="109"/>
        <v>0</v>
      </c>
      <c r="W323" s="1869">
        <f t="shared" si="117"/>
        <v>0</v>
      </c>
      <c r="X323" s="1870">
        <f t="shared" si="107"/>
        <v>0</v>
      </c>
      <c r="Y323" s="1871">
        <f t="shared" si="110"/>
        <v>0</v>
      </c>
      <c r="Z323" s="1694">
        <f t="shared" si="118"/>
        <v>152.71</v>
      </c>
      <c r="AA323" s="1872">
        <f t="shared" si="111"/>
        <v>5408.9882000000007</v>
      </c>
      <c r="AB323" s="1873">
        <f t="shared" si="112"/>
        <v>0.99999966722068279</v>
      </c>
      <c r="AC323" s="1418">
        <f t="shared" si="95"/>
        <v>1.7999999990934157E-3</v>
      </c>
      <c r="AD323" s="1418">
        <f t="shared" si="96"/>
        <v>0</v>
      </c>
      <c r="AE323" s="1418">
        <v>5408.9882000000007</v>
      </c>
      <c r="AF323" s="1418">
        <f t="shared" si="97"/>
        <v>-1.7999999990934157E-3</v>
      </c>
      <c r="AG323" s="1418">
        <v>35.42</v>
      </c>
      <c r="AH323" s="1418">
        <f t="shared" si="98"/>
        <v>0</v>
      </c>
      <c r="AI323" s="1428"/>
      <c r="AO323" s="2504">
        <v>0</v>
      </c>
      <c r="AP323" s="1418">
        <f t="shared" si="108"/>
        <v>0</v>
      </c>
    </row>
    <row r="324" spans="1:42" s="1410" customFormat="1" ht="15.75">
      <c r="A324" s="2102"/>
      <c r="B324" s="1268" t="s">
        <v>939</v>
      </c>
      <c r="C324" s="1241" t="s">
        <v>3110</v>
      </c>
      <c r="D324" s="1245" t="s">
        <v>37</v>
      </c>
      <c r="E324" s="1413">
        <v>56.3</v>
      </c>
      <c r="F324" s="1555">
        <v>16.82</v>
      </c>
      <c r="G324" s="1480">
        <v>17.48</v>
      </c>
      <c r="H324" s="1414">
        <v>17.8</v>
      </c>
      <c r="I324" s="1477">
        <f t="shared" si="93"/>
        <v>946.97</v>
      </c>
      <c r="J324" s="1477">
        <f t="shared" si="94"/>
        <v>984.12</v>
      </c>
      <c r="K324" s="1477">
        <v>0</v>
      </c>
      <c r="L324" s="1477">
        <f t="shared" si="101"/>
        <v>0</v>
      </c>
      <c r="M324" s="1477">
        <v>56.3</v>
      </c>
      <c r="N324" s="1477">
        <f t="shared" si="102"/>
        <v>56.3</v>
      </c>
      <c r="O324" s="1477">
        <f t="shared" si="103"/>
        <v>0</v>
      </c>
      <c r="P324" s="1477">
        <f t="shared" si="104"/>
        <v>984.12</v>
      </c>
      <c r="Q324" s="1477">
        <f t="shared" si="105"/>
        <v>1002.14</v>
      </c>
      <c r="R324" s="1576">
        <f t="shared" si="106"/>
        <v>1002.14</v>
      </c>
      <c r="S324" s="1869">
        <v>56.3</v>
      </c>
      <c r="T324" s="1866">
        <v>1002.14</v>
      </c>
      <c r="U324" s="2442"/>
      <c r="V324" s="1866">
        <f t="shared" si="109"/>
        <v>0</v>
      </c>
      <c r="W324" s="1869">
        <f t="shared" si="117"/>
        <v>56.3</v>
      </c>
      <c r="X324" s="1870">
        <f t="shared" si="107"/>
        <v>1002.14</v>
      </c>
      <c r="Y324" s="1871">
        <f t="shared" si="110"/>
        <v>1</v>
      </c>
      <c r="Z324" s="1694">
        <f t="shared" si="118"/>
        <v>0</v>
      </c>
      <c r="AA324" s="1872">
        <f t="shared" si="111"/>
        <v>0</v>
      </c>
      <c r="AB324" s="1873">
        <f t="shared" si="112"/>
        <v>0</v>
      </c>
      <c r="AC324" s="1418">
        <f t="shared" si="95"/>
        <v>0</v>
      </c>
      <c r="AD324" s="1418">
        <f t="shared" si="96"/>
        <v>0</v>
      </c>
      <c r="AE324" s="1418">
        <v>1002.14</v>
      </c>
      <c r="AF324" s="1418">
        <f t="shared" si="97"/>
        <v>0</v>
      </c>
      <c r="AG324" s="1418">
        <v>17.8</v>
      </c>
      <c r="AH324" s="1418">
        <f t="shared" si="98"/>
        <v>0</v>
      </c>
      <c r="AI324" s="1428"/>
      <c r="AO324" s="2504">
        <v>1002.14</v>
      </c>
      <c r="AP324" s="1418">
        <f t="shared" si="108"/>
        <v>0</v>
      </c>
    </row>
    <row r="325" spans="1:42" s="1410" customFormat="1" ht="15.75">
      <c r="A325" s="2102"/>
      <c r="B325" s="1268" t="s">
        <v>2420</v>
      </c>
      <c r="C325" s="1241" t="s">
        <v>3111</v>
      </c>
      <c r="D325" s="1245" t="s">
        <v>37</v>
      </c>
      <c r="E325" s="1413">
        <v>1.44</v>
      </c>
      <c r="F325" s="1555">
        <v>35.93</v>
      </c>
      <c r="G325" s="1480">
        <v>37.14</v>
      </c>
      <c r="H325" s="1414">
        <v>37.76</v>
      </c>
      <c r="I325" s="1477">
        <f t="shared" si="93"/>
        <v>51.74</v>
      </c>
      <c r="J325" s="1477">
        <f t="shared" si="94"/>
        <v>53.48</v>
      </c>
      <c r="K325" s="1477">
        <v>0</v>
      </c>
      <c r="L325" s="1477">
        <f t="shared" si="101"/>
        <v>0</v>
      </c>
      <c r="M325" s="1477">
        <v>1.44</v>
      </c>
      <c r="N325" s="1477">
        <f t="shared" si="102"/>
        <v>1.44</v>
      </c>
      <c r="O325" s="1477">
        <f t="shared" si="103"/>
        <v>0</v>
      </c>
      <c r="P325" s="1477">
        <f t="shared" si="104"/>
        <v>53.48</v>
      </c>
      <c r="Q325" s="1477">
        <f t="shared" si="105"/>
        <v>54.37</v>
      </c>
      <c r="R325" s="1576">
        <f t="shared" si="106"/>
        <v>54.37</v>
      </c>
      <c r="S325" s="1869">
        <v>0</v>
      </c>
      <c r="T325" s="1866">
        <v>0</v>
      </c>
      <c r="U325" s="2442"/>
      <c r="V325" s="1866">
        <f t="shared" si="109"/>
        <v>0</v>
      </c>
      <c r="W325" s="1869">
        <f t="shared" si="117"/>
        <v>0</v>
      </c>
      <c r="X325" s="1870">
        <f t="shared" si="107"/>
        <v>0</v>
      </c>
      <c r="Y325" s="1871">
        <f t="shared" si="110"/>
        <v>0</v>
      </c>
      <c r="Z325" s="1694">
        <f t="shared" si="118"/>
        <v>1.44</v>
      </c>
      <c r="AA325" s="1872">
        <f t="shared" si="111"/>
        <v>54.374399999999994</v>
      </c>
      <c r="AB325" s="1873">
        <f t="shared" si="112"/>
        <v>1.0000809269817914</v>
      </c>
      <c r="AC325" s="1418">
        <f t="shared" si="95"/>
        <v>-4.3999999999968509E-3</v>
      </c>
      <c r="AD325" s="1418">
        <f t="shared" si="96"/>
        <v>0</v>
      </c>
      <c r="AE325" s="1418">
        <v>54.374399999999994</v>
      </c>
      <c r="AF325" s="1418">
        <f t="shared" si="97"/>
        <v>4.3999999999968509E-3</v>
      </c>
      <c r="AG325" s="1418">
        <v>37.76</v>
      </c>
      <c r="AH325" s="1418">
        <f t="shared" si="98"/>
        <v>0</v>
      </c>
      <c r="AI325" s="1428"/>
      <c r="AO325" s="2504">
        <v>0</v>
      </c>
      <c r="AP325" s="1418">
        <f t="shared" si="108"/>
        <v>0</v>
      </c>
    </row>
    <row r="326" spans="1:42" s="1410" customFormat="1" ht="15.75">
      <c r="A326" s="2102"/>
      <c r="B326" s="1268" t="s">
        <v>2421</v>
      </c>
      <c r="C326" s="1241" t="s">
        <v>3112</v>
      </c>
      <c r="D326" s="1245" t="s">
        <v>37</v>
      </c>
      <c r="E326" s="1413">
        <v>2759.52</v>
      </c>
      <c r="F326" s="1555">
        <v>37.53</v>
      </c>
      <c r="G326" s="1480">
        <v>38.880000000000003</v>
      </c>
      <c r="H326" s="1414">
        <v>39.56</v>
      </c>
      <c r="I326" s="1477">
        <f t="shared" si="93"/>
        <v>103564.79</v>
      </c>
      <c r="J326" s="1477">
        <f t="shared" si="94"/>
        <v>107290.14</v>
      </c>
      <c r="K326" s="1477">
        <v>0</v>
      </c>
      <c r="L326" s="1477">
        <f t="shared" si="101"/>
        <v>0</v>
      </c>
      <c r="M326" s="1477">
        <v>2759.52</v>
      </c>
      <c r="N326" s="1477">
        <f t="shared" si="102"/>
        <v>2759.52</v>
      </c>
      <c r="O326" s="1477">
        <f t="shared" si="103"/>
        <v>0</v>
      </c>
      <c r="P326" s="1477">
        <f t="shared" si="104"/>
        <v>107290.14</v>
      </c>
      <c r="Q326" s="1477">
        <f t="shared" si="105"/>
        <v>109166.61</v>
      </c>
      <c r="R326" s="1576">
        <f t="shared" si="106"/>
        <v>109166.61</v>
      </c>
      <c r="S326" s="1869">
        <v>856.90699999999993</v>
      </c>
      <c r="T326" s="1866">
        <v>33899.240919999997</v>
      </c>
      <c r="U326" s="2442">
        <v>326.39</v>
      </c>
      <c r="V326" s="1866">
        <f t="shared" si="109"/>
        <v>12911.9884</v>
      </c>
      <c r="W326" s="1869">
        <f t="shared" si="117"/>
        <v>1183.297</v>
      </c>
      <c r="X326" s="1870">
        <f t="shared" si="107"/>
        <v>46811.229319999999</v>
      </c>
      <c r="Y326" s="1871">
        <f t="shared" si="110"/>
        <v>0.42880537666233293</v>
      </c>
      <c r="Z326" s="1694">
        <f t="shared" si="118"/>
        <v>1576.223</v>
      </c>
      <c r="AA326" s="1872">
        <f t="shared" si="111"/>
        <v>62355.381880000001</v>
      </c>
      <c r="AB326" s="1873">
        <f t="shared" si="112"/>
        <v>0.57119463433003925</v>
      </c>
      <c r="AC326" s="1418">
        <f t="shared" si="95"/>
        <v>-1.1999999987892807E-3</v>
      </c>
      <c r="AD326" s="1418">
        <f t="shared" si="96"/>
        <v>0</v>
      </c>
      <c r="AE326" s="1418">
        <v>109166.6112</v>
      </c>
      <c r="AF326" s="1418">
        <f t="shared" si="97"/>
        <v>1.1999999987892807E-3</v>
      </c>
      <c r="AG326" s="1418">
        <v>39.56</v>
      </c>
      <c r="AH326" s="1418">
        <f t="shared" si="98"/>
        <v>0</v>
      </c>
      <c r="AI326" s="1428"/>
      <c r="AO326" s="2504">
        <v>30984.85572</v>
      </c>
      <c r="AP326" s="1418">
        <f t="shared" si="108"/>
        <v>-15826.373599999999</v>
      </c>
    </row>
    <row r="327" spans="1:42" s="1410" customFormat="1" ht="15.75">
      <c r="A327" s="2102"/>
      <c r="B327" s="1268" t="s">
        <v>2422</v>
      </c>
      <c r="C327" s="1241" t="s">
        <v>3113</v>
      </c>
      <c r="D327" s="1245" t="s">
        <v>37</v>
      </c>
      <c r="E327" s="1413">
        <v>72.19</v>
      </c>
      <c r="F327" s="1555">
        <v>51.25</v>
      </c>
      <c r="G327" s="1480">
        <v>52.43</v>
      </c>
      <c r="H327" s="1414">
        <v>53.05</v>
      </c>
      <c r="I327" s="1477">
        <f t="shared" si="93"/>
        <v>3699.74</v>
      </c>
      <c r="J327" s="1477">
        <f t="shared" si="94"/>
        <v>3784.92</v>
      </c>
      <c r="K327" s="1477">
        <v>0</v>
      </c>
      <c r="L327" s="1477">
        <f t="shared" si="101"/>
        <v>0</v>
      </c>
      <c r="M327" s="1477">
        <v>72.19</v>
      </c>
      <c r="N327" s="1477">
        <f t="shared" si="102"/>
        <v>72.19</v>
      </c>
      <c r="O327" s="1477">
        <f t="shared" si="103"/>
        <v>0</v>
      </c>
      <c r="P327" s="1477">
        <f t="shared" si="104"/>
        <v>3784.92</v>
      </c>
      <c r="Q327" s="1477">
        <f t="shared" si="105"/>
        <v>3829.68</v>
      </c>
      <c r="R327" s="1576">
        <f t="shared" si="106"/>
        <v>3829.68</v>
      </c>
      <c r="S327" s="1869">
        <v>0</v>
      </c>
      <c r="T327" s="1866">
        <v>0</v>
      </c>
      <c r="U327" s="2442"/>
      <c r="V327" s="1866">
        <f t="shared" si="109"/>
        <v>0</v>
      </c>
      <c r="W327" s="1869">
        <f t="shared" si="117"/>
        <v>0</v>
      </c>
      <c r="X327" s="1870">
        <f t="shared" si="107"/>
        <v>0</v>
      </c>
      <c r="Y327" s="1871">
        <f t="shared" si="110"/>
        <v>0</v>
      </c>
      <c r="Z327" s="1694">
        <f t="shared" si="118"/>
        <v>72.19</v>
      </c>
      <c r="AA327" s="1872">
        <f t="shared" si="111"/>
        <v>3829.6794999999997</v>
      </c>
      <c r="AB327" s="1873">
        <f t="shared" si="112"/>
        <v>0.99999986944078878</v>
      </c>
      <c r="AC327" s="1418">
        <f t="shared" si="95"/>
        <v>5.0000000010186341E-4</v>
      </c>
      <c r="AD327" s="1418">
        <f t="shared" si="96"/>
        <v>0</v>
      </c>
      <c r="AE327" s="1418">
        <v>3829.6794999999997</v>
      </c>
      <c r="AF327" s="1418">
        <f t="shared" si="97"/>
        <v>-5.0000000010186341E-4</v>
      </c>
      <c r="AG327" s="1418">
        <v>53.05</v>
      </c>
      <c r="AH327" s="1418">
        <f t="shared" si="98"/>
        <v>0</v>
      </c>
      <c r="AI327" s="1428"/>
      <c r="AO327" s="2504">
        <v>0</v>
      </c>
      <c r="AP327" s="1418">
        <f t="shared" si="108"/>
        <v>0</v>
      </c>
    </row>
    <row r="328" spans="1:42" s="1410" customFormat="1" ht="15.75">
      <c r="A328" s="2102"/>
      <c r="B328" s="1268" t="s">
        <v>2423</v>
      </c>
      <c r="C328" s="1241" t="s">
        <v>3114</v>
      </c>
      <c r="D328" s="1245" t="s">
        <v>37</v>
      </c>
      <c r="E328" s="1413">
        <v>19.649999999999999</v>
      </c>
      <c r="F328" s="1555">
        <v>51.25</v>
      </c>
      <c r="G328" s="1480">
        <v>52.43</v>
      </c>
      <c r="H328" s="1414">
        <v>53.05</v>
      </c>
      <c r="I328" s="1477">
        <f t="shared" si="93"/>
        <v>1007.06</v>
      </c>
      <c r="J328" s="1477">
        <f t="shared" si="94"/>
        <v>1030.25</v>
      </c>
      <c r="K328" s="1477">
        <v>0</v>
      </c>
      <c r="L328" s="1477">
        <f t="shared" si="101"/>
        <v>0</v>
      </c>
      <c r="M328" s="1477">
        <v>19.649999999999999</v>
      </c>
      <c r="N328" s="1477">
        <f t="shared" si="102"/>
        <v>19.649999999999999</v>
      </c>
      <c r="O328" s="1477">
        <f t="shared" si="103"/>
        <v>0</v>
      </c>
      <c r="P328" s="1477">
        <f t="shared" si="104"/>
        <v>1030.25</v>
      </c>
      <c r="Q328" s="1477">
        <f t="shared" si="105"/>
        <v>1042.43</v>
      </c>
      <c r="R328" s="1576">
        <f t="shared" si="106"/>
        <v>1042.43</v>
      </c>
      <c r="S328" s="1869">
        <v>0</v>
      </c>
      <c r="T328" s="1866">
        <v>0</v>
      </c>
      <c r="U328" s="2442"/>
      <c r="V328" s="1866">
        <f t="shared" si="109"/>
        <v>0</v>
      </c>
      <c r="W328" s="1869">
        <f t="shared" si="117"/>
        <v>0</v>
      </c>
      <c r="X328" s="1870">
        <f t="shared" si="107"/>
        <v>0</v>
      </c>
      <c r="Y328" s="1871">
        <f t="shared" si="110"/>
        <v>0</v>
      </c>
      <c r="Z328" s="1694">
        <f t="shared" si="118"/>
        <v>19.649999999999999</v>
      </c>
      <c r="AA328" s="1872">
        <f t="shared" si="111"/>
        <v>1042.4324999999999</v>
      </c>
      <c r="AB328" s="1873">
        <f t="shared" si="112"/>
        <v>1.0000023982425676</v>
      </c>
      <c r="AC328" s="1418">
        <f t="shared" si="95"/>
        <v>-2.499999999827196E-3</v>
      </c>
      <c r="AD328" s="1418">
        <f t="shared" si="96"/>
        <v>0</v>
      </c>
      <c r="AE328" s="1418">
        <v>1042.4324999999999</v>
      </c>
      <c r="AF328" s="1418">
        <f t="shared" si="97"/>
        <v>2.499999999827196E-3</v>
      </c>
      <c r="AG328" s="1418">
        <v>53.05</v>
      </c>
      <c r="AH328" s="1418">
        <f t="shared" si="98"/>
        <v>0</v>
      </c>
      <c r="AI328" s="1428"/>
      <c r="AO328" s="2504">
        <v>0</v>
      </c>
      <c r="AP328" s="1418">
        <f t="shared" si="108"/>
        <v>0</v>
      </c>
    </row>
    <row r="329" spans="1:42" s="1410" customFormat="1" ht="15.75">
      <c r="A329" s="2102"/>
      <c r="B329" s="1268" t="s">
        <v>2424</v>
      </c>
      <c r="C329" s="1241" t="s">
        <v>3115</v>
      </c>
      <c r="D329" s="1245" t="s">
        <v>38</v>
      </c>
      <c r="E329" s="1413">
        <v>212.16</v>
      </c>
      <c r="F329" s="1555">
        <v>0.91</v>
      </c>
      <c r="G329" s="1480">
        <v>0.98</v>
      </c>
      <c r="H329" s="1414">
        <v>1.02</v>
      </c>
      <c r="I329" s="1477">
        <f t="shared" si="93"/>
        <v>193.07</v>
      </c>
      <c r="J329" s="1477">
        <f t="shared" si="94"/>
        <v>207.92</v>
      </c>
      <c r="K329" s="1477">
        <v>0</v>
      </c>
      <c r="L329" s="1477">
        <f t="shared" si="101"/>
        <v>0</v>
      </c>
      <c r="M329" s="1477">
        <v>212.16</v>
      </c>
      <c r="N329" s="1477">
        <f t="shared" si="102"/>
        <v>212.16</v>
      </c>
      <c r="O329" s="1477">
        <f t="shared" si="103"/>
        <v>0</v>
      </c>
      <c r="P329" s="1477">
        <f t="shared" si="104"/>
        <v>207.92</v>
      </c>
      <c r="Q329" s="1477">
        <f t="shared" si="105"/>
        <v>216.4</v>
      </c>
      <c r="R329" s="1576">
        <f t="shared" si="106"/>
        <v>216.4</v>
      </c>
      <c r="S329" s="1869">
        <v>186.28000000000003</v>
      </c>
      <c r="T329" s="1866">
        <v>190.00560000000004</v>
      </c>
      <c r="U329" s="2442"/>
      <c r="V329" s="1866">
        <f t="shared" si="109"/>
        <v>0</v>
      </c>
      <c r="W329" s="1869">
        <f t="shared" si="117"/>
        <v>186.28000000000003</v>
      </c>
      <c r="X329" s="1870">
        <f t="shared" si="107"/>
        <v>190.00560000000004</v>
      </c>
      <c r="Y329" s="1871">
        <f t="shared" si="110"/>
        <v>0.87802957486136801</v>
      </c>
      <c r="Z329" s="1694">
        <f t="shared" si="118"/>
        <v>25.879999999999967</v>
      </c>
      <c r="AA329" s="1872">
        <f t="shared" si="111"/>
        <v>26.397599999999965</v>
      </c>
      <c r="AB329" s="1873">
        <f t="shared" si="112"/>
        <v>0.12198521256931592</v>
      </c>
      <c r="AC329" s="1418">
        <f t="shared" si="95"/>
        <v>-3.2000000000032003E-3</v>
      </c>
      <c r="AD329" s="1418">
        <f t="shared" si="96"/>
        <v>0</v>
      </c>
      <c r="AE329" s="1418">
        <v>216.4032</v>
      </c>
      <c r="AF329" s="1418">
        <f t="shared" si="97"/>
        <v>3.1999999999925421E-3</v>
      </c>
      <c r="AG329" s="1418">
        <v>1.02</v>
      </c>
      <c r="AH329" s="1418">
        <f t="shared" si="98"/>
        <v>0</v>
      </c>
      <c r="AI329" s="1428"/>
      <c r="AO329" s="2504">
        <v>190.00560000000004</v>
      </c>
      <c r="AP329" s="1418">
        <f t="shared" si="108"/>
        <v>0</v>
      </c>
    </row>
    <row r="330" spans="1:42" s="1410" customFormat="1" ht="15.75">
      <c r="A330" s="2102"/>
      <c r="B330" s="1268" t="s">
        <v>2425</v>
      </c>
      <c r="C330" s="1241" t="s">
        <v>3116</v>
      </c>
      <c r="D330" s="1245" t="s">
        <v>37</v>
      </c>
      <c r="E330" s="1413">
        <v>329.43</v>
      </c>
      <c r="F330" s="1555">
        <v>60.4</v>
      </c>
      <c r="G330" s="1480">
        <v>62.63</v>
      </c>
      <c r="H330" s="1414">
        <v>63.77</v>
      </c>
      <c r="I330" s="1477">
        <f t="shared" si="93"/>
        <v>19897.57</v>
      </c>
      <c r="J330" s="1477">
        <f t="shared" si="94"/>
        <v>20632.2</v>
      </c>
      <c r="K330" s="1477">
        <v>0</v>
      </c>
      <c r="L330" s="1477">
        <f t="shared" si="101"/>
        <v>0</v>
      </c>
      <c r="M330" s="1477">
        <v>329.43</v>
      </c>
      <c r="N330" s="1477">
        <f t="shared" si="102"/>
        <v>329.43</v>
      </c>
      <c r="O330" s="1477">
        <f t="shared" si="103"/>
        <v>0</v>
      </c>
      <c r="P330" s="1477">
        <f t="shared" si="104"/>
        <v>20632.2</v>
      </c>
      <c r="Q330" s="1477">
        <f t="shared" si="105"/>
        <v>21007.75</v>
      </c>
      <c r="R330" s="1576">
        <f t="shared" si="106"/>
        <v>21007.75</v>
      </c>
      <c r="S330" s="1869">
        <v>329.43</v>
      </c>
      <c r="T330" s="1866">
        <v>21007.751100000001</v>
      </c>
      <c r="U330" s="2442"/>
      <c r="V330" s="1866">
        <f t="shared" si="109"/>
        <v>0</v>
      </c>
      <c r="W330" s="1869">
        <f t="shared" si="117"/>
        <v>329.43</v>
      </c>
      <c r="X330" s="1870">
        <f t="shared" si="107"/>
        <v>21007.751100000001</v>
      </c>
      <c r="Y330" s="1871">
        <f t="shared" si="110"/>
        <v>1.0000000523616286</v>
      </c>
      <c r="Z330" s="1694">
        <f t="shared" si="118"/>
        <v>0</v>
      </c>
      <c r="AA330" s="1872">
        <f t="shared" si="111"/>
        <v>0</v>
      </c>
      <c r="AB330" s="1873">
        <f t="shared" si="112"/>
        <v>0</v>
      </c>
      <c r="AC330" s="1418">
        <f t="shared" si="95"/>
        <v>-1.1000000013154931E-3</v>
      </c>
      <c r="AD330" s="1418">
        <f t="shared" si="96"/>
        <v>0</v>
      </c>
      <c r="AE330" s="1418">
        <v>21007.751100000001</v>
      </c>
      <c r="AF330" s="1418">
        <f t="shared" si="97"/>
        <v>1.1000000013154931E-3</v>
      </c>
      <c r="AG330" s="1418">
        <v>63.77</v>
      </c>
      <c r="AH330" s="1418">
        <f t="shared" si="98"/>
        <v>0</v>
      </c>
      <c r="AI330" s="1428"/>
      <c r="AO330" s="2504">
        <v>15258.2479</v>
      </c>
      <c r="AP330" s="1418">
        <f t="shared" si="108"/>
        <v>-5749.503200000001</v>
      </c>
    </row>
    <row r="331" spans="1:42" s="1410" customFormat="1" ht="15.75">
      <c r="A331" s="2102"/>
      <c r="B331" s="1272" t="s">
        <v>523</v>
      </c>
      <c r="C331" s="1262" t="s">
        <v>3117</v>
      </c>
      <c r="D331" s="1273"/>
      <c r="E331" s="1415"/>
      <c r="F331" s="1267"/>
      <c r="G331" s="1480"/>
      <c r="H331" s="1416"/>
      <c r="I331" s="1477">
        <f t="shared" si="93"/>
        <v>0</v>
      </c>
      <c r="J331" s="1477">
        <f t="shared" si="94"/>
        <v>0</v>
      </c>
      <c r="K331" s="1477"/>
      <c r="L331" s="1477">
        <f t="shared" si="101"/>
        <v>0</v>
      </c>
      <c r="M331" s="1477"/>
      <c r="N331" s="1477">
        <f t="shared" si="102"/>
        <v>0</v>
      </c>
      <c r="O331" s="1477">
        <f t="shared" si="103"/>
        <v>0</v>
      </c>
      <c r="P331" s="1477">
        <f t="shared" si="104"/>
        <v>0</v>
      </c>
      <c r="Q331" s="1477">
        <f t="shared" si="105"/>
        <v>0</v>
      </c>
      <c r="R331" s="1576">
        <f t="shared" si="106"/>
        <v>0</v>
      </c>
      <c r="S331" s="1869"/>
      <c r="T331" s="1866"/>
      <c r="U331" s="2442"/>
      <c r="V331" s="1866">
        <f t="shared" si="109"/>
        <v>0</v>
      </c>
      <c r="W331" s="1869"/>
      <c r="X331" s="1870"/>
      <c r="Y331" s="1871" t="str">
        <f t="shared" si="110"/>
        <v/>
      </c>
      <c r="Z331" s="1694"/>
      <c r="AA331" s="1872">
        <f t="shared" si="111"/>
        <v>0</v>
      </c>
      <c r="AB331" s="1873" t="str">
        <f t="shared" si="112"/>
        <v/>
      </c>
      <c r="AC331" s="1418">
        <f t="shared" si="95"/>
        <v>0</v>
      </c>
      <c r="AD331" s="1418">
        <f t="shared" si="96"/>
        <v>0</v>
      </c>
      <c r="AE331" s="1418"/>
      <c r="AF331" s="1418">
        <f t="shared" si="97"/>
        <v>0</v>
      </c>
      <c r="AG331" s="1418"/>
      <c r="AH331" s="1418">
        <f t="shared" si="98"/>
        <v>0</v>
      </c>
      <c r="AI331" s="1428"/>
      <c r="AO331" s="2504"/>
      <c r="AP331" s="1418">
        <f t="shared" si="108"/>
        <v>0</v>
      </c>
    </row>
    <row r="332" spans="1:42" s="1410" customFormat="1" ht="15.75">
      <c r="A332" s="2102"/>
      <c r="B332" s="1268" t="s">
        <v>524</v>
      </c>
      <c r="C332" s="1241" t="s">
        <v>3118</v>
      </c>
      <c r="D332" s="1245" t="s">
        <v>38</v>
      </c>
      <c r="E332" s="1413">
        <v>17.510000000000002</v>
      </c>
      <c r="F332" s="1555">
        <v>65.91</v>
      </c>
      <c r="G332" s="1480">
        <v>69.239999999999995</v>
      </c>
      <c r="H332" s="1414">
        <v>70.959999999999994</v>
      </c>
      <c r="I332" s="1477">
        <f t="shared" si="93"/>
        <v>1154.08</v>
      </c>
      <c r="J332" s="1477">
        <f t="shared" si="94"/>
        <v>1212.3900000000001</v>
      </c>
      <c r="K332" s="1477">
        <v>0</v>
      </c>
      <c r="L332" s="1477">
        <f t="shared" si="101"/>
        <v>0</v>
      </c>
      <c r="M332" s="1477">
        <v>17.510000000000002</v>
      </c>
      <c r="N332" s="1477">
        <f t="shared" si="102"/>
        <v>17.510000000000002</v>
      </c>
      <c r="O332" s="1477">
        <f t="shared" si="103"/>
        <v>0</v>
      </c>
      <c r="P332" s="1477">
        <f t="shared" si="104"/>
        <v>1212.3900000000001</v>
      </c>
      <c r="Q332" s="1477">
        <f t="shared" si="105"/>
        <v>1242.51</v>
      </c>
      <c r="R332" s="1576">
        <f t="shared" si="106"/>
        <v>1242.51</v>
      </c>
      <c r="S332" s="1869">
        <v>17.510000000000002</v>
      </c>
      <c r="T332" s="1866">
        <v>1242.5096000000001</v>
      </c>
      <c r="U332" s="2442"/>
      <c r="V332" s="1866">
        <f t="shared" si="109"/>
        <v>0</v>
      </c>
      <c r="W332" s="1869">
        <f>S332+U332</f>
        <v>17.510000000000002</v>
      </c>
      <c r="X332" s="1870">
        <f t="shared" si="107"/>
        <v>1242.5096000000001</v>
      </c>
      <c r="Y332" s="1871">
        <f t="shared" si="110"/>
        <v>0.99999967807100154</v>
      </c>
      <c r="Z332" s="1694">
        <f>+E332-W332</f>
        <v>0</v>
      </c>
      <c r="AA332" s="1872">
        <f t="shared" si="111"/>
        <v>0</v>
      </c>
      <c r="AB332" s="1873">
        <f t="shared" si="112"/>
        <v>0</v>
      </c>
      <c r="AC332" s="1418">
        <f t="shared" si="95"/>
        <v>3.9999999989959178E-4</v>
      </c>
      <c r="AD332" s="1418">
        <f t="shared" si="96"/>
        <v>0</v>
      </c>
      <c r="AE332" s="1418">
        <v>1242.5096000000001</v>
      </c>
      <c r="AF332" s="1418">
        <f t="shared" si="97"/>
        <v>-3.9999999989959178E-4</v>
      </c>
      <c r="AG332" s="1418">
        <v>70.959999999999994</v>
      </c>
      <c r="AH332" s="1418">
        <f t="shared" si="98"/>
        <v>0</v>
      </c>
      <c r="AI332" s="1428"/>
      <c r="AO332" s="2504">
        <v>1242.5096000000001</v>
      </c>
      <c r="AP332" s="1418">
        <f t="shared" si="108"/>
        <v>0</v>
      </c>
    </row>
    <row r="333" spans="1:42" s="1410" customFormat="1" ht="15.75">
      <c r="A333" s="2102"/>
      <c r="B333" s="2130" t="s">
        <v>2426</v>
      </c>
      <c r="C333" s="1241" t="s">
        <v>3119</v>
      </c>
      <c r="D333" s="1245" t="s">
        <v>38</v>
      </c>
      <c r="E333" s="1413">
        <v>79.81</v>
      </c>
      <c r="F333" s="1555">
        <v>40.58</v>
      </c>
      <c r="G333" s="1480">
        <v>41.89</v>
      </c>
      <c r="H333" s="1414">
        <v>42.59</v>
      </c>
      <c r="I333" s="1477">
        <f t="shared" si="93"/>
        <v>3238.69</v>
      </c>
      <c r="J333" s="1477">
        <f t="shared" si="94"/>
        <v>3343.24</v>
      </c>
      <c r="K333" s="1477">
        <v>0</v>
      </c>
      <c r="L333" s="1477">
        <f t="shared" si="101"/>
        <v>0</v>
      </c>
      <c r="M333" s="1477">
        <v>79.81</v>
      </c>
      <c r="N333" s="1477">
        <f t="shared" si="102"/>
        <v>79.81</v>
      </c>
      <c r="O333" s="1477">
        <f t="shared" si="103"/>
        <v>0</v>
      </c>
      <c r="P333" s="1477">
        <f t="shared" si="104"/>
        <v>3343.24</v>
      </c>
      <c r="Q333" s="1477">
        <f t="shared" si="105"/>
        <v>3399.11</v>
      </c>
      <c r="R333" s="1576">
        <f t="shared" si="106"/>
        <v>3399.11</v>
      </c>
      <c r="S333" s="1869">
        <v>0</v>
      </c>
      <c r="T333" s="1866">
        <v>0</v>
      </c>
      <c r="U333" s="2442"/>
      <c r="V333" s="1866">
        <f t="shared" si="109"/>
        <v>0</v>
      </c>
      <c r="W333" s="1869">
        <f>S333+U333</f>
        <v>0</v>
      </c>
      <c r="X333" s="1870">
        <f t="shared" si="107"/>
        <v>0</v>
      </c>
      <c r="Y333" s="1871">
        <f t="shared" si="110"/>
        <v>0</v>
      </c>
      <c r="Z333" s="1694">
        <f>+E333-W333</f>
        <v>79.81</v>
      </c>
      <c r="AA333" s="1872">
        <f t="shared" si="111"/>
        <v>3399.1079000000004</v>
      </c>
      <c r="AB333" s="1873">
        <f t="shared" si="112"/>
        <v>0.99999938219122075</v>
      </c>
      <c r="AC333" s="1418">
        <f t="shared" si="95"/>
        <v>2.0999999997002305E-3</v>
      </c>
      <c r="AD333" s="1418">
        <f t="shared" si="96"/>
        <v>0</v>
      </c>
      <c r="AE333" s="1418">
        <v>3399.1079000000004</v>
      </c>
      <c r="AF333" s="1418">
        <f t="shared" si="97"/>
        <v>-2.0999999997002305E-3</v>
      </c>
      <c r="AG333" s="1418">
        <v>42.59</v>
      </c>
      <c r="AH333" s="1418">
        <f t="shared" si="98"/>
        <v>0</v>
      </c>
      <c r="AI333" s="1428"/>
      <c r="AO333" s="2504">
        <v>0</v>
      </c>
      <c r="AP333" s="1418">
        <f t="shared" si="108"/>
        <v>0</v>
      </c>
    </row>
    <row r="334" spans="1:42" s="1410" customFormat="1" ht="15.75">
      <c r="A334" s="2102"/>
      <c r="B334" s="1268" t="s">
        <v>2427</v>
      </c>
      <c r="C334" s="1241" t="s">
        <v>3120</v>
      </c>
      <c r="D334" s="1245" t="s">
        <v>38</v>
      </c>
      <c r="E334" s="1413">
        <v>182.82</v>
      </c>
      <c r="F334" s="1555">
        <v>23.78</v>
      </c>
      <c r="G334" s="1480">
        <v>24.74</v>
      </c>
      <c r="H334" s="1414">
        <v>25.25</v>
      </c>
      <c r="I334" s="1477">
        <f t="shared" si="93"/>
        <v>4347.46</v>
      </c>
      <c r="J334" s="1477">
        <f t="shared" si="94"/>
        <v>4522.97</v>
      </c>
      <c r="K334" s="1477">
        <v>0</v>
      </c>
      <c r="L334" s="1477">
        <f t="shared" si="101"/>
        <v>0</v>
      </c>
      <c r="M334" s="1477">
        <v>182.82</v>
      </c>
      <c r="N334" s="1477">
        <f t="shared" si="102"/>
        <v>182.82</v>
      </c>
      <c r="O334" s="1477">
        <f t="shared" si="103"/>
        <v>0</v>
      </c>
      <c r="P334" s="1477">
        <f t="shared" si="104"/>
        <v>4522.97</v>
      </c>
      <c r="Q334" s="1477">
        <f t="shared" si="105"/>
        <v>4616.21</v>
      </c>
      <c r="R334" s="1576">
        <f t="shared" si="106"/>
        <v>4616.21</v>
      </c>
      <c r="S334" s="1869">
        <v>182.82</v>
      </c>
      <c r="T334" s="1866">
        <v>4616.2049999999999</v>
      </c>
      <c r="U334" s="2442"/>
      <c r="V334" s="1866">
        <f t="shared" si="109"/>
        <v>0</v>
      </c>
      <c r="W334" s="1869">
        <f>S334+U334</f>
        <v>182.82</v>
      </c>
      <c r="X334" s="1870">
        <f t="shared" si="107"/>
        <v>4616.2049999999999</v>
      </c>
      <c r="Y334" s="1871">
        <f t="shared" si="110"/>
        <v>0.99999891686036813</v>
      </c>
      <c r="Z334" s="1694">
        <f>+E334-W334</f>
        <v>0</v>
      </c>
      <c r="AA334" s="1872">
        <f t="shared" si="111"/>
        <v>0</v>
      </c>
      <c r="AB334" s="1873">
        <f t="shared" si="112"/>
        <v>0</v>
      </c>
      <c r="AC334" s="1418">
        <f t="shared" si="95"/>
        <v>5.0000000001091394E-3</v>
      </c>
      <c r="AD334" s="1418">
        <f t="shared" si="96"/>
        <v>0</v>
      </c>
      <c r="AE334" s="1418">
        <v>4616.2049999999999</v>
      </c>
      <c r="AF334" s="1418">
        <f t="shared" si="97"/>
        <v>-5.0000000001091394E-3</v>
      </c>
      <c r="AG334" s="1418">
        <v>25.25</v>
      </c>
      <c r="AH334" s="1418">
        <f t="shared" si="98"/>
        <v>0</v>
      </c>
      <c r="AI334" s="1428"/>
      <c r="AO334" s="2504">
        <v>4616.2049999999999</v>
      </c>
      <c r="AP334" s="1418">
        <f t="shared" si="108"/>
        <v>0</v>
      </c>
    </row>
    <row r="335" spans="1:42" s="1410" customFormat="1" ht="15.75">
      <c r="A335" s="2102"/>
      <c r="B335" s="2130" t="s">
        <v>2428</v>
      </c>
      <c r="C335" s="1241" t="s">
        <v>3121</v>
      </c>
      <c r="D335" s="1245" t="s">
        <v>38</v>
      </c>
      <c r="E335" s="1413">
        <v>666.7</v>
      </c>
      <c r="F335" s="1555">
        <v>56.82</v>
      </c>
      <c r="G335" s="1480">
        <v>58.46</v>
      </c>
      <c r="H335" s="1414">
        <v>59.35</v>
      </c>
      <c r="I335" s="1477">
        <f t="shared" si="93"/>
        <v>37881.89</v>
      </c>
      <c r="J335" s="1477">
        <f t="shared" si="94"/>
        <v>38975.279999999999</v>
      </c>
      <c r="K335" s="1477">
        <v>0</v>
      </c>
      <c r="L335" s="1477">
        <f t="shared" si="101"/>
        <v>0</v>
      </c>
      <c r="M335" s="1477">
        <v>666.7</v>
      </c>
      <c r="N335" s="1477">
        <f t="shared" si="102"/>
        <v>666.7</v>
      </c>
      <c r="O335" s="1477">
        <f t="shared" si="103"/>
        <v>0</v>
      </c>
      <c r="P335" s="1477">
        <f t="shared" si="104"/>
        <v>38975.279999999999</v>
      </c>
      <c r="Q335" s="1477">
        <f t="shared" si="105"/>
        <v>39568.65</v>
      </c>
      <c r="R335" s="1576">
        <f t="shared" si="106"/>
        <v>39568.65</v>
      </c>
      <c r="S335" s="1869">
        <v>0</v>
      </c>
      <c r="T335" s="1866">
        <v>0</v>
      </c>
      <c r="U335" s="2442"/>
      <c r="V335" s="1866">
        <f t="shared" si="109"/>
        <v>0</v>
      </c>
      <c r="W335" s="1869">
        <f>S335+U335</f>
        <v>0</v>
      </c>
      <c r="X335" s="1870">
        <f t="shared" si="107"/>
        <v>0</v>
      </c>
      <c r="Y335" s="1871">
        <f t="shared" si="110"/>
        <v>0</v>
      </c>
      <c r="Z335" s="1694">
        <f>+E335-W335</f>
        <v>666.7</v>
      </c>
      <c r="AA335" s="1872">
        <f t="shared" si="111"/>
        <v>39568.645000000004</v>
      </c>
      <c r="AB335" s="1873">
        <f t="shared" si="112"/>
        <v>0.99999987363733667</v>
      </c>
      <c r="AC335" s="1418">
        <f t="shared" si="95"/>
        <v>4.9999999973806553E-3</v>
      </c>
      <c r="AD335" s="1418">
        <f t="shared" si="96"/>
        <v>0</v>
      </c>
      <c r="AE335" s="1418">
        <v>39568.645000000004</v>
      </c>
      <c r="AF335" s="1418">
        <f t="shared" si="97"/>
        <v>-4.9999999973806553E-3</v>
      </c>
      <c r="AG335" s="1418">
        <v>59.35</v>
      </c>
      <c r="AH335" s="1418">
        <f t="shared" si="98"/>
        <v>0</v>
      </c>
      <c r="AI335" s="1428"/>
      <c r="AO335" s="2504">
        <v>0</v>
      </c>
      <c r="AP335" s="1418">
        <f t="shared" si="108"/>
        <v>0</v>
      </c>
    </row>
    <row r="336" spans="1:42" s="1231" customFormat="1" ht="15.75">
      <c r="A336" s="2103"/>
      <c r="B336" s="1263" t="s">
        <v>525</v>
      </c>
      <c r="C336" s="1264" t="s">
        <v>3122</v>
      </c>
      <c r="D336" s="1265"/>
      <c r="E336" s="1266"/>
      <c r="F336" s="1267"/>
      <c r="G336" s="1480"/>
      <c r="H336" s="1267"/>
      <c r="I336" s="1477">
        <f t="shared" ref="I336:I399" si="119">ROUND(E336*F336,2)</f>
        <v>0</v>
      </c>
      <c r="J336" s="1477">
        <f t="shared" ref="J336:J399" si="120">ROUND(E336*G336,2)</f>
        <v>0</v>
      </c>
      <c r="K336" s="1477"/>
      <c r="L336" s="1477">
        <f t="shared" si="101"/>
        <v>0</v>
      </c>
      <c r="M336" s="1477"/>
      <c r="N336" s="1477">
        <f t="shared" si="102"/>
        <v>0</v>
      </c>
      <c r="O336" s="1477">
        <f t="shared" si="103"/>
        <v>0</v>
      </c>
      <c r="P336" s="1477">
        <f t="shared" si="104"/>
        <v>0</v>
      </c>
      <c r="Q336" s="1477">
        <f t="shared" si="105"/>
        <v>0</v>
      </c>
      <c r="R336" s="1576">
        <f t="shared" si="106"/>
        <v>0</v>
      </c>
      <c r="S336" s="2452"/>
      <c r="T336" s="1866"/>
      <c r="U336" s="2442"/>
      <c r="V336" s="1866">
        <f t="shared" si="109"/>
        <v>0</v>
      </c>
      <c r="W336" s="2452"/>
      <c r="X336" s="1870"/>
      <c r="Y336" s="1871" t="str">
        <f t="shared" si="110"/>
        <v/>
      </c>
      <c r="Z336" s="1694"/>
      <c r="AA336" s="1872">
        <f t="shared" si="111"/>
        <v>0</v>
      </c>
      <c r="AB336" s="1873" t="str">
        <f t="shared" si="112"/>
        <v/>
      </c>
      <c r="AC336" s="1418">
        <f t="shared" ref="AC336:AC399" si="121">+R336-X336-AA336</f>
        <v>0</v>
      </c>
      <c r="AD336" s="1418">
        <f t="shared" ref="AD336:AD399" si="122">+E336-W336-Z336</f>
        <v>0</v>
      </c>
      <c r="AE336" s="1230"/>
      <c r="AF336" s="1230">
        <f t="shared" ref="AF336:AF399" si="123">+AE336-R336</f>
        <v>0</v>
      </c>
      <c r="AG336" s="1230"/>
      <c r="AH336" s="1418">
        <f t="shared" ref="AH336:AH399" si="124">+AG336-H336</f>
        <v>0</v>
      </c>
      <c r="AI336" s="1346"/>
      <c r="AO336" s="1736"/>
      <c r="AP336" s="1418">
        <f t="shared" si="108"/>
        <v>0</v>
      </c>
    </row>
    <row r="337" spans="1:42" s="1410" customFormat="1" ht="15.75">
      <c r="A337" s="2102"/>
      <c r="B337" s="1272" t="s">
        <v>526</v>
      </c>
      <c r="C337" s="1262" t="s">
        <v>3123</v>
      </c>
      <c r="D337" s="1273"/>
      <c r="E337" s="1415"/>
      <c r="F337" s="1267"/>
      <c r="G337" s="1480"/>
      <c r="H337" s="1416"/>
      <c r="I337" s="1477">
        <f t="shared" si="119"/>
        <v>0</v>
      </c>
      <c r="J337" s="1477">
        <f t="shared" si="120"/>
        <v>0</v>
      </c>
      <c r="K337" s="1477"/>
      <c r="L337" s="1477">
        <f t="shared" ref="L337:L400" si="125">E337-N337</f>
        <v>0</v>
      </c>
      <c r="M337" s="1477"/>
      <c r="N337" s="1477">
        <f t="shared" ref="N337:N400" si="126">ROUND(M337,2)</f>
        <v>0</v>
      </c>
      <c r="O337" s="1477">
        <f t="shared" ref="O337:O400" si="127">ROUND(L337*G337,2)</f>
        <v>0</v>
      </c>
      <c r="P337" s="1477">
        <f t="shared" ref="P337:P400" si="128">ROUND(N337*G337,2)</f>
        <v>0</v>
      </c>
      <c r="Q337" s="1477">
        <f t="shared" ref="Q337:Q400" si="129">ROUND(N337*H337,2)</f>
        <v>0</v>
      </c>
      <c r="R337" s="1576">
        <f t="shared" ref="R337:R400" si="130">O337+Q337</f>
        <v>0</v>
      </c>
      <c r="S337" s="1869"/>
      <c r="T337" s="1866"/>
      <c r="U337" s="2442"/>
      <c r="V337" s="1866">
        <f t="shared" si="109"/>
        <v>0</v>
      </c>
      <c r="W337" s="1869"/>
      <c r="X337" s="1870"/>
      <c r="Y337" s="1871" t="str">
        <f t="shared" si="110"/>
        <v/>
      </c>
      <c r="Z337" s="1694"/>
      <c r="AA337" s="1872">
        <f t="shared" si="111"/>
        <v>0</v>
      </c>
      <c r="AB337" s="1873" t="str">
        <f t="shared" si="112"/>
        <v/>
      </c>
      <c r="AC337" s="1418">
        <f t="shared" si="121"/>
        <v>0</v>
      </c>
      <c r="AD337" s="1418">
        <f t="shared" si="122"/>
        <v>0</v>
      </c>
      <c r="AE337" s="1418"/>
      <c r="AF337" s="1418">
        <f t="shared" si="123"/>
        <v>0</v>
      </c>
      <c r="AG337" s="1418"/>
      <c r="AH337" s="1418">
        <f t="shared" si="124"/>
        <v>0</v>
      </c>
      <c r="AI337" s="1428"/>
      <c r="AO337" s="2504"/>
      <c r="AP337" s="1418">
        <f t="shared" ref="AP337:AP400" si="131">+AO337-X337</f>
        <v>0</v>
      </c>
    </row>
    <row r="338" spans="1:42" s="1410" customFormat="1" ht="15.75">
      <c r="A338" s="2102"/>
      <c r="B338" s="1268" t="s">
        <v>527</v>
      </c>
      <c r="C338" s="1241" t="s">
        <v>3124</v>
      </c>
      <c r="D338" s="1245" t="s">
        <v>37</v>
      </c>
      <c r="E338" s="1413">
        <v>42.76</v>
      </c>
      <c r="F338" s="1555">
        <v>28.33</v>
      </c>
      <c r="G338" s="1480">
        <v>30.11</v>
      </c>
      <c r="H338" s="1414">
        <v>31.02</v>
      </c>
      <c r="I338" s="1477">
        <f t="shared" si="119"/>
        <v>1211.3900000000001</v>
      </c>
      <c r="J338" s="1477">
        <f t="shared" si="120"/>
        <v>1287.5</v>
      </c>
      <c r="K338" s="1477">
        <v>0</v>
      </c>
      <c r="L338" s="1477">
        <f t="shared" si="125"/>
        <v>0</v>
      </c>
      <c r="M338" s="1477">
        <v>42.76</v>
      </c>
      <c r="N338" s="1477">
        <f t="shared" si="126"/>
        <v>42.76</v>
      </c>
      <c r="O338" s="1477">
        <f t="shared" si="127"/>
        <v>0</v>
      </c>
      <c r="P338" s="1477">
        <f t="shared" si="128"/>
        <v>1287.5</v>
      </c>
      <c r="Q338" s="1477">
        <f t="shared" si="129"/>
        <v>1326.42</v>
      </c>
      <c r="R338" s="1576">
        <f t="shared" si="130"/>
        <v>1326.42</v>
      </c>
      <c r="S338" s="1869">
        <v>42.76</v>
      </c>
      <c r="T338" s="1866">
        <v>1326.4151999999999</v>
      </c>
      <c r="U338" s="2442"/>
      <c r="V338" s="1866">
        <f t="shared" ref="V338:V401" si="132">+U338*H338</f>
        <v>0</v>
      </c>
      <c r="W338" s="1869">
        <f>S338+U338</f>
        <v>42.76</v>
      </c>
      <c r="X338" s="1870">
        <f t="shared" ref="X338:X400" si="133">+V338+T338</f>
        <v>1326.4151999999999</v>
      </c>
      <c r="Y338" s="1871">
        <f t="shared" ref="Y338:Y401" si="134">+IF(D338=0,"",X338/R338)</f>
        <v>0.9999963812367122</v>
      </c>
      <c r="Z338" s="1694">
        <f>+E338-W338</f>
        <v>0</v>
      </c>
      <c r="AA338" s="1872">
        <f t="shared" ref="AA338:AA401" si="135">+Z338*H338</f>
        <v>0</v>
      </c>
      <c r="AB338" s="1873">
        <f t="shared" ref="AB338:AB401" si="136">+IF(R338=0,"",AA338/R338)</f>
        <v>0</v>
      </c>
      <c r="AC338" s="1418">
        <f t="shared" si="121"/>
        <v>4.8000000001593435E-3</v>
      </c>
      <c r="AD338" s="1418">
        <f t="shared" si="122"/>
        <v>0</v>
      </c>
      <c r="AE338" s="1418">
        <v>1326.4151999999999</v>
      </c>
      <c r="AF338" s="1418">
        <f t="shared" si="123"/>
        <v>-4.8000000001593435E-3</v>
      </c>
      <c r="AG338" s="1418">
        <v>31.02</v>
      </c>
      <c r="AH338" s="1418">
        <f t="shared" si="124"/>
        <v>0</v>
      </c>
      <c r="AI338" s="1428"/>
      <c r="AO338" s="2504">
        <v>1326.4151999999999</v>
      </c>
      <c r="AP338" s="1418">
        <f t="shared" si="131"/>
        <v>0</v>
      </c>
    </row>
    <row r="339" spans="1:42" s="1410" customFormat="1" ht="15.75">
      <c r="A339" s="2102"/>
      <c r="B339" s="1268" t="s">
        <v>2429</v>
      </c>
      <c r="C339" s="1241" t="s">
        <v>3125</v>
      </c>
      <c r="D339" s="1245" t="s">
        <v>37</v>
      </c>
      <c r="E339" s="1413">
        <v>1139.8</v>
      </c>
      <c r="F339" s="1555">
        <v>66.58</v>
      </c>
      <c r="G339" s="1480">
        <v>68.709999999999994</v>
      </c>
      <c r="H339" s="1414">
        <v>69.81</v>
      </c>
      <c r="I339" s="1477">
        <f t="shared" si="119"/>
        <v>75887.88</v>
      </c>
      <c r="J339" s="1477">
        <f t="shared" si="120"/>
        <v>78315.66</v>
      </c>
      <c r="K339" s="1477">
        <v>0</v>
      </c>
      <c r="L339" s="1477">
        <f t="shared" si="125"/>
        <v>0</v>
      </c>
      <c r="M339" s="1477">
        <v>1139.8</v>
      </c>
      <c r="N339" s="1477">
        <f t="shared" si="126"/>
        <v>1139.8</v>
      </c>
      <c r="O339" s="1477">
        <f t="shared" si="127"/>
        <v>0</v>
      </c>
      <c r="P339" s="1477">
        <f t="shared" si="128"/>
        <v>78315.66</v>
      </c>
      <c r="Q339" s="1477">
        <f t="shared" si="129"/>
        <v>79569.440000000002</v>
      </c>
      <c r="R339" s="1576">
        <f t="shared" si="130"/>
        <v>79569.440000000002</v>
      </c>
      <c r="S339" s="1869">
        <v>0</v>
      </c>
      <c r="T339" s="1866">
        <v>0</v>
      </c>
      <c r="U339" s="2442"/>
      <c r="V339" s="1866">
        <f t="shared" si="132"/>
        <v>0</v>
      </c>
      <c r="W339" s="1869">
        <f>S339+U339</f>
        <v>0</v>
      </c>
      <c r="X339" s="1870">
        <f t="shared" si="133"/>
        <v>0</v>
      </c>
      <c r="Y339" s="1871">
        <f t="shared" si="134"/>
        <v>0</v>
      </c>
      <c r="Z339" s="1694">
        <f>+E339-W339</f>
        <v>1139.8</v>
      </c>
      <c r="AA339" s="1872">
        <f t="shared" si="135"/>
        <v>79569.437999999995</v>
      </c>
      <c r="AB339" s="1873">
        <f t="shared" si="136"/>
        <v>0.99999997486472181</v>
      </c>
      <c r="AC339" s="1418">
        <f t="shared" si="121"/>
        <v>2.0000000076834112E-3</v>
      </c>
      <c r="AD339" s="1418">
        <f t="shared" si="122"/>
        <v>0</v>
      </c>
      <c r="AE339" s="1418">
        <v>79569.437999999995</v>
      </c>
      <c r="AF339" s="1418">
        <f t="shared" si="123"/>
        <v>-2.0000000076834112E-3</v>
      </c>
      <c r="AG339" s="1418">
        <v>69.81</v>
      </c>
      <c r="AH339" s="1418">
        <f t="shared" si="124"/>
        <v>0</v>
      </c>
      <c r="AI339" s="1428"/>
      <c r="AO339" s="2504">
        <v>0</v>
      </c>
      <c r="AP339" s="1418">
        <f t="shared" si="131"/>
        <v>0</v>
      </c>
    </row>
    <row r="340" spans="1:42" s="1410" customFormat="1" ht="15.75">
      <c r="A340" s="2102"/>
      <c r="B340" s="1268" t="s">
        <v>2430</v>
      </c>
      <c r="C340" s="1241" t="s">
        <v>3126</v>
      </c>
      <c r="D340" s="1245" t="s">
        <v>37</v>
      </c>
      <c r="E340" s="1413">
        <v>51.39</v>
      </c>
      <c r="F340" s="1555">
        <v>33.770000000000003</v>
      </c>
      <c r="G340" s="1480">
        <v>34.83</v>
      </c>
      <c r="H340" s="1414">
        <v>35.380000000000003</v>
      </c>
      <c r="I340" s="1477">
        <f t="shared" si="119"/>
        <v>1735.44</v>
      </c>
      <c r="J340" s="1477">
        <f t="shared" si="120"/>
        <v>1789.91</v>
      </c>
      <c r="K340" s="1477">
        <v>0</v>
      </c>
      <c r="L340" s="1477">
        <f t="shared" si="125"/>
        <v>0</v>
      </c>
      <c r="M340" s="1477">
        <v>51.39</v>
      </c>
      <c r="N340" s="1477">
        <f t="shared" si="126"/>
        <v>51.39</v>
      </c>
      <c r="O340" s="1477">
        <f t="shared" si="127"/>
        <v>0</v>
      </c>
      <c r="P340" s="1477">
        <f t="shared" si="128"/>
        <v>1789.91</v>
      </c>
      <c r="Q340" s="1477">
        <f t="shared" si="129"/>
        <v>1818.18</v>
      </c>
      <c r="R340" s="1576">
        <f t="shared" si="130"/>
        <v>1818.18</v>
      </c>
      <c r="S340" s="1869">
        <v>0</v>
      </c>
      <c r="T340" s="1866">
        <v>0</v>
      </c>
      <c r="U340" s="2442"/>
      <c r="V340" s="1866">
        <f t="shared" si="132"/>
        <v>0</v>
      </c>
      <c r="W340" s="1869">
        <f>S340+U340</f>
        <v>0</v>
      </c>
      <c r="X340" s="1870">
        <f t="shared" si="133"/>
        <v>0</v>
      </c>
      <c r="Y340" s="1871">
        <f t="shared" si="134"/>
        <v>0</v>
      </c>
      <c r="Z340" s="1694">
        <f>+E340-W340</f>
        <v>51.39</v>
      </c>
      <c r="AA340" s="1872">
        <f t="shared" si="135"/>
        <v>1818.1782000000001</v>
      </c>
      <c r="AB340" s="1873">
        <f t="shared" si="136"/>
        <v>0.99999900999901004</v>
      </c>
      <c r="AC340" s="1418">
        <f t="shared" si="121"/>
        <v>1.8000000000029104E-3</v>
      </c>
      <c r="AD340" s="1418">
        <f t="shared" si="122"/>
        <v>0</v>
      </c>
      <c r="AE340" s="1418">
        <v>1818.1782000000001</v>
      </c>
      <c r="AF340" s="1418">
        <f t="shared" si="123"/>
        <v>-1.8000000000029104E-3</v>
      </c>
      <c r="AG340" s="1418">
        <v>35.380000000000003</v>
      </c>
      <c r="AH340" s="1418">
        <f t="shared" si="124"/>
        <v>0</v>
      </c>
      <c r="AI340" s="1428"/>
      <c r="AO340" s="2504">
        <v>0</v>
      </c>
      <c r="AP340" s="1418">
        <f t="shared" si="131"/>
        <v>0</v>
      </c>
    </row>
    <row r="341" spans="1:42" s="1410" customFormat="1" ht="15.75">
      <c r="A341" s="2102"/>
      <c r="B341" s="1272" t="s">
        <v>976</v>
      </c>
      <c r="C341" s="1262" t="s">
        <v>3127</v>
      </c>
      <c r="D341" s="1273"/>
      <c r="E341" s="1415"/>
      <c r="F341" s="1267"/>
      <c r="G341" s="1480"/>
      <c r="H341" s="1416"/>
      <c r="I341" s="1477">
        <f t="shared" si="119"/>
        <v>0</v>
      </c>
      <c r="J341" s="1477">
        <f t="shared" si="120"/>
        <v>0</v>
      </c>
      <c r="K341" s="1477"/>
      <c r="L341" s="1477">
        <f t="shared" si="125"/>
        <v>0</v>
      </c>
      <c r="M341" s="1477"/>
      <c r="N341" s="1477">
        <f t="shared" si="126"/>
        <v>0</v>
      </c>
      <c r="O341" s="1477">
        <f t="shared" si="127"/>
        <v>0</v>
      </c>
      <c r="P341" s="1477">
        <f t="shared" si="128"/>
        <v>0</v>
      </c>
      <c r="Q341" s="1477">
        <f t="shared" si="129"/>
        <v>0</v>
      </c>
      <c r="R341" s="1576">
        <f t="shared" si="130"/>
        <v>0</v>
      </c>
      <c r="S341" s="1869"/>
      <c r="T341" s="1866"/>
      <c r="U341" s="2442"/>
      <c r="V341" s="1866">
        <f t="shared" si="132"/>
        <v>0</v>
      </c>
      <c r="W341" s="1869"/>
      <c r="X341" s="1870"/>
      <c r="Y341" s="1871" t="str">
        <f t="shared" si="134"/>
        <v/>
      </c>
      <c r="Z341" s="1694"/>
      <c r="AA341" s="1872">
        <f t="shared" si="135"/>
        <v>0</v>
      </c>
      <c r="AB341" s="1873" t="str">
        <f t="shared" si="136"/>
        <v/>
      </c>
      <c r="AC341" s="1418">
        <f t="shared" si="121"/>
        <v>0</v>
      </c>
      <c r="AD341" s="1418">
        <f t="shared" si="122"/>
        <v>0</v>
      </c>
      <c r="AE341" s="1418"/>
      <c r="AF341" s="1418">
        <f t="shared" si="123"/>
        <v>0</v>
      </c>
      <c r="AG341" s="1418"/>
      <c r="AH341" s="1418">
        <f t="shared" si="124"/>
        <v>0</v>
      </c>
      <c r="AI341" s="1428"/>
      <c r="AO341" s="2504"/>
      <c r="AP341" s="1418">
        <f t="shared" si="131"/>
        <v>0</v>
      </c>
    </row>
    <row r="342" spans="1:42" s="1410" customFormat="1" ht="15.75">
      <c r="A342" s="2102"/>
      <c r="B342" s="1268" t="s">
        <v>977</v>
      </c>
      <c r="C342" s="1241" t="s">
        <v>3128</v>
      </c>
      <c r="D342" s="1245" t="s">
        <v>38</v>
      </c>
      <c r="E342" s="1413">
        <v>3081.4</v>
      </c>
      <c r="F342" s="1555">
        <v>24.64</v>
      </c>
      <c r="G342" s="1480">
        <v>26.22</v>
      </c>
      <c r="H342" s="1414">
        <v>27.04</v>
      </c>
      <c r="I342" s="1477">
        <f t="shared" si="119"/>
        <v>75925.7</v>
      </c>
      <c r="J342" s="1477">
        <f t="shared" si="120"/>
        <v>80794.31</v>
      </c>
      <c r="K342" s="1477">
        <v>0</v>
      </c>
      <c r="L342" s="1477">
        <f t="shared" si="125"/>
        <v>0</v>
      </c>
      <c r="M342" s="1477">
        <v>3081.4</v>
      </c>
      <c r="N342" s="1477">
        <f t="shared" si="126"/>
        <v>3081.4</v>
      </c>
      <c r="O342" s="1477">
        <f t="shared" si="127"/>
        <v>0</v>
      </c>
      <c r="P342" s="1477">
        <f t="shared" si="128"/>
        <v>80794.31</v>
      </c>
      <c r="Q342" s="1477">
        <f t="shared" si="129"/>
        <v>83321.06</v>
      </c>
      <c r="R342" s="1576">
        <f t="shared" si="130"/>
        <v>83321.06</v>
      </c>
      <c r="S342" s="1869">
        <v>0</v>
      </c>
      <c r="T342" s="1866">
        <v>0</v>
      </c>
      <c r="U342" s="2442"/>
      <c r="V342" s="1866">
        <f t="shared" si="132"/>
        <v>0</v>
      </c>
      <c r="W342" s="1869">
        <f>S342+U342</f>
        <v>0</v>
      </c>
      <c r="X342" s="1870">
        <f t="shared" si="133"/>
        <v>0</v>
      </c>
      <c r="Y342" s="1871">
        <f t="shared" si="134"/>
        <v>0</v>
      </c>
      <c r="Z342" s="1694">
        <f>+E342-W342</f>
        <v>3081.4</v>
      </c>
      <c r="AA342" s="1872">
        <f t="shared" si="135"/>
        <v>83321.055999999997</v>
      </c>
      <c r="AB342" s="1873">
        <f t="shared" si="136"/>
        <v>0.99999995199292946</v>
      </c>
      <c r="AC342" s="1418">
        <f t="shared" si="121"/>
        <v>4.0000000008149073E-3</v>
      </c>
      <c r="AD342" s="1418">
        <f t="shared" si="122"/>
        <v>0</v>
      </c>
      <c r="AE342" s="1418">
        <v>83321.055999999997</v>
      </c>
      <c r="AF342" s="1418">
        <f t="shared" si="123"/>
        <v>-4.0000000008149073E-3</v>
      </c>
      <c r="AG342" s="1418">
        <v>27.04</v>
      </c>
      <c r="AH342" s="1418">
        <f t="shared" si="124"/>
        <v>0</v>
      </c>
      <c r="AI342" s="1428"/>
      <c r="AO342" s="2504">
        <v>0</v>
      </c>
      <c r="AP342" s="1418">
        <f t="shared" si="131"/>
        <v>0</v>
      </c>
    </row>
    <row r="343" spans="1:42" s="1410" customFormat="1" ht="15.75">
      <c r="A343" s="2102"/>
      <c r="B343" s="2130" t="s">
        <v>978</v>
      </c>
      <c r="C343" s="1241" t="s">
        <v>3129</v>
      </c>
      <c r="D343" s="1245" t="s">
        <v>38</v>
      </c>
      <c r="E343" s="1413">
        <v>240.49</v>
      </c>
      <c r="F343" s="1555">
        <v>17.600000000000001</v>
      </c>
      <c r="G343" s="1480">
        <v>18.95</v>
      </c>
      <c r="H343" s="1414">
        <v>19.66</v>
      </c>
      <c r="I343" s="1477">
        <f t="shared" si="119"/>
        <v>4232.62</v>
      </c>
      <c r="J343" s="1477">
        <f t="shared" si="120"/>
        <v>4557.29</v>
      </c>
      <c r="K343" s="1477">
        <v>0</v>
      </c>
      <c r="L343" s="1477">
        <f t="shared" si="125"/>
        <v>0</v>
      </c>
      <c r="M343" s="1477">
        <v>240.49</v>
      </c>
      <c r="N343" s="1477">
        <f t="shared" si="126"/>
        <v>240.49</v>
      </c>
      <c r="O343" s="1477">
        <f t="shared" si="127"/>
        <v>0</v>
      </c>
      <c r="P343" s="1477">
        <f t="shared" si="128"/>
        <v>4557.29</v>
      </c>
      <c r="Q343" s="1477">
        <f t="shared" si="129"/>
        <v>4728.03</v>
      </c>
      <c r="R343" s="1576">
        <f t="shared" si="130"/>
        <v>4728.03</v>
      </c>
      <c r="S343" s="1869">
        <v>91.830000000000013</v>
      </c>
      <c r="T343" s="1866">
        <v>1805.3778000000002</v>
      </c>
      <c r="U343" s="2442"/>
      <c r="V343" s="1866">
        <f t="shared" si="132"/>
        <v>0</v>
      </c>
      <c r="W343" s="1869">
        <f>S343+U343</f>
        <v>91.830000000000013</v>
      </c>
      <c r="X343" s="1870">
        <f t="shared" si="133"/>
        <v>1805.3778000000002</v>
      </c>
      <c r="Y343" s="1871">
        <f t="shared" si="134"/>
        <v>0.38184567356806121</v>
      </c>
      <c r="Z343" s="1694">
        <f>+E343-W343</f>
        <v>148.66</v>
      </c>
      <c r="AA343" s="1872">
        <f t="shared" si="135"/>
        <v>2922.6556</v>
      </c>
      <c r="AB343" s="1873">
        <f t="shared" si="136"/>
        <v>0.61815504554751133</v>
      </c>
      <c r="AC343" s="1418">
        <f t="shared" si="121"/>
        <v>-3.4000000005107722E-3</v>
      </c>
      <c r="AD343" s="1418">
        <f t="shared" si="122"/>
        <v>0</v>
      </c>
      <c r="AE343" s="1418">
        <v>4728.0334000000003</v>
      </c>
      <c r="AF343" s="1418">
        <f t="shared" si="123"/>
        <v>3.4000000005107722E-3</v>
      </c>
      <c r="AG343" s="1418">
        <v>19.66</v>
      </c>
      <c r="AH343" s="1418">
        <f t="shared" si="124"/>
        <v>0</v>
      </c>
      <c r="AI343" s="1428"/>
      <c r="AO343" s="2504">
        <v>1805.3778000000002</v>
      </c>
      <c r="AP343" s="1418">
        <f t="shared" si="131"/>
        <v>0</v>
      </c>
    </row>
    <row r="344" spans="1:42" s="1231" customFormat="1" ht="15.75">
      <c r="A344" s="2103"/>
      <c r="B344" s="1263" t="s">
        <v>986</v>
      </c>
      <c r="C344" s="1264" t="s">
        <v>3130</v>
      </c>
      <c r="D344" s="1265"/>
      <c r="E344" s="1266"/>
      <c r="F344" s="1267"/>
      <c r="G344" s="1480"/>
      <c r="H344" s="1267"/>
      <c r="I344" s="1477">
        <f t="shared" si="119"/>
        <v>0</v>
      </c>
      <c r="J344" s="1477">
        <f t="shared" si="120"/>
        <v>0</v>
      </c>
      <c r="K344" s="1477"/>
      <c r="L344" s="1477">
        <f t="shared" si="125"/>
        <v>0</v>
      </c>
      <c r="M344" s="1477"/>
      <c r="N344" s="1477">
        <f t="shared" si="126"/>
        <v>0</v>
      </c>
      <c r="O344" s="1477">
        <f t="shared" si="127"/>
        <v>0</v>
      </c>
      <c r="P344" s="1477">
        <f t="shared" si="128"/>
        <v>0</v>
      </c>
      <c r="Q344" s="1477">
        <f t="shared" si="129"/>
        <v>0</v>
      </c>
      <c r="R344" s="1576">
        <f t="shared" si="130"/>
        <v>0</v>
      </c>
      <c r="S344" s="2452"/>
      <c r="T344" s="1866">
        <v>0</v>
      </c>
      <c r="U344" s="2442"/>
      <c r="V344" s="1866">
        <f t="shared" si="132"/>
        <v>0</v>
      </c>
      <c r="W344" s="2452"/>
      <c r="X344" s="1870">
        <f t="shared" si="133"/>
        <v>0</v>
      </c>
      <c r="Y344" s="1871" t="str">
        <f t="shared" si="134"/>
        <v/>
      </c>
      <c r="Z344" s="1694">
        <f>+E344-W344</f>
        <v>0</v>
      </c>
      <c r="AA344" s="1872">
        <f t="shared" si="135"/>
        <v>0</v>
      </c>
      <c r="AB344" s="1873" t="str">
        <f t="shared" si="136"/>
        <v/>
      </c>
      <c r="AC344" s="1418">
        <f t="shared" si="121"/>
        <v>0</v>
      </c>
      <c r="AD344" s="1418">
        <f t="shared" si="122"/>
        <v>0</v>
      </c>
      <c r="AE344" s="1230"/>
      <c r="AF344" s="1230">
        <f t="shared" si="123"/>
        <v>0</v>
      </c>
      <c r="AG344" s="1230"/>
      <c r="AH344" s="1418">
        <f t="shared" si="124"/>
        <v>0</v>
      </c>
      <c r="AI344" s="1346"/>
      <c r="AO344" s="1736">
        <v>0</v>
      </c>
      <c r="AP344" s="1418">
        <f t="shared" si="131"/>
        <v>0</v>
      </c>
    </row>
    <row r="345" spans="1:42" s="1410" customFormat="1" ht="15.75">
      <c r="A345" s="2102"/>
      <c r="B345" s="1268" t="s">
        <v>987</v>
      </c>
      <c r="C345" s="1241" t="s">
        <v>3131</v>
      </c>
      <c r="D345" s="1245" t="s">
        <v>37</v>
      </c>
      <c r="E345" s="1413">
        <v>324.88</v>
      </c>
      <c r="F345" s="1555">
        <v>74.3</v>
      </c>
      <c r="G345" s="1480">
        <v>76.42</v>
      </c>
      <c r="H345" s="1414">
        <v>77.510000000000005</v>
      </c>
      <c r="I345" s="1477">
        <f t="shared" si="119"/>
        <v>24138.58</v>
      </c>
      <c r="J345" s="1477">
        <f t="shared" si="120"/>
        <v>24827.33</v>
      </c>
      <c r="K345" s="1477">
        <v>0</v>
      </c>
      <c r="L345" s="1477">
        <f t="shared" si="125"/>
        <v>0</v>
      </c>
      <c r="M345" s="1477">
        <v>324.88</v>
      </c>
      <c r="N345" s="1477">
        <f t="shared" si="126"/>
        <v>324.88</v>
      </c>
      <c r="O345" s="1477">
        <f t="shared" si="127"/>
        <v>0</v>
      </c>
      <c r="P345" s="1477">
        <f t="shared" si="128"/>
        <v>24827.33</v>
      </c>
      <c r="Q345" s="1477">
        <f t="shared" si="129"/>
        <v>25181.45</v>
      </c>
      <c r="R345" s="1576">
        <f t="shared" si="130"/>
        <v>25181.45</v>
      </c>
      <c r="S345" s="1869">
        <v>0</v>
      </c>
      <c r="T345" s="1866">
        <v>0</v>
      </c>
      <c r="U345" s="2442"/>
      <c r="V345" s="1866">
        <f t="shared" si="132"/>
        <v>0</v>
      </c>
      <c r="W345" s="1869">
        <f>S345+U345</f>
        <v>0</v>
      </c>
      <c r="X345" s="1870">
        <f t="shared" si="133"/>
        <v>0</v>
      </c>
      <c r="Y345" s="1871">
        <f t="shared" si="134"/>
        <v>0</v>
      </c>
      <c r="Z345" s="1694">
        <f>+E345-W345</f>
        <v>324.88</v>
      </c>
      <c r="AA345" s="1872">
        <f t="shared" si="135"/>
        <v>25181.448800000002</v>
      </c>
      <c r="AB345" s="1873">
        <f t="shared" si="136"/>
        <v>0.99999995234587369</v>
      </c>
      <c r="AC345" s="1418">
        <f t="shared" si="121"/>
        <v>1.1999999987892807E-3</v>
      </c>
      <c r="AD345" s="1418">
        <f t="shared" si="122"/>
        <v>0</v>
      </c>
      <c r="AE345" s="1418">
        <v>25181.448800000002</v>
      </c>
      <c r="AF345" s="1418">
        <f t="shared" si="123"/>
        <v>-1.1999999987892807E-3</v>
      </c>
      <c r="AG345" s="1418">
        <v>77.510000000000005</v>
      </c>
      <c r="AH345" s="1418">
        <f t="shared" si="124"/>
        <v>0</v>
      </c>
      <c r="AI345" s="1428"/>
      <c r="AO345" s="2504">
        <v>0</v>
      </c>
      <c r="AP345" s="1418">
        <f t="shared" si="131"/>
        <v>0</v>
      </c>
    </row>
    <row r="346" spans="1:42" s="1231" customFormat="1" ht="15.75">
      <c r="A346" s="2103"/>
      <c r="B346" s="1263" t="s">
        <v>989</v>
      </c>
      <c r="C346" s="1264" t="s">
        <v>3132</v>
      </c>
      <c r="D346" s="1265"/>
      <c r="E346" s="1266"/>
      <c r="F346" s="1267"/>
      <c r="G346" s="1480"/>
      <c r="H346" s="1267"/>
      <c r="I346" s="1477">
        <f t="shared" si="119"/>
        <v>0</v>
      </c>
      <c r="J346" s="1477">
        <f t="shared" si="120"/>
        <v>0</v>
      </c>
      <c r="K346" s="1477"/>
      <c r="L346" s="1477">
        <f t="shared" si="125"/>
        <v>0</v>
      </c>
      <c r="M346" s="1477"/>
      <c r="N346" s="1477">
        <f t="shared" si="126"/>
        <v>0</v>
      </c>
      <c r="O346" s="1477">
        <f t="shared" si="127"/>
        <v>0</v>
      </c>
      <c r="P346" s="1477">
        <f t="shared" si="128"/>
        <v>0</v>
      </c>
      <c r="Q346" s="1477">
        <f t="shared" si="129"/>
        <v>0</v>
      </c>
      <c r="R346" s="1576">
        <f t="shared" si="130"/>
        <v>0</v>
      </c>
      <c r="S346" s="2452"/>
      <c r="T346" s="1866"/>
      <c r="U346" s="2442"/>
      <c r="V346" s="1866">
        <f t="shared" si="132"/>
        <v>0</v>
      </c>
      <c r="W346" s="2452"/>
      <c r="X346" s="1870"/>
      <c r="Y346" s="1871" t="str">
        <f t="shared" si="134"/>
        <v/>
      </c>
      <c r="Z346" s="1694"/>
      <c r="AA346" s="1872">
        <f t="shared" si="135"/>
        <v>0</v>
      </c>
      <c r="AB346" s="1873" t="str">
        <f t="shared" si="136"/>
        <v/>
      </c>
      <c r="AC346" s="1418">
        <f t="shared" si="121"/>
        <v>0</v>
      </c>
      <c r="AD346" s="1418">
        <f t="shared" si="122"/>
        <v>0</v>
      </c>
      <c r="AE346" s="1230"/>
      <c r="AF346" s="1230">
        <f t="shared" si="123"/>
        <v>0</v>
      </c>
      <c r="AG346" s="1230"/>
      <c r="AH346" s="1418">
        <f t="shared" si="124"/>
        <v>0</v>
      </c>
      <c r="AI346" s="1346"/>
      <c r="AO346" s="1736"/>
      <c r="AP346" s="1418">
        <f t="shared" si="131"/>
        <v>0</v>
      </c>
    </row>
    <row r="347" spans="1:42" s="1410" customFormat="1" ht="15.75">
      <c r="A347" s="2102"/>
      <c r="B347" s="1268" t="s">
        <v>990</v>
      </c>
      <c r="C347" s="1241" t="s">
        <v>3133</v>
      </c>
      <c r="D347" s="1245" t="s">
        <v>37</v>
      </c>
      <c r="E347" s="1413">
        <v>123.96</v>
      </c>
      <c r="F347" s="1555">
        <v>414.68</v>
      </c>
      <c r="G347" s="1480">
        <v>434</v>
      </c>
      <c r="H347" s="1414">
        <v>444.73</v>
      </c>
      <c r="I347" s="1477">
        <f t="shared" si="119"/>
        <v>51403.73</v>
      </c>
      <c r="J347" s="1477">
        <f t="shared" si="120"/>
        <v>53798.64</v>
      </c>
      <c r="K347" s="1477">
        <v>0</v>
      </c>
      <c r="L347" s="1477">
        <f t="shared" si="125"/>
        <v>0</v>
      </c>
      <c r="M347" s="1477">
        <v>123.96</v>
      </c>
      <c r="N347" s="1477">
        <f t="shared" si="126"/>
        <v>123.96</v>
      </c>
      <c r="O347" s="1477">
        <f t="shared" si="127"/>
        <v>0</v>
      </c>
      <c r="P347" s="1477">
        <f t="shared" si="128"/>
        <v>53798.64</v>
      </c>
      <c r="Q347" s="1477">
        <f t="shared" si="129"/>
        <v>55128.73</v>
      </c>
      <c r="R347" s="1576">
        <f t="shared" si="130"/>
        <v>55128.73</v>
      </c>
      <c r="S347" s="1869">
        <v>123.96</v>
      </c>
      <c r="T347" s="1866">
        <v>55128.730799999998</v>
      </c>
      <c r="U347" s="2442"/>
      <c r="V347" s="1866">
        <f t="shared" si="132"/>
        <v>0</v>
      </c>
      <c r="W347" s="1869">
        <f t="shared" ref="W347:W353" si="137">S347+U347</f>
        <v>123.96</v>
      </c>
      <c r="X347" s="1870">
        <f t="shared" si="133"/>
        <v>55128.730799999998</v>
      </c>
      <c r="Y347" s="1871">
        <f t="shared" si="134"/>
        <v>1.0000000145114896</v>
      </c>
      <c r="Z347" s="1694">
        <f t="shared" ref="Z347:Z353" si="138">+E347-W347</f>
        <v>0</v>
      </c>
      <c r="AA347" s="1872">
        <f t="shared" si="135"/>
        <v>0</v>
      </c>
      <c r="AB347" s="1873">
        <f t="shared" si="136"/>
        <v>0</v>
      </c>
      <c r="AC347" s="1418">
        <f t="shared" si="121"/>
        <v>-7.9999999434221536E-4</v>
      </c>
      <c r="AD347" s="1418">
        <f t="shared" si="122"/>
        <v>0</v>
      </c>
      <c r="AE347" s="1418">
        <v>55128.730800000005</v>
      </c>
      <c r="AF347" s="1418">
        <f t="shared" si="123"/>
        <v>8.0000000161817297E-4</v>
      </c>
      <c r="AG347" s="1418">
        <v>444.73</v>
      </c>
      <c r="AH347" s="1418">
        <f t="shared" si="124"/>
        <v>0</v>
      </c>
      <c r="AI347" s="1428"/>
      <c r="AO347" s="2504">
        <v>55128.730799999998</v>
      </c>
      <c r="AP347" s="1418">
        <f t="shared" si="131"/>
        <v>0</v>
      </c>
    </row>
    <row r="348" spans="1:42" s="1410" customFormat="1" ht="15.75">
      <c r="A348" s="2102"/>
      <c r="B348" s="1268" t="s">
        <v>993</v>
      </c>
      <c r="C348" s="1241" t="s">
        <v>3134</v>
      </c>
      <c r="D348" s="1245" t="s">
        <v>37</v>
      </c>
      <c r="E348" s="1413">
        <v>18</v>
      </c>
      <c r="F348" s="1555">
        <v>400.92</v>
      </c>
      <c r="G348" s="1480">
        <v>420.24</v>
      </c>
      <c r="H348" s="1414">
        <v>430.97</v>
      </c>
      <c r="I348" s="1477">
        <f t="shared" si="119"/>
        <v>7216.56</v>
      </c>
      <c r="J348" s="1477">
        <f t="shared" si="120"/>
        <v>7564.32</v>
      </c>
      <c r="K348" s="1477">
        <v>0</v>
      </c>
      <c r="L348" s="1477">
        <f t="shared" si="125"/>
        <v>0</v>
      </c>
      <c r="M348" s="1477">
        <v>18</v>
      </c>
      <c r="N348" s="1477">
        <f t="shared" si="126"/>
        <v>18</v>
      </c>
      <c r="O348" s="1477">
        <f t="shared" si="127"/>
        <v>0</v>
      </c>
      <c r="P348" s="1477">
        <f t="shared" si="128"/>
        <v>7564.32</v>
      </c>
      <c r="Q348" s="1477">
        <f t="shared" si="129"/>
        <v>7757.46</v>
      </c>
      <c r="R348" s="1576">
        <f t="shared" si="130"/>
        <v>7757.46</v>
      </c>
      <c r="S348" s="1869">
        <v>18</v>
      </c>
      <c r="T348" s="1866">
        <v>7757.4600000000009</v>
      </c>
      <c r="U348" s="2442"/>
      <c r="V348" s="1866">
        <f t="shared" si="132"/>
        <v>0</v>
      </c>
      <c r="W348" s="1869">
        <f t="shared" si="137"/>
        <v>18</v>
      </c>
      <c r="X348" s="1870">
        <f t="shared" si="133"/>
        <v>7757.4600000000009</v>
      </c>
      <c r="Y348" s="1871">
        <f t="shared" si="134"/>
        <v>1.0000000000000002</v>
      </c>
      <c r="Z348" s="1694">
        <f t="shared" si="138"/>
        <v>0</v>
      </c>
      <c r="AA348" s="1872">
        <f t="shared" si="135"/>
        <v>0</v>
      </c>
      <c r="AB348" s="1873">
        <f t="shared" si="136"/>
        <v>0</v>
      </c>
      <c r="AC348" s="1418">
        <f t="shared" si="121"/>
        <v>-9.0949470177292824E-13</v>
      </c>
      <c r="AD348" s="1418">
        <f t="shared" si="122"/>
        <v>0</v>
      </c>
      <c r="AE348" s="1418">
        <v>7757.4600000000009</v>
      </c>
      <c r="AF348" s="1418">
        <f t="shared" si="123"/>
        <v>0</v>
      </c>
      <c r="AG348" s="1418">
        <v>430.97</v>
      </c>
      <c r="AH348" s="1418">
        <f t="shared" si="124"/>
        <v>0</v>
      </c>
      <c r="AI348" s="1428"/>
      <c r="AO348" s="2504">
        <v>7757.4600000000009</v>
      </c>
      <c r="AP348" s="1418">
        <f t="shared" si="131"/>
        <v>0</v>
      </c>
    </row>
    <row r="349" spans="1:42" s="1410" customFormat="1" ht="15.75">
      <c r="A349" s="2102"/>
      <c r="B349" s="1268" t="s">
        <v>996</v>
      </c>
      <c r="C349" s="1241" t="s">
        <v>3135</v>
      </c>
      <c r="D349" s="1245" t="s">
        <v>37</v>
      </c>
      <c r="E349" s="1413">
        <v>7.25</v>
      </c>
      <c r="F349" s="1555">
        <v>340.02</v>
      </c>
      <c r="G349" s="1480">
        <v>359.34</v>
      </c>
      <c r="H349" s="1414">
        <v>370.07</v>
      </c>
      <c r="I349" s="1477">
        <f t="shared" si="119"/>
        <v>2465.15</v>
      </c>
      <c r="J349" s="1477">
        <f t="shared" si="120"/>
        <v>2605.2199999999998</v>
      </c>
      <c r="K349" s="1477">
        <v>0</v>
      </c>
      <c r="L349" s="1477">
        <f t="shared" si="125"/>
        <v>0</v>
      </c>
      <c r="M349" s="1477">
        <v>7.25</v>
      </c>
      <c r="N349" s="1477">
        <f t="shared" si="126"/>
        <v>7.25</v>
      </c>
      <c r="O349" s="1477">
        <f t="shared" si="127"/>
        <v>0</v>
      </c>
      <c r="P349" s="1477">
        <f t="shared" si="128"/>
        <v>2605.2199999999998</v>
      </c>
      <c r="Q349" s="1477">
        <f t="shared" si="129"/>
        <v>2683.01</v>
      </c>
      <c r="R349" s="1576">
        <f t="shared" si="130"/>
        <v>2683.01</v>
      </c>
      <c r="S349" s="1869">
        <v>7.25</v>
      </c>
      <c r="T349" s="1866">
        <v>2683.0075000000002</v>
      </c>
      <c r="U349" s="2442"/>
      <c r="V349" s="1866">
        <f t="shared" si="132"/>
        <v>0</v>
      </c>
      <c r="W349" s="1869">
        <f t="shared" si="137"/>
        <v>7.25</v>
      </c>
      <c r="X349" s="1870">
        <f t="shared" si="133"/>
        <v>2683.0075000000002</v>
      </c>
      <c r="Y349" s="1871">
        <f t="shared" si="134"/>
        <v>0.99999906821070361</v>
      </c>
      <c r="Z349" s="1694">
        <f t="shared" si="138"/>
        <v>0</v>
      </c>
      <c r="AA349" s="1872">
        <f t="shared" si="135"/>
        <v>0</v>
      </c>
      <c r="AB349" s="1873">
        <f t="shared" si="136"/>
        <v>0</v>
      </c>
      <c r="AC349" s="1418">
        <f t="shared" si="121"/>
        <v>2.5000000000545697E-3</v>
      </c>
      <c r="AD349" s="1418">
        <f t="shared" si="122"/>
        <v>0</v>
      </c>
      <c r="AE349" s="1418">
        <v>2683.0075000000002</v>
      </c>
      <c r="AF349" s="1418">
        <f t="shared" si="123"/>
        <v>-2.5000000000545697E-3</v>
      </c>
      <c r="AG349" s="1418">
        <v>370.07</v>
      </c>
      <c r="AH349" s="1418">
        <f t="shared" si="124"/>
        <v>0</v>
      </c>
      <c r="AI349" s="1428"/>
      <c r="AO349" s="2504">
        <v>2683.0075000000002</v>
      </c>
      <c r="AP349" s="1418">
        <f t="shared" si="131"/>
        <v>0</v>
      </c>
    </row>
    <row r="350" spans="1:42" s="1410" customFormat="1" ht="15.75">
      <c r="A350" s="2102"/>
      <c r="B350" s="1268" t="s">
        <v>998</v>
      </c>
      <c r="C350" s="1241" t="s">
        <v>3136</v>
      </c>
      <c r="D350" s="1245" t="s">
        <v>37</v>
      </c>
      <c r="E350" s="1413">
        <v>112.28</v>
      </c>
      <c r="F350" s="1555">
        <v>327.10000000000002</v>
      </c>
      <c r="G350" s="1480">
        <v>346.42</v>
      </c>
      <c r="H350" s="1414">
        <v>357.15</v>
      </c>
      <c r="I350" s="1477">
        <f t="shared" si="119"/>
        <v>36726.79</v>
      </c>
      <c r="J350" s="1477">
        <f t="shared" si="120"/>
        <v>38896.04</v>
      </c>
      <c r="K350" s="1477">
        <v>0</v>
      </c>
      <c r="L350" s="1477">
        <f t="shared" si="125"/>
        <v>0</v>
      </c>
      <c r="M350" s="1477">
        <v>112.28</v>
      </c>
      <c r="N350" s="1477">
        <f t="shared" si="126"/>
        <v>112.28</v>
      </c>
      <c r="O350" s="1477">
        <f t="shared" si="127"/>
        <v>0</v>
      </c>
      <c r="P350" s="1477">
        <f t="shared" si="128"/>
        <v>38896.04</v>
      </c>
      <c r="Q350" s="1477">
        <f t="shared" si="129"/>
        <v>40100.800000000003</v>
      </c>
      <c r="R350" s="1576">
        <f t="shared" si="130"/>
        <v>40100.800000000003</v>
      </c>
      <c r="S350" s="1869">
        <v>112.28</v>
      </c>
      <c r="T350" s="1866">
        <v>40100.801999999996</v>
      </c>
      <c r="U350" s="2442"/>
      <c r="V350" s="1866">
        <f t="shared" si="132"/>
        <v>0</v>
      </c>
      <c r="W350" s="1869">
        <f t="shared" si="137"/>
        <v>112.28</v>
      </c>
      <c r="X350" s="1870">
        <f t="shared" si="133"/>
        <v>40100.801999999996</v>
      </c>
      <c r="Y350" s="1871">
        <f t="shared" si="134"/>
        <v>1.0000000498743165</v>
      </c>
      <c r="Z350" s="1694">
        <f t="shared" si="138"/>
        <v>0</v>
      </c>
      <c r="AA350" s="1872">
        <f t="shared" si="135"/>
        <v>0</v>
      </c>
      <c r="AB350" s="1873">
        <f t="shared" si="136"/>
        <v>0</v>
      </c>
      <c r="AC350" s="1418">
        <f t="shared" si="121"/>
        <v>-1.999999993131496E-3</v>
      </c>
      <c r="AD350" s="1418">
        <f t="shared" si="122"/>
        <v>0</v>
      </c>
      <c r="AE350" s="1418">
        <v>40100.801999999996</v>
      </c>
      <c r="AF350" s="1418">
        <f t="shared" si="123"/>
        <v>1.999999993131496E-3</v>
      </c>
      <c r="AG350" s="1418">
        <v>357.15</v>
      </c>
      <c r="AH350" s="1418">
        <f t="shared" si="124"/>
        <v>0</v>
      </c>
      <c r="AI350" s="1428"/>
      <c r="AO350" s="2504">
        <v>40100.801999999996</v>
      </c>
      <c r="AP350" s="1418">
        <f t="shared" si="131"/>
        <v>0</v>
      </c>
    </row>
    <row r="351" spans="1:42" s="1410" customFormat="1" ht="15.75">
      <c r="A351" s="2102"/>
      <c r="B351" s="1268" t="s">
        <v>2431</v>
      </c>
      <c r="C351" s="1241" t="s">
        <v>3137</v>
      </c>
      <c r="D351" s="1245" t="s">
        <v>37</v>
      </c>
      <c r="E351" s="1413">
        <v>74.34</v>
      </c>
      <c r="F351" s="1555">
        <v>344.3</v>
      </c>
      <c r="G351" s="1480">
        <v>363.62</v>
      </c>
      <c r="H351" s="1414">
        <v>374.35</v>
      </c>
      <c r="I351" s="1477">
        <f t="shared" si="119"/>
        <v>25595.26</v>
      </c>
      <c r="J351" s="1477">
        <f t="shared" si="120"/>
        <v>27031.51</v>
      </c>
      <c r="K351" s="1477">
        <v>0</v>
      </c>
      <c r="L351" s="1477">
        <f t="shared" si="125"/>
        <v>0</v>
      </c>
      <c r="M351" s="1477">
        <v>74.34</v>
      </c>
      <c r="N351" s="1477">
        <f t="shared" si="126"/>
        <v>74.34</v>
      </c>
      <c r="O351" s="1477">
        <f t="shared" si="127"/>
        <v>0</v>
      </c>
      <c r="P351" s="1477">
        <f t="shared" si="128"/>
        <v>27031.51</v>
      </c>
      <c r="Q351" s="1477">
        <f t="shared" si="129"/>
        <v>27829.18</v>
      </c>
      <c r="R351" s="1576">
        <f t="shared" si="130"/>
        <v>27829.18</v>
      </c>
      <c r="S351" s="1869">
        <v>74.34</v>
      </c>
      <c r="T351" s="1866">
        <v>27829.179000000004</v>
      </c>
      <c r="U351" s="2442"/>
      <c r="V351" s="1866">
        <f t="shared" si="132"/>
        <v>0</v>
      </c>
      <c r="W351" s="1869">
        <f t="shared" si="137"/>
        <v>74.34</v>
      </c>
      <c r="X351" s="1870">
        <f t="shared" si="133"/>
        <v>27829.179000000004</v>
      </c>
      <c r="Y351" s="1871">
        <f t="shared" si="134"/>
        <v>0.99999996406649438</v>
      </c>
      <c r="Z351" s="1694">
        <f t="shared" si="138"/>
        <v>0</v>
      </c>
      <c r="AA351" s="1872">
        <f t="shared" si="135"/>
        <v>0</v>
      </c>
      <c r="AB351" s="1873">
        <f t="shared" si="136"/>
        <v>0</v>
      </c>
      <c r="AC351" s="1418">
        <f t="shared" si="121"/>
        <v>9.9999999656574801E-4</v>
      </c>
      <c r="AD351" s="1418">
        <f t="shared" si="122"/>
        <v>0</v>
      </c>
      <c r="AE351" s="1418">
        <v>27829.179000000004</v>
      </c>
      <c r="AF351" s="1418">
        <f t="shared" si="123"/>
        <v>-9.9999999656574801E-4</v>
      </c>
      <c r="AG351" s="1418">
        <v>374.35</v>
      </c>
      <c r="AH351" s="1418">
        <f t="shared" si="124"/>
        <v>0</v>
      </c>
      <c r="AI351" s="1428"/>
      <c r="AO351" s="2504">
        <v>27829.179000000004</v>
      </c>
      <c r="AP351" s="1418">
        <f t="shared" si="131"/>
        <v>0</v>
      </c>
    </row>
    <row r="352" spans="1:42" s="1410" customFormat="1" ht="15.75">
      <c r="A352" s="2102"/>
      <c r="B352" s="1268" t="s">
        <v>2432</v>
      </c>
      <c r="C352" s="1241" t="s">
        <v>3138</v>
      </c>
      <c r="D352" s="1245" t="s">
        <v>37</v>
      </c>
      <c r="E352" s="1413">
        <v>2.93</v>
      </c>
      <c r="F352" s="1555">
        <v>340.02</v>
      </c>
      <c r="G352" s="1480">
        <v>359.34</v>
      </c>
      <c r="H352" s="1414">
        <v>370.07</v>
      </c>
      <c r="I352" s="1477">
        <f t="shared" si="119"/>
        <v>996.26</v>
      </c>
      <c r="J352" s="1477">
        <f t="shared" si="120"/>
        <v>1052.8699999999999</v>
      </c>
      <c r="K352" s="1477">
        <v>0</v>
      </c>
      <c r="L352" s="1477">
        <f t="shared" si="125"/>
        <v>0</v>
      </c>
      <c r="M352" s="1477">
        <v>2.93</v>
      </c>
      <c r="N352" s="1477">
        <f t="shared" si="126"/>
        <v>2.93</v>
      </c>
      <c r="O352" s="1477">
        <f t="shared" si="127"/>
        <v>0</v>
      </c>
      <c r="P352" s="1477">
        <f t="shared" si="128"/>
        <v>1052.8699999999999</v>
      </c>
      <c r="Q352" s="1477">
        <f t="shared" si="129"/>
        <v>1084.31</v>
      </c>
      <c r="R352" s="1576">
        <f t="shared" si="130"/>
        <v>1084.31</v>
      </c>
      <c r="S352" s="1869">
        <v>2.2000000000000002</v>
      </c>
      <c r="T352" s="1866">
        <v>814.154</v>
      </c>
      <c r="U352" s="2442"/>
      <c r="V352" s="1866">
        <f t="shared" si="132"/>
        <v>0</v>
      </c>
      <c r="W352" s="1869">
        <f t="shared" si="137"/>
        <v>2.2000000000000002</v>
      </c>
      <c r="X352" s="1870">
        <f t="shared" si="133"/>
        <v>814.154</v>
      </c>
      <c r="Y352" s="1871">
        <f t="shared" si="134"/>
        <v>0.75084984921286346</v>
      </c>
      <c r="Z352" s="1694">
        <f t="shared" si="138"/>
        <v>0.73</v>
      </c>
      <c r="AA352" s="1872">
        <f t="shared" si="135"/>
        <v>270.15109999999999</v>
      </c>
      <c r="AB352" s="1873">
        <f t="shared" si="136"/>
        <v>0.24914563178426832</v>
      </c>
      <c r="AC352" s="1418">
        <f t="shared" si="121"/>
        <v>4.8999999999637112E-3</v>
      </c>
      <c r="AD352" s="1418">
        <f t="shared" si="122"/>
        <v>0</v>
      </c>
      <c r="AE352" s="1418">
        <v>1084.3051</v>
      </c>
      <c r="AF352" s="1418">
        <f t="shared" si="123"/>
        <v>-4.8999999999068677E-3</v>
      </c>
      <c r="AG352" s="1418">
        <v>370.07</v>
      </c>
      <c r="AH352" s="1418">
        <f t="shared" si="124"/>
        <v>0</v>
      </c>
      <c r="AI352" s="1428"/>
      <c r="AO352" s="2504">
        <v>814.154</v>
      </c>
      <c r="AP352" s="1418">
        <f t="shared" si="131"/>
        <v>0</v>
      </c>
    </row>
    <row r="353" spans="1:42" s="1410" customFormat="1" ht="15.75">
      <c r="A353" s="2102"/>
      <c r="B353" s="1268" t="s">
        <v>2433</v>
      </c>
      <c r="C353" s="1241" t="s">
        <v>3139</v>
      </c>
      <c r="D353" s="1245" t="s">
        <v>37</v>
      </c>
      <c r="E353" s="1413">
        <v>38.32</v>
      </c>
      <c r="F353" s="1555">
        <v>287.24</v>
      </c>
      <c r="G353" s="1480">
        <v>288.41000000000003</v>
      </c>
      <c r="H353" s="1414">
        <v>289</v>
      </c>
      <c r="I353" s="1477">
        <f t="shared" si="119"/>
        <v>11007.04</v>
      </c>
      <c r="J353" s="1477">
        <f t="shared" si="120"/>
        <v>11051.87</v>
      </c>
      <c r="K353" s="1477">
        <v>0</v>
      </c>
      <c r="L353" s="1477">
        <f t="shared" si="125"/>
        <v>0</v>
      </c>
      <c r="M353" s="1477">
        <v>38.32</v>
      </c>
      <c r="N353" s="1477">
        <f t="shared" si="126"/>
        <v>38.32</v>
      </c>
      <c r="O353" s="1477">
        <f t="shared" si="127"/>
        <v>0</v>
      </c>
      <c r="P353" s="1477">
        <f t="shared" si="128"/>
        <v>11051.87</v>
      </c>
      <c r="Q353" s="1477">
        <f t="shared" si="129"/>
        <v>11074.48</v>
      </c>
      <c r="R353" s="1576">
        <f t="shared" si="130"/>
        <v>11074.48</v>
      </c>
      <c r="S353" s="1869">
        <v>0</v>
      </c>
      <c r="T353" s="1866">
        <v>0</v>
      </c>
      <c r="U353" s="2442"/>
      <c r="V353" s="1866">
        <f t="shared" si="132"/>
        <v>0</v>
      </c>
      <c r="W353" s="1869">
        <f t="shared" si="137"/>
        <v>0</v>
      </c>
      <c r="X353" s="1870">
        <f t="shared" si="133"/>
        <v>0</v>
      </c>
      <c r="Y353" s="1871">
        <f t="shared" si="134"/>
        <v>0</v>
      </c>
      <c r="Z353" s="1694">
        <f t="shared" si="138"/>
        <v>38.32</v>
      </c>
      <c r="AA353" s="1872">
        <f t="shared" si="135"/>
        <v>11074.48</v>
      </c>
      <c r="AB353" s="1873">
        <f t="shared" si="136"/>
        <v>1</v>
      </c>
      <c r="AC353" s="1418">
        <f t="shared" si="121"/>
        <v>0</v>
      </c>
      <c r="AD353" s="1418">
        <f t="shared" si="122"/>
        <v>0</v>
      </c>
      <c r="AE353" s="1418">
        <v>11074.48</v>
      </c>
      <c r="AF353" s="1418">
        <f t="shared" si="123"/>
        <v>0</v>
      </c>
      <c r="AG353" s="1418">
        <v>289</v>
      </c>
      <c r="AH353" s="1418">
        <f t="shared" si="124"/>
        <v>0</v>
      </c>
      <c r="AI353" s="1428"/>
      <c r="AO353" s="2504">
        <v>0</v>
      </c>
      <c r="AP353" s="1418">
        <f t="shared" si="131"/>
        <v>0</v>
      </c>
    </row>
    <row r="354" spans="1:42" s="1231" customFormat="1" ht="15.75">
      <c r="A354" s="2103"/>
      <c r="B354" s="1263" t="s">
        <v>1001</v>
      </c>
      <c r="C354" s="1264" t="s">
        <v>3140</v>
      </c>
      <c r="D354" s="1265"/>
      <c r="E354" s="1266"/>
      <c r="F354" s="1267"/>
      <c r="G354" s="1480"/>
      <c r="H354" s="1267"/>
      <c r="I354" s="1477">
        <f t="shared" si="119"/>
        <v>0</v>
      </c>
      <c r="J354" s="1477">
        <f t="shared" si="120"/>
        <v>0</v>
      </c>
      <c r="K354" s="1477"/>
      <c r="L354" s="1477">
        <f t="shared" si="125"/>
        <v>0</v>
      </c>
      <c r="M354" s="1477"/>
      <c r="N354" s="1477">
        <f t="shared" si="126"/>
        <v>0</v>
      </c>
      <c r="O354" s="1477">
        <f t="shared" si="127"/>
        <v>0</v>
      </c>
      <c r="P354" s="1477">
        <f t="shared" si="128"/>
        <v>0</v>
      </c>
      <c r="Q354" s="1477">
        <f t="shared" si="129"/>
        <v>0</v>
      </c>
      <c r="R354" s="1576">
        <f t="shared" si="130"/>
        <v>0</v>
      </c>
      <c r="S354" s="2452"/>
      <c r="T354" s="1866"/>
      <c r="U354" s="2442"/>
      <c r="V354" s="1866">
        <f t="shared" si="132"/>
        <v>0</v>
      </c>
      <c r="W354" s="2452"/>
      <c r="X354" s="1870"/>
      <c r="Y354" s="1871" t="str">
        <f t="shared" si="134"/>
        <v/>
      </c>
      <c r="Z354" s="1694"/>
      <c r="AA354" s="1872">
        <f t="shared" si="135"/>
        <v>0</v>
      </c>
      <c r="AB354" s="1873" t="str">
        <f t="shared" si="136"/>
        <v/>
      </c>
      <c r="AC354" s="1418">
        <f t="shared" si="121"/>
        <v>0</v>
      </c>
      <c r="AD354" s="1418">
        <f t="shared" si="122"/>
        <v>0</v>
      </c>
      <c r="AE354" s="1230"/>
      <c r="AF354" s="1230">
        <f t="shared" si="123"/>
        <v>0</v>
      </c>
      <c r="AG354" s="1230"/>
      <c r="AH354" s="1418">
        <f t="shared" si="124"/>
        <v>0</v>
      </c>
      <c r="AI354" s="1346"/>
      <c r="AO354" s="1736"/>
      <c r="AP354" s="1418">
        <f t="shared" si="131"/>
        <v>0</v>
      </c>
    </row>
    <row r="355" spans="1:42" s="1410" customFormat="1" ht="15.75">
      <c r="A355" s="2102"/>
      <c r="B355" s="1272" t="s">
        <v>1002</v>
      </c>
      <c r="C355" s="1262" t="s">
        <v>3141</v>
      </c>
      <c r="D355" s="1273"/>
      <c r="E355" s="1415"/>
      <c r="F355" s="1267"/>
      <c r="G355" s="1480"/>
      <c r="H355" s="1416"/>
      <c r="I355" s="1477">
        <f t="shared" si="119"/>
        <v>0</v>
      </c>
      <c r="J355" s="1477">
        <f t="shared" si="120"/>
        <v>0</v>
      </c>
      <c r="K355" s="1477"/>
      <c r="L355" s="1477">
        <f t="shared" si="125"/>
        <v>0</v>
      </c>
      <c r="M355" s="1477"/>
      <c r="N355" s="1477">
        <f t="shared" si="126"/>
        <v>0</v>
      </c>
      <c r="O355" s="1477">
        <f t="shared" si="127"/>
        <v>0</v>
      </c>
      <c r="P355" s="1477">
        <f t="shared" si="128"/>
        <v>0</v>
      </c>
      <c r="Q355" s="1477">
        <f t="shared" si="129"/>
        <v>0</v>
      </c>
      <c r="R355" s="1576">
        <f t="shared" si="130"/>
        <v>0</v>
      </c>
      <c r="S355" s="1869"/>
      <c r="T355" s="1866"/>
      <c r="U355" s="2442"/>
      <c r="V355" s="1866">
        <f t="shared" si="132"/>
        <v>0</v>
      </c>
      <c r="W355" s="1869"/>
      <c r="X355" s="1870"/>
      <c r="Y355" s="1871" t="str">
        <f t="shared" si="134"/>
        <v/>
      </c>
      <c r="Z355" s="1694"/>
      <c r="AA355" s="1872">
        <f t="shared" si="135"/>
        <v>0</v>
      </c>
      <c r="AB355" s="1873" t="str">
        <f t="shared" si="136"/>
        <v/>
      </c>
      <c r="AC355" s="1418">
        <f t="shared" si="121"/>
        <v>0</v>
      </c>
      <c r="AD355" s="1418">
        <f t="shared" si="122"/>
        <v>0</v>
      </c>
      <c r="AE355" s="1418"/>
      <c r="AF355" s="1418">
        <f t="shared" si="123"/>
        <v>0</v>
      </c>
      <c r="AG355" s="1418"/>
      <c r="AH355" s="1418">
        <f t="shared" si="124"/>
        <v>0</v>
      </c>
      <c r="AI355" s="1428"/>
      <c r="AO355" s="2504"/>
      <c r="AP355" s="1418">
        <f t="shared" si="131"/>
        <v>0</v>
      </c>
    </row>
    <row r="356" spans="1:42" s="1410" customFormat="1" ht="15.75">
      <c r="A356" s="2102"/>
      <c r="B356" s="1268" t="s">
        <v>1003</v>
      </c>
      <c r="C356" s="1241" t="s">
        <v>3142</v>
      </c>
      <c r="D356" s="1245" t="s">
        <v>36</v>
      </c>
      <c r="E356" s="1413">
        <v>74</v>
      </c>
      <c r="F356" s="1555">
        <v>684.94</v>
      </c>
      <c r="G356" s="1480">
        <v>701.77</v>
      </c>
      <c r="H356" s="1414">
        <v>710.96</v>
      </c>
      <c r="I356" s="1477">
        <f t="shared" si="119"/>
        <v>50685.56</v>
      </c>
      <c r="J356" s="1477">
        <f t="shared" si="120"/>
        <v>51930.98</v>
      </c>
      <c r="K356" s="1477">
        <v>0</v>
      </c>
      <c r="L356" s="1477">
        <f t="shared" si="125"/>
        <v>0</v>
      </c>
      <c r="M356" s="1477">
        <v>74</v>
      </c>
      <c r="N356" s="1477">
        <f t="shared" si="126"/>
        <v>74</v>
      </c>
      <c r="O356" s="1477">
        <f t="shared" si="127"/>
        <v>0</v>
      </c>
      <c r="P356" s="1477">
        <f t="shared" si="128"/>
        <v>51930.98</v>
      </c>
      <c r="Q356" s="1477">
        <f t="shared" si="129"/>
        <v>52611.040000000001</v>
      </c>
      <c r="R356" s="1576">
        <f t="shared" si="130"/>
        <v>52611.040000000001</v>
      </c>
      <c r="S356" s="1869">
        <v>0</v>
      </c>
      <c r="T356" s="1866">
        <v>0</v>
      </c>
      <c r="U356" s="2442"/>
      <c r="V356" s="1866">
        <f t="shared" si="132"/>
        <v>0</v>
      </c>
      <c r="W356" s="1869">
        <f>S356+U356</f>
        <v>0</v>
      </c>
      <c r="X356" s="1870">
        <f t="shared" si="133"/>
        <v>0</v>
      </c>
      <c r="Y356" s="1871">
        <f t="shared" si="134"/>
        <v>0</v>
      </c>
      <c r="Z356" s="1694">
        <f>+E356-W356</f>
        <v>74</v>
      </c>
      <c r="AA356" s="1872">
        <f t="shared" si="135"/>
        <v>52611.040000000001</v>
      </c>
      <c r="AB356" s="1873">
        <f t="shared" si="136"/>
        <v>1</v>
      </c>
      <c r="AC356" s="1418">
        <f t="shared" si="121"/>
        <v>0</v>
      </c>
      <c r="AD356" s="1418">
        <f t="shared" si="122"/>
        <v>0</v>
      </c>
      <c r="AE356" s="1418">
        <v>52611.040000000001</v>
      </c>
      <c r="AF356" s="1418">
        <f t="shared" si="123"/>
        <v>0</v>
      </c>
      <c r="AG356" s="1418">
        <v>710.96</v>
      </c>
      <c r="AH356" s="1418">
        <f t="shared" si="124"/>
        <v>0</v>
      </c>
      <c r="AI356" s="1428"/>
      <c r="AO356" s="2504">
        <v>0</v>
      </c>
      <c r="AP356" s="1418">
        <f t="shared" si="131"/>
        <v>0</v>
      </c>
    </row>
    <row r="357" spans="1:42" s="1410" customFormat="1" ht="15.75">
      <c r="A357" s="2102"/>
      <c r="B357" s="1268" t="s">
        <v>2434</v>
      </c>
      <c r="C357" s="1241" t="s">
        <v>3143</v>
      </c>
      <c r="D357" s="1245" t="s">
        <v>36</v>
      </c>
      <c r="E357" s="1413">
        <v>18</v>
      </c>
      <c r="F357" s="1555">
        <v>641.98</v>
      </c>
      <c r="G357" s="1480">
        <v>658.81</v>
      </c>
      <c r="H357" s="1414">
        <v>668</v>
      </c>
      <c r="I357" s="1477">
        <f t="shared" si="119"/>
        <v>11555.64</v>
      </c>
      <c r="J357" s="1477">
        <f t="shared" si="120"/>
        <v>11858.58</v>
      </c>
      <c r="K357" s="1477">
        <v>0</v>
      </c>
      <c r="L357" s="1477">
        <f t="shared" si="125"/>
        <v>0</v>
      </c>
      <c r="M357" s="1477">
        <v>18</v>
      </c>
      <c r="N357" s="1477">
        <f t="shared" si="126"/>
        <v>18</v>
      </c>
      <c r="O357" s="1477">
        <f t="shared" si="127"/>
        <v>0</v>
      </c>
      <c r="P357" s="1477">
        <f t="shared" si="128"/>
        <v>11858.58</v>
      </c>
      <c r="Q357" s="1477">
        <f t="shared" si="129"/>
        <v>12024</v>
      </c>
      <c r="R357" s="1576">
        <f t="shared" si="130"/>
        <v>12024</v>
      </c>
      <c r="S357" s="1869">
        <v>0</v>
      </c>
      <c r="T357" s="1866">
        <v>0</v>
      </c>
      <c r="U357" s="2442"/>
      <c r="V357" s="1866">
        <f t="shared" si="132"/>
        <v>0</v>
      </c>
      <c r="W357" s="1869">
        <f>S357+U357</f>
        <v>0</v>
      </c>
      <c r="X357" s="1870">
        <f t="shared" si="133"/>
        <v>0</v>
      </c>
      <c r="Y357" s="1871">
        <f t="shared" si="134"/>
        <v>0</v>
      </c>
      <c r="Z357" s="1694">
        <f>+E357-W357</f>
        <v>18</v>
      </c>
      <c r="AA357" s="1872">
        <f t="shared" si="135"/>
        <v>12024</v>
      </c>
      <c r="AB357" s="1873">
        <f t="shared" si="136"/>
        <v>1</v>
      </c>
      <c r="AC357" s="1418">
        <f t="shared" si="121"/>
        <v>0</v>
      </c>
      <c r="AD357" s="1418">
        <f t="shared" si="122"/>
        <v>0</v>
      </c>
      <c r="AE357" s="1418">
        <v>12024</v>
      </c>
      <c r="AF357" s="1418">
        <f t="shared" si="123"/>
        <v>0</v>
      </c>
      <c r="AG357" s="1418">
        <v>668</v>
      </c>
      <c r="AH357" s="1418">
        <f t="shared" si="124"/>
        <v>0</v>
      </c>
      <c r="AI357" s="1428"/>
      <c r="AO357" s="2504">
        <v>0</v>
      </c>
      <c r="AP357" s="1418">
        <f t="shared" si="131"/>
        <v>0</v>
      </c>
    </row>
    <row r="358" spans="1:42" s="1410" customFormat="1" ht="15.75">
      <c r="A358" s="2102"/>
      <c r="B358" s="1268" t="s">
        <v>2435</v>
      </c>
      <c r="C358" s="1241" t="s">
        <v>3144</v>
      </c>
      <c r="D358" s="1245" t="s">
        <v>37</v>
      </c>
      <c r="E358" s="1413">
        <v>28.25</v>
      </c>
      <c r="F358" s="1555">
        <v>493.99</v>
      </c>
      <c r="G358" s="1480">
        <v>507.17</v>
      </c>
      <c r="H358" s="1414">
        <v>514.29999999999995</v>
      </c>
      <c r="I358" s="1477">
        <f t="shared" si="119"/>
        <v>13955.22</v>
      </c>
      <c r="J358" s="1477">
        <f t="shared" si="120"/>
        <v>14327.55</v>
      </c>
      <c r="K358" s="1477">
        <v>0</v>
      </c>
      <c r="L358" s="1477">
        <f t="shared" si="125"/>
        <v>0</v>
      </c>
      <c r="M358" s="1477">
        <v>28.25</v>
      </c>
      <c r="N358" s="1477">
        <f t="shared" si="126"/>
        <v>28.25</v>
      </c>
      <c r="O358" s="1477">
        <f t="shared" si="127"/>
        <v>0</v>
      </c>
      <c r="P358" s="1477">
        <f t="shared" si="128"/>
        <v>14327.55</v>
      </c>
      <c r="Q358" s="1477">
        <f t="shared" si="129"/>
        <v>14528.98</v>
      </c>
      <c r="R358" s="1576">
        <f t="shared" si="130"/>
        <v>14528.98</v>
      </c>
      <c r="S358" s="1869">
        <v>0</v>
      </c>
      <c r="T358" s="1866">
        <v>0</v>
      </c>
      <c r="U358" s="2442"/>
      <c r="V358" s="1866">
        <f t="shared" si="132"/>
        <v>0</v>
      </c>
      <c r="W358" s="1869">
        <f>S358+U358</f>
        <v>0</v>
      </c>
      <c r="X358" s="1870">
        <f t="shared" si="133"/>
        <v>0</v>
      </c>
      <c r="Y358" s="1871">
        <f t="shared" si="134"/>
        <v>0</v>
      </c>
      <c r="Z358" s="1694">
        <f>+E358-W358</f>
        <v>28.25</v>
      </c>
      <c r="AA358" s="1872">
        <f t="shared" si="135"/>
        <v>14528.974999999999</v>
      </c>
      <c r="AB358" s="1873">
        <f t="shared" si="136"/>
        <v>0.99999965586021866</v>
      </c>
      <c r="AC358" s="1418">
        <f t="shared" si="121"/>
        <v>5.0000000010186341E-3</v>
      </c>
      <c r="AD358" s="1418">
        <f t="shared" si="122"/>
        <v>0</v>
      </c>
      <c r="AE358" s="1418">
        <v>14528.974999999999</v>
      </c>
      <c r="AF358" s="1418">
        <f t="shared" si="123"/>
        <v>-5.0000000010186341E-3</v>
      </c>
      <c r="AG358" s="1418">
        <v>514.29999999999995</v>
      </c>
      <c r="AH358" s="1418">
        <f t="shared" si="124"/>
        <v>0</v>
      </c>
      <c r="AI358" s="1428"/>
      <c r="AO358" s="2504">
        <v>0</v>
      </c>
      <c r="AP358" s="1418">
        <f t="shared" si="131"/>
        <v>0</v>
      </c>
    </row>
    <row r="359" spans="1:42" s="1410" customFormat="1" ht="15.75">
      <c r="A359" s="2102"/>
      <c r="B359" s="1272" t="s">
        <v>1004</v>
      </c>
      <c r="C359" s="1262" t="s">
        <v>3145</v>
      </c>
      <c r="D359" s="1273"/>
      <c r="E359" s="1415"/>
      <c r="F359" s="1267"/>
      <c r="G359" s="1480"/>
      <c r="H359" s="1416"/>
      <c r="I359" s="1477">
        <f t="shared" si="119"/>
        <v>0</v>
      </c>
      <c r="J359" s="1477">
        <f t="shared" si="120"/>
        <v>0</v>
      </c>
      <c r="K359" s="1477"/>
      <c r="L359" s="1477">
        <f t="shared" si="125"/>
        <v>0</v>
      </c>
      <c r="M359" s="1477"/>
      <c r="N359" s="1477">
        <f t="shared" si="126"/>
        <v>0</v>
      </c>
      <c r="O359" s="1477">
        <f t="shared" si="127"/>
        <v>0</v>
      </c>
      <c r="P359" s="1477">
        <f t="shared" si="128"/>
        <v>0</v>
      </c>
      <c r="Q359" s="1477">
        <f t="shared" si="129"/>
        <v>0</v>
      </c>
      <c r="R359" s="1576">
        <f t="shared" si="130"/>
        <v>0</v>
      </c>
      <c r="S359" s="1869"/>
      <c r="T359" s="1866"/>
      <c r="U359" s="2442"/>
      <c r="V359" s="1866">
        <f t="shared" si="132"/>
        <v>0</v>
      </c>
      <c r="W359" s="1869"/>
      <c r="X359" s="1870"/>
      <c r="Y359" s="1871" t="str">
        <f t="shared" si="134"/>
        <v/>
      </c>
      <c r="Z359" s="1694"/>
      <c r="AA359" s="1872">
        <f t="shared" si="135"/>
        <v>0</v>
      </c>
      <c r="AB359" s="1873" t="str">
        <f t="shared" si="136"/>
        <v/>
      </c>
      <c r="AC359" s="1418">
        <f t="shared" si="121"/>
        <v>0</v>
      </c>
      <c r="AD359" s="1418">
        <f t="shared" si="122"/>
        <v>0</v>
      </c>
      <c r="AE359" s="1418"/>
      <c r="AF359" s="1418">
        <f t="shared" si="123"/>
        <v>0</v>
      </c>
      <c r="AG359" s="1418"/>
      <c r="AH359" s="1418">
        <f t="shared" si="124"/>
        <v>0</v>
      </c>
      <c r="AI359" s="1428"/>
      <c r="AO359" s="2504"/>
      <c r="AP359" s="1418">
        <f t="shared" si="131"/>
        <v>0</v>
      </c>
    </row>
    <row r="360" spans="1:42" s="1410" customFormat="1" ht="15.75">
      <c r="A360" s="2102"/>
      <c r="B360" s="1268" t="s">
        <v>1005</v>
      </c>
      <c r="C360" s="1241" t="s">
        <v>3146</v>
      </c>
      <c r="D360" s="1245" t="s">
        <v>37</v>
      </c>
      <c r="E360" s="1413">
        <v>4.5599999999999996</v>
      </c>
      <c r="F360" s="1555">
        <v>264</v>
      </c>
      <c r="G360" s="1480">
        <v>264</v>
      </c>
      <c r="H360" s="1414">
        <v>264</v>
      </c>
      <c r="I360" s="1477">
        <f t="shared" si="119"/>
        <v>1203.8399999999999</v>
      </c>
      <c r="J360" s="1477">
        <f t="shared" si="120"/>
        <v>1203.8399999999999</v>
      </c>
      <c r="K360" s="1477">
        <v>0</v>
      </c>
      <c r="L360" s="1477">
        <f t="shared" si="125"/>
        <v>0</v>
      </c>
      <c r="M360" s="1477">
        <v>4.5599999999999996</v>
      </c>
      <c r="N360" s="1477">
        <f t="shared" si="126"/>
        <v>4.5599999999999996</v>
      </c>
      <c r="O360" s="1477">
        <f t="shared" si="127"/>
        <v>0</v>
      </c>
      <c r="P360" s="1477">
        <f t="shared" si="128"/>
        <v>1203.8399999999999</v>
      </c>
      <c r="Q360" s="1477">
        <f t="shared" si="129"/>
        <v>1203.8399999999999</v>
      </c>
      <c r="R360" s="1576">
        <f t="shared" si="130"/>
        <v>1203.8399999999999</v>
      </c>
      <c r="S360" s="1869">
        <v>0</v>
      </c>
      <c r="T360" s="1866">
        <v>0</v>
      </c>
      <c r="U360" s="2442"/>
      <c r="V360" s="1866">
        <f t="shared" si="132"/>
        <v>0</v>
      </c>
      <c r="W360" s="1869">
        <f>S360+U360</f>
        <v>0</v>
      </c>
      <c r="X360" s="1870">
        <f t="shared" si="133"/>
        <v>0</v>
      </c>
      <c r="Y360" s="1871">
        <f t="shared" si="134"/>
        <v>0</v>
      </c>
      <c r="Z360" s="1694">
        <f>+E360-W360</f>
        <v>4.5599999999999996</v>
      </c>
      <c r="AA360" s="1872">
        <f t="shared" si="135"/>
        <v>1203.8399999999999</v>
      </c>
      <c r="AB360" s="1873">
        <f t="shared" si="136"/>
        <v>1</v>
      </c>
      <c r="AC360" s="1418">
        <f t="shared" si="121"/>
        <v>0</v>
      </c>
      <c r="AD360" s="1418">
        <f t="shared" si="122"/>
        <v>0</v>
      </c>
      <c r="AE360" s="1418">
        <v>1203.8399999999999</v>
      </c>
      <c r="AF360" s="1418">
        <f t="shared" si="123"/>
        <v>0</v>
      </c>
      <c r="AG360" s="1418">
        <v>264</v>
      </c>
      <c r="AH360" s="1418">
        <f t="shared" si="124"/>
        <v>0</v>
      </c>
      <c r="AI360" s="1428"/>
      <c r="AO360" s="2504">
        <v>0</v>
      </c>
      <c r="AP360" s="1418">
        <f t="shared" si="131"/>
        <v>0</v>
      </c>
    </row>
    <row r="361" spans="1:42" s="1410" customFormat="1" ht="15.75">
      <c r="A361" s="2102"/>
      <c r="B361" s="1268" t="s">
        <v>1006</v>
      </c>
      <c r="C361" s="1241" t="s">
        <v>3147</v>
      </c>
      <c r="D361" s="1245" t="s">
        <v>37</v>
      </c>
      <c r="E361" s="1413">
        <v>44.45</v>
      </c>
      <c r="F361" s="1555">
        <v>264</v>
      </c>
      <c r="G361" s="1480">
        <v>264</v>
      </c>
      <c r="H361" s="1414">
        <v>264</v>
      </c>
      <c r="I361" s="1477">
        <f t="shared" si="119"/>
        <v>11734.8</v>
      </c>
      <c r="J361" s="1477">
        <f t="shared" si="120"/>
        <v>11734.8</v>
      </c>
      <c r="K361" s="1477">
        <v>0</v>
      </c>
      <c r="L361" s="1477">
        <f t="shared" si="125"/>
        <v>0</v>
      </c>
      <c r="M361" s="1477">
        <v>44.45</v>
      </c>
      <c r="N361" s="1477">
        <f t="shared" si="126"/>
        <v>44.45</v>
      </c>
      <c r="O361" s="1477">
        <f t="shared" si="127"/>
        <v>0</v>
      </c>
      <c r="P361" s="1477">
        <f t="shared" si="128"/>
        <v>11734.8</v>
      </c>
      <c r="Q361" s="1477">
        <f t="shared" si="129"/>
        <v>11734.8</v>
      </c>
      <c r="R361" s="1576">
        <f t="shared" si="130"/>
        <v>11734.8</v>
      </c>
      <c r="S361" s="1869">
        <v>0</v>
      </c>
      <c r="T361" s="1866">
        <v>0</v>
      </c>
      <c r="U361" s="2442"/>
      <c r="V361" s="1866">
        <f t="shared" si="132"/>
        <v>0</v>
      </c>
      <c r="W361" s="1869">
        <f>S361+U361</f>
        <v>0</v>
      </c>
      <c r="X361" s="1870">
        <f t="shared" si="133"/>
        <v>0</v>
      </c>
      <c r="Y361" s="1871">
        <f t="shared" si="134"/>
        <v>0</v>
      </c>
      <c r="Z361" s="1694">
        <f>+E361-W361</f>
        <v>44.45</v>
      </c>
      <c r="AA361" s="1872">
        <f t="shared" si="135"/>
        <v>11734.800000000001</v>
      </c>
      <c r="AB361" s="1873">
        <f t="shared" si="136"/>
        <v>1.0000000000000002</v>
      </c>
      <c r="AC361" s="1418">
        <f t="shared" si="121"/>
        <v>0</v>
      </c>
      <c r="AD361" s="1418">
        <f t="shared" si="122"/>
        <v>0</v>
      </c>
      <c r="AE361" s="1418">
        <v>11734.800000000001</v>
      </c>
      <c r="AF361" s="1418">
        <f t="shared" si="123"/>
        <v>0</v>
      </c>
      <c r="AG361" s="1418">
        <v>264</v>
      </c>
      <c r="AH361" s="1418">
        <f t="shared" si="124"/>
        <v>0</v>
      </c>
      <c r="AI361" s="1428"/>
      <c r="AO361" s="2504">
        <v>0</v>
      </c>
      <c r="AP361" s="1418">
        <f t="shared" si="131"/>
        <v>0</v>
      </c>
    </row>
    <row r="362" spans="1:42" s="1410" customFormat="1" ht="15.75">
      <c r="A362" s="2102"/>
      <c r="B362" s="1268" t="s">
        <v>2436</v>
      </c>
      <c r="C362" s="1241" t="s">
        <v>3148</v>
      </c>
      <c r="D362" s="1245" t="s">
        <v>37</v>
      </c>
      <c r="E362" s="1413">
        <v>28.31</v>
      </c>
      <c r="F362" s="1555">
        <v>276</v>
      </c>
      <c r="G362" s="1480">
        <v>276</v>
      </c>
      <c r="H362" s="1414">
        <v>276</v>
      </c>
      <c r="I362" s="1477">
        <f t="shared" si="119"/>
        <v>7813.56</v>
      </c>
      <c r="J362" s="1477">
        <f t="shared" si="120"/>
        <v>7813.56</v>
      </c>
      <c r="K362" s="1477">
        <v>0</v>
      </c>
      <c r="L362" s="1477">
        <f t="shared" si="125"/>
        <v>0</v>
      </c>
      <c r="M362" s="1477">
        <v>28.31</v>
      </c>
      <c r="N362" s="1477">
        <f t="shared" si="126"/>
        <v>28.31</v>
      </c>
      <c r="O362" s="1477">
        <f t="shared" si="127"/>
        <v>0</v>
      </c>
      <c r="P362" s="1477">
        <f t="shared" si="128"/>
        <v>7813.56</v>
      </c>
      <c r="Q362" s="1477">
        <f t="shared" si="129"/>
        <v>7813.56</v>
      </c>
      <c r="R362" s="1576">
        <f t="shared" si="130"/>
        <v>7813.56</v>
      </c>
      <c r="S362" s="1869">
        <v>0</v>
      </c>
      <c r="T362" s="1866">
        <v>0</v>
      </c>
      <c r="U362" s="2442"/>
      <c r="V362" s="1866">
        <f t="shared" si="132"/>
        <v>0</v>
      </c>
      <c r="W362" s="1869">
        <f>S362+U362</f>
        <v>0</v>
      </c>
      <c r="X362" s="1870">
        <f t="shared" si="133"/>
        <v>0</v>
      </c>
      <c r="Y362" s="1871">
        <f t="shared" si="134"/>
        <v>0</v>
      </c>
      <c r="Z362" s="1694">
        <f>+E362-W362</f>
        <v>28.31</v>
      </c>
      <c r="AA362" s="1872">
        <f t="shared" si="135"/>
        <v>7813.5599999999995</v>
      </c>
      <c r="AB362" s="1873">
        <f t="shared" si="136"/>
        <v>0.99999999999999989</v>
      </c>
      <c r="AC362" s="1418">
        <f t="shared" si="121"/>
        <v>0</v>
      </c>
      <c r="AD362" s="1418">
        <f t="shared" si="122"/>
        <v>0</v>
      </c>
      <c r="AE362" s="1418">
        <v>7813.5599999999995</v>
      </c>
      <c r="AF362" s="1418">
        <f t="shared" si="123"/>
        <v>0</v>
      </c>
      <c r="AG362" s="1418">
        <v>276</v>
      </c>
      <c r="AH362" s="1418">
        <f t="shared" si="124"/>
        <v>0</v>
      </c>
      <c r="AI362" s="1428"/>
      <c r="AO362" s="2504">
        <v>0</v>
      </c>
      <c r="AP362" s="1418">
        <f t="shared" si="131"/>
        <v>0</v>
      </c>
    </row>
    <row r="363" spans="1:42" s="1410" customFormat="1" ht="15.75">
      <c r="A363" s="2102"/>
      <c r="B363" s="1268" t="s">
        <v>2437</v>
      </c>
      <c r="C363" s="1241" t="s">
        <v>3149</v>
      </c>
      <c r="D363" s="1245" t="s">
        <v>37</v>
      </c>
      <c r="E363" s="1413">
        <v>29.54</v>
      </c>
      <c r="F363" s="1555">
        <v>216</v>
      </c>
      <c r="G363" s="1480">
        <v>216</v>
      </c>
      <c r="H363" s="1414">
        <v>216</v>
      </c>
      <c r="I363" s="1477">
        <f t="shared" si="119"/>
        <v>6380.64</v>
      </c>
      <c r="J363" s="1477">
        <f t="shared" si="120"/>
        <v>6380.64</v>
      </c>
      <c r="K363" s="1477">
        <v>0</v>
      </c>
      <c r="L363" s="1477">
        <f t="shared" si="125"/>
        <v>0</v>
      </c>
      <c r="M363" s="1477">
        <v>29.54</v>
      </c>
      <c r="N363" s="1477">
        <f t="shared" si="126"/>
        <v>29.54</v>
      </c>
      <c r="O363" s="1477">
        <f t="shared" si="127"/>
        <v>0</v>
      </c>
      <c r="P363" s="1477">
        <f t="shared" si="128"/>
        <v>6380.64</v>
      </c>
      <c r="Q363" s="1477">
        <f t="shared" si="129"/>
        <v>6380.64</v>
      </c>
      <c r="R363" s="1576">
        <f t="shared" si="130"/>
        <v>6380.64</v>
      </c>
      <c r="S363" s="1869">
        <v>0</v>
      </c>
      <c r="T363" s="1866">
        <v>0</v>
      </c>
      <c r="U363" s="2442"/>
      <c r="V363" s="1866">
        <f t="shared" si="132"/>
        <v>0</v>
      </c>
      <c r="W363" s="1869">
        <f>S363+U363</f>
        <v>0</v>
      </c>
      <c r="X363" s="1870">
        <f t="shared" si="133"/>
        <v>0</v>
      </c>
      <c r="Y363" s="1871">
        <f t="shared" si="134"/>
        <v>0</v>
      </c>
      <c r="Z363" s="1694">
        <f>+E363-W363</f>
        <v>29.54</v>
      </c>
      <c r="AA363" s="1872">
        <f t="shared" si="135"/>
        <v>6380.6399999999994</v>
      </c>
      <c r="AB363" s="1873">
        <f t="shared" si="136"/>
        <v>0.99999999999999989</v>
      </c>
      <c r="AC363" s="1418">
        <f t="shared" si="121"/>
        <v>0</v>
      </c>
      <c r="AD363" s="1418">
        <f t="shared" si="122"/>
        <v>0</v>
      </c>
      <c r="AE363" s="1418">
        <v>6380.6399999999994</v>
      </c>
      <c r="AF363" s="1418">
        <f t="shared" si="123"/>
        <v>0</v>
      </c>
      <c r="AG363" s="1418">
        <v>216</v>
      </c>
      <c r="AH363" s="1418">
        <f t="shared" si="124"/>
        <v>0</v>
      </c>
      <c r="AI363" s="1428"/>
      <c r="AO363" s="2504">
        <v>0</v>
      </c>
      <c r="AP363" s="1418">
        <f t="shared" si="131"/>
        <v>0</v>
      </c>
    </row>
    <row r="364" spans="1:42" s="1410" customFormat="1" ht="15.75">
      <c r="A364" s="2102"/>
      <c r="B364" s="1272" t="s">
        <v>1007</v>
      </c>
      <c r="C364" s="1262" t="s">
        <v>3150</v>
      </c>
      <c r="D364" s="1273"/>
      <c r="E364" s="1415"/>
      <c r="F364" s="1267"/>
      <c r="G364" s="1480"/>
      <c r="H364" s="1416"/>
      <c r="I364" s="1477">
        <f t="shared" si="119"/>
        <v>0</v>
      </c>
      <c r="J364" s="1477">
        <f t="shared" si="120"/>
        <v>0</v>
      </c>
      <c r="K364" s="1477"/>
      <c r="L364" s="1477">
        <f t="shared" si="125"/>
        <v>0</v>
      </c>
      <c r="M364" s="1477"/>
      <c r="N364" s="1477">
        <f t="shared" si="126"/>
        <v>0</v>
      </c>
      <c r="O364" s="1477">
        <f t="shared" si="127"/>
        <v>0</v>
      </c>
      <c r="P364" s="1477">
        <f t="shared" si="128"/>
        <v>0</v>
      </c>
      <c r="Q364" s="1477">
        <f t="shared" si="129"/>
        <v>0</v>
      </c>
      <c r="R364" s="1576">
        <f t="shared" si="130"/>
        <v>0</v>
      </c>
      <c r="S364" s="1869"/>
      <c r="T364" s="1866"/>
      <c r="U364" s="2442"/>
      <c r="V364" s="1866">
        <f t="shared" si="132"/>
        <v>0</v>
      </c>
      <c r="W364" s="1869"/>
      <c r="X364" s="1870"/>
      <c r="Y364" s="1871" t="str">
        <f t="shared" si="134"/>
        <v/>
      </c>
      <c r="Z364" s="1694"/>
      <c r="AA364" s="1872">
        <f t="shared" si="135"/>
        <v>0</v>
      </c>
      <c r="AB364" s="1873" t="str">
        <f t="shared" si="136"/>
        <v/>
      </c>
      <c r="AC364" s="1418">
        <f t="shared" si="121"/>
        <v>0</v>
      </c>
      <c r="AD364" s="1418">
        <f t="shared" si="122"/>
        <v>0</v>
      </c>
      <c r="AE364" s="1418"/>
      <c r="AF364" s="1418">
        <f t="shared" si="123"/>
        <v>0</v>
      </c>
      <c r="AG364" s="1418"/>
      <c r="AH364" s="1418">
        <f t="shared" si="124"/>
        <v>0</v>
      </c>
      <c r="AI364" s="1428"/>
      <c r="AO364" s="2504"/>
      <c r="AP364" s="1418">
        <f t="shared" si="131"/>
        <v>0</v>
      </c>
    </row>
    <row r="365" spans="1:42" s="1410" customFormat="1" ht="15.75">
      <c r="A365" s="2102"/>
      <c r="B365" s="1268" t="s">
        <v>1008</v>
      </c>
      <c r="C365" s="1241" t="s">
        <v>3151</v>
      </c>
      <c r="D365" s="1245" t="s">
        <v>38</v>
      </c>
      <c r="E365" s="1413">
        <v>241.12</v>
      </c>
      <c r="F365" s="1555">
        <v>31.28</v>
      </c>
      <c r="G365" s="1480">
        <v>32.700000000000003</v>
      </c>
      <c r="H365" s="1414">
        <v>33.5</v>
      </c>
      <c r="I365" s="1477">
        <f t="shared" si="119"/>
        <v>7542.23</v>
      </c>
      <c r="J365" s="1477">
        <f t="shared" si="120"/>
        <v>7884.62</v>
      </c>
      <c r="K365" s="1477">
        <v>0</v>
      </c>
      <c r="L365" s="1477">
        <f t="shared" si="125"/>
        <v>0</v>
      </c>
      <c r="M365" s="1477">
        <v>241.12</v>
      </c>
      <c r="N365" s="1477">
        <f t="shared" si="126"/>
        <v>241.12</v>
      </c>
      <c r="O365" s="1477">
        <f t="shared" si="127"/>
        <v>0</v>
      </c>
      <c r="P365" s="1477">
        <f t="shared" si="128"/>
        <v>7884.62</v>
      </c>
      <c r="Q365" s="1477">
        <f t="shared" si="129"/>
        <v>8077.52</v>
      </c>
      <c r="R365" s="1576">
        <f t="shared" si="130"/>
        <v>8077.52</v>
      </c>
      <c r="S365" s="1869">
        <v>0</v>
      </c>
      <c r="T365" s="1866">
        <v>0</v>
      </c>
      <c r="U365" s="2442"/>
      <c r="V365" s="1866">
        <f t="shared" si="132"/>
        <v>0</v>
      </c>
      <c r="W365" s="1869">
        <f t="shared" ref="W365:W373" si="139">S365+U365</f>
        <v>0</v>
      </c>
      <c r="X365" s="1870">
        <f t="shared" si="133"/>
        <v>0</v>
      </c>
      <c r="Y365" s="1871">
        <f t="shared" si="134"/>
        <v>0</v>
      </c>
      <c r="Z365" s="1694">
        <f t="shared" ref="Z365:Z373" si="140">+E365-W365</f>
        <v>241.12</v>
      </c>
      <c r="AA365" s="1872">
        <f t="shared" si="135"/>
        <v>8077.52</v>
      </c>
      <c r="AB365" s="1873">
        <f t="shared" si="136"/>
        <v>1</v>
      </c>
      <c r="AC365" s="1418">
        <f t="shared" si="121"/>
        <v>0</v>
      </c>
      <c r="AD365" s="1418">
        <f t="shared" si="122"/>
        <v>0</v>
      </c>
      <c r="AE365" s="1418">
        <v>8077.52</v>
      </c>
      <c r="AF365" s="1418">
        <f t="shared" si="123"/>
        <v>0</v>
      </c>
      <c r="AG365" s="1418">
        <v>33.5</v>
      </c>
      <c r="AH365" s="1418">
        <f t="shared" si="124"/>
        <v>0</v>
      </c>
      <c r="AI365" s="1428"/>
      <c r="AO365" s="2504">
        <v>0</v>
      </c>
      <c r="AP365" s="1418">
        <f t="shared" si="131"/>
        <v>0</v>
      </c>
    </row>
    <row r="366" spans="1:42" s="1410" customFormat="1" ht="15.75">
      <c r="A366" s="2102"/>
      <c r="B366" s="1268" t="s">
        <v>2438</v>
      </c>
      <c r="C366" s="1241" t="s">
        <v>3152</v>
      </c>
      <c r="D366" s="1245" t="s">
        <v>38</v>
      </c>
      <c r="E366" s="1413">
        <v>153.37</v>
      </c>
      <c r="F366" s="1555">
        <v>388.77</v>
      </c>
      <c r="G366" s="1480">
        <v>393.88</v>
      </c>
      <c r="H366" s="1414">
        <v>396.74</v>
      </c>
      <c r="I366" s="1477">
        <f t="shared" si="119"/>
        <v>59625.65</v>
      </c>
      <c r="J366" s="1477">
        <f t="shared" si="120"/>
        <v>60409.38</v>
      </c>
      <c r="K366" s="1477">
        <v>0</v>
      </c>
      <c r="L366" s="1477">
        <f t="shared" si="125"/>
        <v>0</v>
      </c>
      <c r="M366" s="1477">
        <v>153.37</v>
      </c>
      <c r="N366" s="1477">
        <f t="shared" si="126"/>
        <v>153.37</v>
      </c>
      <c r="O366" s="1477">
        <f t="shared" si="127"/>
        <v>0</v>
      </c>
      <c r="P366" s="1477">
        <f t="shared" si="128"/>
        <v>60409.38</v>
      </c>
      <c r="Q366" s="1477">
        <f t="shared" si="129"/>
        <v>60848.01</v>
      </c>
      <c r="R366" s="1576">
        <f t="shared" si="130"/>
        <v>60848.01</v>
      </c>
      <c r="S366" s="1869">
        <v>0</v>
      </c>
      <c r="T366" s="1866">
        <v>0</v>
      </c>
      <c r="U366" s="2442"/>
      <c r="V366" s="1866">
        <f t="shared" si="132"/>
        <v>0</v>
      </c>
      <c r="W366" s="1869">
        <f t="shared" si="139"/>
        <v>0</v>
      </c>
      <c r="X366" s="1870">
        <f t="shared" si="133"/>
        <v>0</v>
      </c>
      <c r="Y366" s="1871">
        <f t="shared" si="134"/>
        <v>0</v>
      </c>
      <c r="Z366" s="1694">
        <f t="shared" si="140"/>
        <v>153.37</v>
      </c>
      <c r="AA366" s="1872">
        <f t="shared" si="135"/>
        <v>60848.013800000001</v>
      </c>
      <c r="AB366" s="1873">
        <f t="shared" si="136"/>
        <v>1.0000000624506866</v>
      </c>
      <c r="AC366" s="1418">
        <f t="shared" si="121"/>
        <v>-3.7999999985913746E-3</v>
      </c>
      <c r="AD366" s="1418">
        <f t="shared" si="122"/>
        <v>0</v>
      </c>
      <c r="AE366" s="1418">
        <v>60848.013800000001</v>
      </c>
      <c r="AF366" s="1418">
        <f t="shared" si="123"/>
        <v>3.7999999985913746E-3</v>
      </c>
      <c r="AG366" s="1418">
        <v>396.74</v>
      </c>
      <c r="AH366" s="1418">
        <f t="shared" si="124"/>
        <v>0</v>
      </c>
      <c r="AI366" s="1428"/>
      <c r="AO366" s="2504">
        <v>0</v>
      </c>
      <c r="AP366" s="1418">
        <f t="shared" si="131"/>
        <v>0</v>
      </c>
    </row>
    <row r="367" spans="1:42" s="1410" customFormat="1" ht="15.75">
      <c r="A367" s="2102"/>
      <c r="B367" s="1268" t="s">
        <v>2439</v>
      </c>
      <c r="C367" s="1241" t="s">
        <v>3153</v>
      </c>
      <c r="D367" s="1245" t="s">
        <v>38</v>
      </c>
      <c r="E367" s="1413">
        <v>60.6</v>
      </c>
      <c r="F367" s="1555">
        <v>31.28</v>
      </c>
      <c r="G367" s="1480">
        <v>32.700000000000003</v>
      </c>
      <c r="H367" s="1414">
        <v>33.5</v>
      </c>
      <c r="I367" s="1477">
        <f t="shared" si="119"/>
        <v>1895.57</v>
      </c>
      <c r="J367" s="1477">
        <f t="shared" si="120"/>
        <v>1981.62</v>
      </c>
      <c r="K367" s="1477">
        <v>0</v>
      </c>
      <c r="L367" s="1477">
        <f t="shared" si="125"/>
        <v>0</v>
      </c>
      <c r="M367" s="1477">
        <v>60.6</v>
      </c>
      <c r="N367" s="1477">
        <f t="shared" si="126"/>
        <v>60.6</v>
      </c>
      <c r="O367" s="1477">
        <f t="shared" si="127"/>
        <v>0</v>
      </c>
      <c r="P367" s="1477">
        <f t="shared" si="128"/>
        <v>1981.62</v>
      </c>
      <c r="Q367" s="1477">
        <f t="shared" si="129"/>
        <v>2030.1</v>
      </c>
      <c r="R367" s="1576">
        <f t="shared" si="130"/>
        <v>2030.1</v>
      </c>
      <c r="S367" s="1869">
        <v>0</v>
      </c>
      <c r="T367" s="1866">
        <v>0</v>
      </c>
      <c r="U367" s="2442"/>
      <c r="V367" s="1866">
        <f t="shared" si="132"/>
        <v>0</v>
      </c>
      <c r="W367" s="1869">
        <f t="shared" si="139"/>
        <v>0</v>
      </c>
      <c r="X367" s="1870">
        <f t="shared" si="133"/>
        <v>0</v>
      </c>
      <c r="Y367" s="1871">
        <f t="shared" si="134"/>
        <v>0</v>
      </c>
      <c r="Z367" s="1694">
        <f t="shared" si="140"/>
        <v>60.6</v>
      </c>
      <c r="AA367" s="1872">
        <f t="shared" si="135"/>
        <v>2030.1000000000001</v>
      </c>
      <c r="AB367" s="1873">
        <f t="shared" si="136"/>
        <v>1.0000000000000002</v>
      </c>
      <c r="AC367" s="1418">
        <f t="shared" si="121"/>
        <v>0</v>
      </c>
      <c r="AD367" s="1418">
        <f t="shared" si="122"/>
        <v>0</v>
      </c>
      <c r="AE367" s="1418">
        <v>2030.1000000000001</v>
      </c>
      <c r="AF367" s="1418">
        <f t="shared" si="123"/>
        <v>0</v>
      </c>
      <c r="AG367" s="1418">
        <v>33.5</v>
      </c>
      <c r="AH367" s="1418">
        <f t="shared" si="124"/>
        <v>0</v>
      </c>
      <c r="AI367" s="1428"/>
      <c r="AO367" s="2504">
        <v>0</v>
      </c>
      <c r="AP367" s="1418">
        <f t="shared" si="131"/>
        <v>0</v>
      </c>
    </row>
    <row r="368" spans="1:42" s="1410" customFormat="1" ht="15.75">
      <c r="A368" s="2102"/>
      <c r="B368" s="1268" t="s">
        <v>2440</v>
      </c>
      <c r="C368" s="1241" t="s">
        <v>3154</v>
      </c>
      <c r="D368" s="1245" t="s">
        <v>38</v>
      </c>
      <c r="E368" s="1413">
        <v>180.49</v>
      </c>
      <c r="F368" s="1555">
        <v>105.74</v>
      </c>
      <c r="G368" s="1480">
        <v>110</v>
      </c>
      <c r="H368" s="1414">
        <v>112.39</v>
      </c>
      <c r="I368" s="1477">
        <f t="shared" si="119"/>
        <v>19085.009999999998</v>
      </c>
      <c r="J368" s="1477">
        <f t="shared" si="120"/>
        <v>19853.900000000001</v>
      </c>
      <c r="K368" s="1477">
        <v>0</v>
      </c>
      <c r="L368" s="1477">
        <f t="shared" si="125"/>
        <v>0</v>
      </c>
      <c r="M368" s="1477">
        <v>180.49</v>
      </c>
      <c r="N368" s="1477">
        <f t="shared" si="126"/>
        <v>180.49</v>
      </c>
      <c r="O368" s="1477">
        <f t="shared" si="127"/>
        <v>0</v>
      </c>
      <c r="P368" s="1477">
        <f t="shared" si="128"/>
        <v>19853.900000000001</v>
      </c>
      <c r="Q368" s="1477">
        <f t="shared" si="129"/>
        <v>20285.27</v>
      </c>
      <c r="R368" s="1576">
        <f t="shared" si="130"/>
        <v>20285.27</v>
      </c>
      <c r="S368" s="1869">
        <v>0</v>
      </c>
      <c r="T368" s="1866">
        <v>0</v>
      </c>
      <c r="U368" s="2442"/>
      <c r="V368" s="1866">
        <f t="shared" si="132"/>
        <v>0</v>
      </c>
      <c r="W368" s="1869">
        <f t="shared" si="139"/>
        <v>0</v>
      </c>
      <c r="X368" s="1870">
        <f t="shared" si="133"/>
        <v>0</v>
      </c>
      <c r="Y368" s="1871">
        <f t="shared" si="134"/>
        <v>0</v>
      </c>
      <c r="Z368" s="1694">
        <f t="shared" si="140"/>
        <v>180.49</v>
      </c>
      <c r="AA368" s="1872">
        <f t="shared" si="135"/>
        <v>20285.271100000002</v>
      </c>
      <c r="AB368" s="1873">
        <f t="shared" si="136"/>
        <v>1.0000000542265399</v>
      </c>
      <c r="AC368" s="1418">
        <f t="shared" si="121"/>
        <v>-1.1000000013154931E-3</v>
      </c>
      <c r="AD368" s="1418">
        <f t="shared" si="122"/>
        <v>0</v>
      </c>
      <c r="AE368" s="1418">
        <v>20285.271100000002</v>
      </c>
      <c r="AF368" s="1418">
        <f t="shared" si="123"/>
        <v>1.1000000013154931E-3</v>
      </c>
      <c r="AG368" s="1418">
        <v>112.39</v>
      </c>
      <c r="AH368" s="1418">
        <f t="shared" si="124"/>
        <v>0</v>
      </c>
      <c r="AI368" s="1428"/>
      <c r="AO368" s="2504">
        <v>0</v>
      </c>
      <c r="AP368" s="1418">
        <f t="shared" si="131"/>
        <v>0</v>
      </c>
    </row>
    <row r="369" spans="1:42" s="1410" customFormat="1" ht="15.75">
      <c r="A369" s="2102"/>
      <c r="B369" s="1268" t="s">
        <v>2441</v>
      </c>
      <c r="C369" s="1241" t="s">
        <v>3155</v>
      </c>
      <c r="D369" s="1245" t="s">
        <v>38</v>
      </c>
      <c r="E369" s="1413">
        <v>11.81</v>
      </c>
      <c r="F369" s="1555">
        <v>103.73</v>
      </c>
      <c r="G369" s="1480">
        <v>107.99</v>
      </c>
      <c r="H369" s="1414">
        <v>110.38</v>
      </c>
      <c r="I369" s="1477">
        <f t="shared" si="119"/>
        <v>1225.05</v>
      </c>
      <c r="J369" s="1477">
        <f t="shared" si="120"/>
        <v>1275.3599999999999</v>
      </c>
      <c r="K369" s="1477">
        <v>0</v>
      </c>
      <c r="L369" s="1477">
        <f t="shared" si="125"/>
        <v>0</v>
      </c>
      <c r="M369" s="1477">
        <v>11.81</v>
      </c>
      <c r="N369" s="1477">
        <f t="shared" si="126"/>
        <v>11.81</v>
      </c>
      <c r="O369" s="1477">
        <f t="shared" si="127"/>
        <v>0</v>
      </c>
      <c r="P369" s="1477">
        <f t="shared" si="128"/>
        <v>1275.3599999999999</v>
      </c>
      <c r="Q369" s="1477">
        <f t="shared" si="129"/>
        <v>1303.5899999999999</v>
      </c>
      <c r="R369" s="1576">
        <f t="shared" si="130"/>
        <v>1303.5899999999999</v>
      </c>
      <c r="S369" s="1869">
        <v>0</v>
      </c>
      <c r="T369" s="1866">
        <v>0</v>
      </c>
      <c r="U369" s="2442"/>
      <c r="V369" s="1866">
        <f t="shared" si="132"/>
        <v>0</v>
      </c>
      <c r="W369" s="1869">
        <f t="shared" si="139"/>
        <v>0</v>
      </c>
      <c r="X369" s="1870">
        <f t="shared" si="133"/>
        <v>0</v>
      </c>
      <c r="Y369" s="1871">
        <f t="shared" si="134"/>
        <v>0</v>
      </c>
      <c r="Z369" s="1694">
        <f t="shared" si="140"/>
        <v>11.81</v>
      </c>
      <c r="AA369" s="1872">
        <f t="shared" si="135"/>
        <v>1303.5878</v>
      </c>
      <c r="AB369" s="1873">
        <f t="shared" si="136"/>
        <v>0.99999831235281034</v>
      </c>
      <c r="AC369" s="1418">
        <f t="shared" si="121"/>
        <v>2.1999999999025022E-3</v>
      </c>
      <c r="AD369" s="1418">
        <f t="shared" si="122"/>
        <v>0</v>
      </c>
      <c r="AE369" s="1418">
        <v>1303.5878</v>
      </c>
      <c r="AF369" s="1418">
        <f t="shared" si="123"/>
        <v>-2.1999999999025022E-3</v>
      </c>
      <c r="AG369" s="1418">
        <v>110.38</v>
      </c>
      <c r="AH369" s="1418">
        <f t="shared" si="124"/>
        <v>0</v>
      </c>
      <c r="AI369" s="1428"/>
      <c r="AO369" s="2504">
        <v>0</v>
      </c>
      <c r="AP369" s="1418">
        <f t="shared" si="131"/>
        <v>0</v>
      </c>
    </row>
    <row r="370" spans="1:42" s="1410" customFormat="1" ht="15.75">
      <c r="A370" s="2102"/>
      <c r="B370" s="1268" t="s">
        <v>2442</v>
      </c>
      <c r="C370" s="1241" t="s">
        <v>3156</v>
      </c>
      <c r="D370" s="1245" t="s">
        <v>38</v>
      </c>
      <c r="E370" s="1413">
        <v>148.9</v>
      </c>
      <c r="F370" s="1555">
        <v>272.52</v>
      </c>
      <c r="G370" s="1480">
        <v>276.77999999999997</v>
      </c>
      <c r="H370" s="1414">
        <v>279.17</v>
      </c>
      <c r="I370" s="1477">
        <f t="shared" si="119"/>
        <v>40578.230000000003</v>
      </c>
      <c r="J370" s="1477">
        <f t="shared" si="120"/>
        <v>41212.54</v>
      </c>
      <c r="K370" s="1477">
        <v>0</v>
      </c>
      <c r="L370" s="1477">
        <f t="shared" si="125"/>
        <v>0</v>
      </c>
      <c r="M370" s="1477">
        <v>148.9</v>
      </c>
      <c r="N370" s="1477">
        <f t="shared" si="126"/>
        <v>148.9</v>
      </c>
      <c r="O370" s="1477">
        <f t="shared" si="127"/>
        <v>0</v>
      </c>
      <c r="P370" s="1477">
        <f t="shared" si="128"/>
        <v>41212.54</v>
      </c>
      <c r="Q370" s="1477">
        <f t="shared" si="129"/>
        <v>41568.410000000003</v>
      </c>
      <c r="R370" s="1576">
        <f t="shared" si="130"/>
        <v>41568.410000000003</v>
      </c>
      <c r="S370" s="1869">
        <v>0</v>
      </c>
      <c r="T370" s="1866">
        <v>0</v>
      </c>
      <c r="U370" s="2442">
        <v>148.9</v>
      </c>
      <c r="V370" s="1866">
        <f t="shared" si="132"/>
        <v>41568.413</v>
      </c>
      <c r="W370" s="1869">
        <f t="shared" si="139"/>
        <v>148.9</v>
      </c>
      <c r="X370" s="1870">
        <f t="shared" si="133"/>
        <v>41568.413</v>
      </c>
      <c r="Y370" s="1871">
        <f t="shared" si="134"/>
        <v>1.0000000721701887</v>
      </c>
      <c r="Z370" s="1694">
        <f t="shared" si="140"/>
        <v>0</v>
      </c>
      <c r="AA370" s="1872">
        <f t="shared" si="135"/>
        <v>0</v>
      </c>
      <c r="AB370" s="1873">
        <f t="shared" si="136"/>
        <v>0</v>
      </c>
      <c r="AC370" s="1418">
        <f t="shared" si="121"/>
        <v>-2.9999999969732016E-3</v>
      </c>
      <c r="AD370" s="1418">
        <f t="shared" si="122"/>
        <v>0</v>
      </c>
      <c r="AE370" s="1418">
        <v>41568.413</v>
      </c>
      <c r="AF370" s="1418">
        <f t="shared" si="123"/>
        <v>2.9999999969732016E-3</v>
      </c>
      <c r="AG370" s="1418">
        <v>279.17</v>
      </c>
      <c r="AH370" s="1418">
        <f t="shared" si="124"/>
        <v>0</v>
      </c>
      <c r="AI370" s="1428"/>
      <c r="AO370" s="2504">
        <v>0</v>
      </c>
      <c r="AP370" s="1418">
        <f t="shared" si="131"/>
        <v>-41568.413</v>
      </c>
    </row>
    <row r="371" spans="1:42" s="1410" customFormat="1" ht="15.75">
      <c r="A371" s="2102"/>
      <c r="B371" s="1268" t="s">
        <v>2443</v>
      </c>
      <c r="C371" s="1241" t="s">
        <v>3157</v>
      </c>
      <c r="D371" s="1245" t="s">
        <v>38</v>
      </c>
      <c r="E371" s="1413">
        <v>12</v>
      </c>
      <c r="F371" s="1555">
        <v>185.28</v>
      </c>
      <c r="G371" s="1480">
        <v>190.39</v>
      </c>
      <c r="H371" s="1414">
        <v>193.25</v>
      </c>
      <c r="I371" s="1477">
        <f t="shared" si="119"/>
        <v>2223.36</v>
      </c>
      <c r="J371" s="1477">
        <f t="shared" si="120"/>
        <v>2284.6799999999998</v>
      </c>
      <c r="K371" s="1477">
        <v>0</v>
      </c>
      <c r="L371" s="1477">
        <f t="shared" si="125"/>
        <v>0</v>
      </c>
      <c r="M371" s="1477">
        <v>12</v>
      </c>
      <c r="N371" s="1477">
        <f t="shared" si="126"/>
        <v>12</v>
      </c>
      <c r="O371" s="1477">
        <f t="shared" si="127"/>
        <v>0</v>
      </c>
      <c r="P371" s="1477">
        <f t="shared" si="128"/>
        <v>2284.6799999999998</v>
      </c>
      <c r="Q371" s="1477">
        <f t="shared" si="129"/>
        <v>2319</v>
      </c>
      <c r="R371" s="1576">
        <f t="shared" si="130"/>
        <v>2319</v>
      </c>
      <c r="S371" s="1869">
        <v>0</v>
      </c>
      <c r="T371" s="1866">
        <v>0</v>
      </c>
      <c r="U371" s="2442"/>
      <c r="V371" s="1866">
        <f t="shared" si="132"/>
        <v>0</v>
      </c>
      <c r="W371" s="1869">
        <f t="shared" si="139"/>
        <v>0</v>
      </c>
      <c r="X371" s="1870">
        <f t="shared" si="133"/>
        <v>0</v>
      </c>
      <c r="Y371" s="1871">
        <f t="shared" si="134"/>
        <v>0</v>
      </c>
      <c r="Z371" s="1694">
        <f t="shared" si="140"/>
        <v>12</v>
      </c>
      <c r="AA371" s="1872">
        <f t="shared" si="135"/>
        <v>2319</v>
      </c>
      <c r="AB371" s="1873">
        <f t="shared" si="136"/>
        <v>1</v>
      </c>
      <c r="AC371" s="1418">
        <f t="shared" si="121"/>
        <v>0</v>
      </c>
      <c r="AD371" s="1418">
        <f t="shared" si="122"/>
        <v>0</v>
      </c>
      <c r="AE371" s="1418">
        <v>2319</v>
      </c>
      <c r="AF371" s="1418">
        <f t="shared" si="123"/>
        <v>0</v>
      </c>
      <c r="AG371" s="1418">
        <v>193.25</v>
      </c>
      <c r="AH371" s="1418">
        <f t="shared" si="124"/>
        <v>0</v>
      </c>
      <c r="AI371" s="1428"/>
      <c r="AO371" s="2504">
        <v>0</v>
      </c>
      <c r="AP371" s="1418">
        <f t="shared" si="131"/>
        <v>0</v>
      </c>
    </row>
    <row r="372" spans="1:42" s="1410" customFormat="1" ht="15.75">
      <c r="A372" s="2102"/>
      <c r="B372" s="1268" t="s">
        <v>2444</v>
      </c>
      <c r="C372" s="1241" t="s">
        <v>3158</v>
      </c>
      <c r="D372" s="1245" t="s">
        <v>38</v>
      </c>
      <c r="E372" s="1413">
        <v>13.62</v>
      </c>
      <c r="F372" s="1555">
        <v>272.52</v>
      </c>
      <c r="G372" s="1480">
        <v>276.77999999999997</v>
      </c>
      <c r="H372" s="1414">
        <v>279.17</v>
      </c>
      <c r="I372" s="1477">
        <f t="shared" si="119"/>
        <v>3711.72</v>
      </c>
      <c r="J372" s="1477">
        <f t="shared" si="120"/>
        <v>3769.74</v>
      </c>
      <c r="K372" s="1477">
        <v>0</v>
      </c>
      <c r="L372" s="1477">
        <f t="shared" si="125"/>
        <v>0</v>
      </c>
      <c r="M372" s="1477">
        <v>13.62</v>
      </c>
      <c r="N372" s="1477">
        <f t="shared" si="126"/>
        <v>13.62</v>
      </c>
      <c r="O372" s="1477">
        <f t="shared" si="127"/>
        <v>0</v>
      </c>
      <c r="P372" s="1477">
        <f t="shared" si="128"/>
        <v>3769.74</v>
      </c>
      <c r="Q372" s="1477">
        <f t="shared" si="129"/>
        <v>3802.3</v>
      </c>
      <c r="R372" s="1576">
        <f t="shared" si="130"/>
        <v>3802.3</v>
      </c>
      <c r="S372" s="1869">
        <v>0</v>
      </c>
      <c r="T372" s="1866">
        <v>0</v>
      </c>
      <c r="U372" s="2442"/>
      <c r="V372" s="1866">
        <f t="shared" si="132"/>
        <v>0</v>
      </c>
      <c r="W372" s="1869">
        <f t="shared" si="139"/>
        <v>0</v>
      </c>
      <c r="X372" s="1870">
        <f t="shared" si="133"/>
        <v>0</v>
      </c>
      <c r="Y372" s="1871">
        <f t="shared" si="134"/>
        <v>0</v>
      </c>
      <c r="Z372" s="1694">
        <f t="shared" si="140"/>
        <v>13.62</v>
      </c>
      <c r="AA372" s="1872">
        <f t="shared" si="135"/>
        <v>3802.2954</v>
      </c>
      <c r="AB372" s="1873">
        <f t="shared" si="136"/>
        <v>0.99999879020592797</v>
      </c>
      <c r="AC372" s="1418">
        <f t="shared" si="121"/>
        <v>4.6000000002095476E-3</v>
      </c>
      <c r="AD372" s="1418">
        <f t="shared" si="122"/>
        <v>0</v>
      </c>
      <c r="AE372" s="1418">
        <v>3802.2954</v>
      </c>
      <c r="AF372" s="1418">
        <f t="shared" si="123"/>
        <v>-4.6000000002095476E-3</v>
      </c>
      <c r="AG372" s="1418">
        <v>279.17</v>
      </c>
      <c r="AH372" s="1418">
        <f t="shared" si="124"/>
        <v>0</v>
      </c>
      <c r="AI372" s="1428"/>
      <c r="AO372" s="2504">
        <v>0</v>
      </c>
      <c r="AP372" s="1418">
        <f t="shared" si="131"/>
        <v>0</v>
      </c>
    </row>
    <row r="373" spans="1:42" s="1410" customFormat="1" ht="15.75">
      <c r="A373" s="2102"/>
      <c r="B373" s="1268" t="s">
        <v>2445</v>
      </c>
      <c r="C373" s="1241" t="s">
        <v>3159</v>
      </c>
      <c r="D373" s="1245" t="s">
        <v>38</v>
      </c>
      <c r="E373" s="1413">
        <v>141.6</v>
      </c>
      <c r="F373" s="1555">
        <v>28.78</v>
      </c>
      <c r="G373" s="1480">
        <v>30.2</v>
      </c>
      <c r="H373" s="1414">
        <v>31</v>
      </c>
      <c r="I373" s="1477">
        <f t="shared" si="119"/>
        <v>4075.25</v>
      </c>
      <c r="J373" s="1477">
        <f t="shared" si="120"/>
        <v>4276.32</v>
      </c>
      <c r="K373" s="1477">
        <v>0</v>
      </c>
      <c r="L373" s="1477">
        <f t="shared" si="125"/>
        <v>0</v>
      </c>
      <c r="M373" s="1477">
        <v>141.6</v>
      </c>
      <c r="N373" s="1477">
        <f t="shared" si="126"/>
        <v>141.6</v>
      </c>
      <c r="O373" s="1477">
        <f t="shared" si="127"/>
        <v>0</v>
      </c>
      <c r="P373" s="1477">
        <f t="shared" si="128"/>
        <v>4276.32</v>
      </c>
      <c r="Q373" s="1477">
        <f t="shared" si="129"/>
        <v>4389.6000000000004</v>
      </c>
      <c r="R373" s="1576">
        <f t="shared" si="130"/>
        <v>4389.6000000000004</v>
      </c>
      <c r="S373" s="1869">
        <v>0</v>
      </c>
      <c r="T373" s="1866">
        <v>0</v>
      </c>
      <c r="U373" s="2442"/>
      <c r="V373" s="1866">
        <f t="shared" si="132"/>
        <v>0</v>
      </c>
      <c r="W373" s="1869">
        <f t="shared" si="139"/>
        <v>0</v>
      </c>
      <c r="X373" s="1870">
        <f t="shared" si="133"/>
        <v>0</v>
      </c>
      <c r="Y373" s="1871">
        <f t="shared" si="134"/>
        <v>0</v>
      </c>
      <c r="Z373" s="1694">
        <f t="shared" si="140"/>
        <v>141.6</v>
      </c>
      <c r="AA373" s="1872">
        <f t="shared" si="135"/>
        <v>4389.5999999999995</v>
      </c>
      <c r="AB373" s="1873">
        <f t="shared" si="136"/>
        <v>0.99999999999999978</v>
      </c>
      <c r="AC373" s="1418">
        <f t="shared" si="121"/>
        <v>0</v>
      </c>
      <c r="AD373" s="1418">
        <f t="shared" si="122"/>
        <v>0</v>
      </c>
      <c r="AE373" s="1418">
        <v>4389.5999999999995</v>
      </c>
      <c r="AF373" s="1418">
        <f t="shared" si="123"/>
        <v>0</v>
      </c>
      <c r="AG373" s="1418">
        <v>31</v>
      </c>
      <c r="AH373" s="1418">
        <f t="shared" si="124"/>
        <v>0</v>
      </c>
      <c r="AI373" s="1428"/>
      <c r="AO373" s="2504">
        <v>0</v>
      </c>
      <c r="AP373" s="1418">
        <f t="shared" si="131"/>
        <v>0</v>
      </c>
    </row>
    <row r="374" spans="1:42" s="1410" customFormat="1" ht="15.75">
      <c r="A374" s="2102"/>
      <c r="B374" s="1272" t="s">
        <v>1009</v>
      </c>
      <c r="C374" s="1262" t="s">
        <v>3160</v>
      </c>
      <c r="D374" s="1273"/>
      <c r="E374" s="1415"/>
      <c r="F374" s="1267"/>
      <c r="G374" s="1480"/>
      <c r="H374" s="1416"/>
      <c r="I374" s="1477">
        <f t="shared" si="119"/>
        <v>0</v>
      </c>
      <c r="J374" s="1477">
        <f t="shared" si="120"/>
        <v>0</v>
      </c>
      <c r="K374" s="1477"/>
      <c r="L374" s="1477">
        <f t="shared" si="125"/>
        <v>0</v>
      </c>
      <c r="M374" s="1477"/>
      <c r="N374" s="1477">
        <f t="shared" si="126"/>
        <v>0</v>
      </c>
      <c r="O374" s="1477">
        <f t="shared" si="127"/>
        <v>0</v>
      </c>
      <c r="P374" s="1477">
        <f t="shared" si="128"/>
        <v>0</v>
      </c>
      <c r="Q374" s="1477">
        <f t="shared" si="129"/>
        <v>0</v>
      </c>
      <c r="R374" s="1576">
        <f t="shared" si="130"/>
        <v>0</v>
      </c>
      <c r="S374" s="1869"/>
      <c r="T374" s="1866"/>
      <c r="U374" s="2442"/>
      <c r="V374" s="1866">
        <f t="shared" si="132"/>
        <v>0</v>
      </c>
      <c r="W374" s="1869"/>
      <c r="X374" s="1870"/>
      <c r="Y374" s="1871" t="str">
        <f t="shared" si="134"/>
        <v/>
      </c>
      <c r="Z374" s="1694"/>
      <c r="AA374" s="1872">
        <f t="shared" si="135"/>
        <v>0</v>
      </c>
      <c r="AB374" s="1873" t="str">
        <f t="shared" si="136"/>
        <v/>
      </c>
      <c r="AC374" s="1418">
        <f t="shared" si="121"/>
        <v>0</v>
      </c>
      <c r="AD374" s="1418">
        <f t="shared" si="122"/>
        <v>0</v>
      </c>
      <c r="AE374" s="1418"/>
      <c r="AF374" s="1418">
        <f t="shared" si="123"/>
        <v>0</v>
      </c>
      <c r="AG374" s="1418"/>
      <c r="AH374" s="1418">
        <f t="shared" si="124"/>
        <v>0</v>
      </c>
      <c r="AI374" s="1428"/>
      <c r="AO374" s="2504"/>
      <c r="AP374" s="1418">
        <f t="shared" si="131"/>
        <v>0</v>
      </c>
    </row>
    <row r="375" spans="1:42" s="1410" customFormat="1" ht="15.75">
      <c r="A375" s="2102"/>
      <c r="B375" s="1268" t="s">
        <v>1010</v>
      </c>
      <c r="C375" s="1241" t="s">
        <v>3161</v>
      </c>
      <c r="D375" s="1245" t="s">
        <v>38</v>
      </c>
      <c r="E375" s="1413">
        <v>261.64999999999998</v>
      </c>
      <c r="F375" s="1555">
        <v>275.7</v>
      </c>
      <c r="G375" s="1480">
        <v>288.89999999999998</v>
      </c>
      <c r="H375" s="1414">
        <v>295.81</v>
      </c>
      <c r="I375" s="1477">
        <f t="shared" si="119"/>
        <v>72136.91</v>
      </c>
      <c r="J375" s="1477">
        <f t="shared" si="120"/>
        <v>75590.69</v>
      </c>
      <c r="K375" s="1477">
        <v>0</v>
      </c>
      <c r="L375" s="1477">
        <f t="shared" si="125"/>
        <v>0</v>
      </c>
      <c r="M375" s="1477">
        <v>261.64999999999998</v>
      </c>
      <c r="N375" s="1477">
        <f t="shared" si="126"/>
        <v>261.64999999999998</v>
      </c>
      <c r="O375" s="1477">
        <f t="shared" si="127"/>
        <v>0</v>
      </c>
      <c r="P375" s="1477">
        <f t="shared" si="128"/>
        <v>75590.69</v>
      </c>
      <c r="Q375" s="1477">
        <f t="shared" si="129"/>
        <v>77398.69</v>
      </c>
      <c r="R375" s="1576">
        <f t="shared" si="130"/>
        <v>77398.69</v>
      </c>
      <c r="S375" s="1869">
        <v>0</v>
      </c>
      <c r="T375" s="1866">
        <v>0</v>
      </c>
      <c r="U375" s="2442"/>
      <c r="V375" s="1866">
        <f t="shared" si="132"/>
        <v>0</v>
      </c>
      <c r="W375" s="1869">
        <f t="shared" ref="W375:W382" si="141">S375+U375</f>
        <v>0</v>
      </c>
      <c r="X375" s="1870">
        <f t="shared" si="133"/>
        <v>0</v>
      </c>
      <c r="Y375" s="1871">
        <f t="shared" si="134"/>
        <v>0</v>
      </c>
      <c r="Z375" s="1694">
        <f t="shared" ref="Z375:Z382" si="142">+E375-W375</f>
        <v>261.64999999999998</v>
      </c>
      <c r="AA375" s="1872">
        <f t="shared" si="135"/>
        <v>77398.686499999996</v>
      </c>
      <c r="AB375" s="1873">
        <f t="shared" si="136"/>
        <v>0.99999995477959636</v>
      </c>
      <c r="AC375" s="1418">
        <f t="shared" si="121"/>
        <v>3.5000000061700121E-3</v>
      </c>
      <c r="AD375" s="1418">
        <f t="shared" si="122"/>
        <v>0</v>
      </c>
      <c r="AE375" s="1418">
        <v>77398.686499999996</v>
      </c>
      <c r="AF375" s="1418">
        <f t="shared" si="123"/>
        <v>-3.5000000061700121E-3</v>
      </c>
      <c r="AG375" s="1418">
        <v>295.81</v>
      </c>
      <c r="AH375" s="1418">
        <f t="shared" si="124"/>
        <v>0</v>
      </c>
      <c r="AI375" s="1428"/>
      <c r="AO375" s="2504">
        <v>0</v>
      </c>
      <c r="AP375" s="1418">
        <f t="shared" si="131"/>
        <v>0</v>
      </c>
    </row>
    <row r="376" spans="1:42" s="1410" customFormat="1" ht="15.75">
      <c r="A376" s="2102"/>
      <c r="B376" s="1268" t="s">
        <v>2446</v>
      </c>
      <c r="C376" s="1241" t="s">
        <v>3162</v>
      </c>
      <c r="D376" s="1245" t="s">
        <v>38</v>
      </c>
      <c r="E376" s="1413">
        <v>22</v>
      </c>
      <c r="F376" s="1555">
        <v>354.25</v>
      </c>
      <c r="G376" s="1480">
        <v>367.45</v>
      </c>
      <c r="H376" s="1414">
        <v>374.36</v>
      </c>
      <c r="I376" s="1477">
        <f t="shared" si="119"/>
        <v>7793.5</v>
      </c>
      <c r="J376" s="1477">
        <f t="shared" si="120"/>
        <v>8083.9</v>
      </c>
      <c r="K376" s="1477">
        <v>0</v>
      </c>
      <c r="L376" s="1477">
        <f t="shared" si="125"/>
        <v>0</v>
      </c>
      <c r="M376" s="1477">
        <v>22</v>
      </c>
      <c r="N376" s="1477">
        <f t="shared" si="126"/>
        <v>22</v>
      </c>
      <c r="O376" s="1477">
        <f t="shared" si="127"/>
        <v>0</v>
      </c>
      <c r="P376" s="1477">
        <f t="shared" si="128"/>
        <v>8083.9</v>
      </c>
      <c r="Q376" s="1477">
        <f t="shared" si="129"/>
        <v>8235.92</v>
      </c>
      <c r="R376" s="1576">
        <f t="shared" si="130"/>
        <v>8235.92</v>
      </c>
      <c r="S376" s="1869">
        <v>0</v>
      </c>
      <c r="T376" s="1866">
        <v>0</v>
      </c>
      <c r="U376" s="2442"/>
      <c r="V376" s="1866">
        <f t="shared" si="132"/>
        <v>0</v>
      </c>
      <c r="W376" s="1869">
        <f t="shared" si="141"/>
        <v>0</v>
      </c>
      <c r="X376" s="1870">
        <f t="shared" si="133"/>
        <v>0</v>
      </c>
      <c r="Y376" s="1871">
        <f t="shared" si="134"/>
        <v>0</v>
      </c>
      <c r="Z376" s="1694">
        <f t="shared" si="142"/>
        <v>22</v>
      </c>
      <c r="AA376" s="1872">
        <f t="shared" si="135"/>
        <v>8235.92</v>
      </c>
      <c r="AB376" s="1873">
        <f t="shared" si="136"/>
        <v>1</v>
      </c>
      <c r="AC376" s="1418">
        <f t="shared" si="121"/>
        <v>0</v>
      </c>
      <c r="AD376" s="1418">
        <f t="shared" si="122"/>
        <v>0</v>
      </c>
      <c r="AE376" s="1418">
        <v>8235.92</v>
      </c>
      <c r="AF376" s="1418">
        <f t="shared" si="123"/>
        <v>0</v>
      </c>
      <c r="AG376" s="1418">
        <v>374.36</v>
      </c>
      <c r="AH376" s="1418">
        <f t="shared" si="124"/>
        <v>0</v>
      </c>
      <c r="AI376" s="1428"/>
      <c r="AO376" s="2504">
        <v>0</v>
      </c>
      <c r="AP376" s="1418">
        <f t="shared" si="131"/>
        <v>0</v>
      </c>
    </row>
    <row r="377" spans="1:42" s="1410" customFormat="1" ht="15.75">
      <c r="A377" s="2102"/>
      <c r="B377" s="1268" t="s">
        <v>2447</v>
      </c>
      <c r="C377" s="1241" t="s">
        <v>3163</v>
      </c>
      <c r="D377" s="1245" t="s">
        <v>36</v>
      </c>
      <c r="E377" s="1413">
        <v>4</v>
      </c>
      <c r="F377" s="1555">
        <v>158.97</v>
      </c>
      <c r="G377" s="1480">
        <v>163.04</v>
      </c>
      <c r="H377" s="1414">
        <v>165.22</v>
      </c>
      <c r="I377" s="1477">
        <f t="shared" si="119"/>
        <v>635.88</v>
      </c>
      <c r="J377" s="1477">
        <f t="shared" si="120"/>
        <v>652.16</v>
      </c>
      <c r="K377" s="1477">
        <v>0</v>
      </c>
      <c r="L377" s="1477">
        <f t="shared" si="125"/>
        <v>0</v>
      </c>
      <c r="M377" s="1477">
        <v>4</v>
      </c>
      <c r="N377" s="1477">
        <f t="shared" si="126"/>
        <v>4</v>
      </c>
      <c r="O377" s="1477">
        <f t="shared" si="127"/>
        <v>0</v>
      </c>
      <c r="P377" s="1477">
        <f t="shared" si="128"/>
        <v>652.16</v>
      </c>
      <c r="Q377" s="1477">
        <f t="shared" si="129"/>
        <v>660.88</v>
      </c>
      <c r="R377" s="1576">
        <f t="shared" si="130"/>
        <v>660.88</v>
      </c>
      <c r="S377" s="1869">
        <v>0</v>
      </c>
      <c r="T377" s="1866">
        <v>0</v>
      </c>
      <c r="U377" s="2442"/>
      <c r="V377" s="1866">
        <f t="shared" si="132"/>
        <v>0</v>
      </c>
      <c r="W377" s="1869">
        <f t="shared" si="141"/>
        <v>0</v>
      </c>
      <c r="X377" s="1870">
        <f t="shared" si="133"/>
        <v>0</v>
      </c>
      <c r="Y377" s="1871">
        <f t="shared" si="134"/>
        <v>0</v>
      </c>
      <c r="Z377" s="1694">
        <f t="shared" si="142"/>
        <v>4</v>
      </c>
      <c r="AA377" s="1872">
        <f t="shared" si="135"/>
        <v>660.88</v>
      </c>
      <c r="AB377" s="1873">
        <f t="shared" si="136"/>
        <v>1</v>
      </c>
      <c r="AC377" s="1418">
        <f t="shared" si="121"/>
        <v>0</v>
      </c>
      <c r="AD377" s="1418">
        <f t="shared" si="122"/>
        <v>0</v>
      </c>
      <c r="AE377" s="1418">
        <v>660.88</v>
      </c>
      <c r="AF377" s="1418">
        <f t="shared" si="123"/>
        <v>0</v>
      </c>
      <c r="AG377" s="1418">
        <v>165.22</v>
      </c>
      <c r="AH377" s="1418">
        <f t="shared" si="124"/>
        <v>0</v>
      </c>
      <c r="AI377" s="1428"/>
      <c r="AO377" s="2504">
        <v>0</v>
      </c>
      <c r="AP377" s="1418">
        <f t="shared" si="131"/>
        <v>0</v>
      </c>
    </row>
    <row r="378" spans="1:42" s="1410" customFormat="1" ht="15.75">
      <c r="A378" s="2102"/>
      <c r="B378" s="1268" t="s">
        <v>2448</v>
      </c>
      <c r="C378" s="1241" t="s">
        <v>3164</v>
      </c>
      <c r="D378" s="1245" t="s">
        <v>36</v>
      </c>
      <c r="E378" s="1413">
        <v>2</v>
      </c>
      <c r="F378" s="1555">
        <v>140.47999999999999</v>
      </c>
      <c r="G378" s="1480">
        <v>144.55000000000001</v>
      </c>
      <c r="H378" s="1414">
        <v>146.72999999999999</v>
      </c>
      <c r="I378" s="1477">
        <f t="shared" si="119"/>
        <v>280.95999999999998</v>
      </c>
      <c r="J378" s="1477">
        <f t="shared" si="120"/>
        <v>289.10000000000002</v>
      </c>
      <c r="K378" s="1477">
        <v>0</v>
      </c>
      <c r="L378" s="1477">
        <f t="shared" si="125"/>
        <v>0</v>
      </c>
      <c r="M378" s="1477">
        <v>2</v>
      </c>
      <c r="N378" s="1477">
        <f t="shared" si="126"/>
        <v>2</v>
      </c>
      <c r="O378" s="1477">
        <f t="shared" si="127"/>
        <v>0</v>
      </c>
      <c r="P378" s="1477">
        <f t="shared" si="128"/>
        <v>289.10000000000002</v>
      </c>
      <c r="Q378" s="1477">
        <f t="shared" si="129"/>
        <v>293.45999999999998</v>
      </c>
      <c r="R378" s="1576">
        <f t="shared" si="130"/>
        <v>293.45999999999998</v>
      </c>
      <c r="S378" s="1869">
        <v>0</v>
      </c>
      <c r="T378" s="1866">
        <v>0</v>
      </c>
      <c r="U378" s="2442"/>
      <c r="V378" s="1866">
        <f t="shared" si="132"/>
        <v>0</v>
      </c>
      <c r="W378" s="1869">
        <f t="shared" si="141"/>
        <v>0</v>
      </c>
      <c r="X378" s="1870">
        <f t="shared" si="133"/>
        <v>0</v>
      </c>
      <c r="Y378" s="1871">
        <f t="shared" si="134"/>
        <v>0</v>
      </c>
      <c r="Z378" s="1694">
        <f t="shared" si="142"/>
        <v>2</v>
      </c>
      <c r="AA378" s="1872">
        <f t="shared" si="135"/>
        <v>293.45999999999998</v>
      </c>
      <c r="AB378" s="1873">
        <f t="shared" si="136"/>
        <v>1</v>
      </c>
      <c r="AC378" s="1418">
        <f t="shared" si="121"/>
        <v>0</v>
      </c>
      <c r="AD378" s="1418">
        <f t="shared" si="122"/>
        <v>0</v>
      </c>
      <c r="AE378" s="1418">
        <v>293.45999999999998</v>
      </c>
      <c r="AF378" s="1418">
        <f t="shared" si="123"/>
        <v>0</v>
      </c>
      <c r="AG378" s="1418">
        <v>146.72999999999999</v>
      </c>
      <c r="AH378" s="1418">
        <f t="shared" si="124"/>
        <v>0</v>
      </c>
      <c r="AI378" s="1428"/>
      <c r="AO378" s="2504">
        <v>0</v>
      </c>
      <c r="AP378" s="1418">
        <f t="shared" si="131"/>
        <v>0</v>
      </c>
    </row>
    <row r="379" spans="1:42" s="1410" customFormat="1" ht="15.75">
      <c r="A379" s="2102"/>
      <c r="B379" s="1268" t="s">
        <v>2449</v>
      </c>
      <c r="C379" s="1241" t="s">
        <v>3165</v>
      </c>
      <c r="D379" s="1245" t="s">
        <v>36</v>
      </c>
      <c r="E379" s="1413">
        <v>4</v>
      </c>
      <c r="F379" s="1555">
        <v>162.94999999999999</v>
      </c>
      <c r="G379" s="1480">
        <v>167.02</v>
      </c>
      <c r="H379" s="1414">
        <v>169.2</v>
      </c>
      <c r="I379" s="1477">
        <f t="shared" si="119"/>
        <v>651.79999999999995</v>
      </c>
      <c r="J379" s="1477">
        <f t="shared" si="120"/>
        <v>668.08</v>
      </c>
      <c r="K379" s="1477">
        <v>0</v>
      </c>
      <c r="L379" s="1477">
        <f t="shared" si="125"/>
        <v>0</v>
      </c>
      <c r="M379" s="1477">
        <v>4</v>
      </c>
      <c r="N379" s="1477">
        <f t="shared" si="126"/>
        <v>4</v>
      </c>
      <c r="O379" s="1477">
        <f t="shared" si="127"/>
        <v>0</v>
      </c>
      <c r="P379" s="1477">
        <f t="shared" si="128"/>
        <v>668.08</v>
      </c>
      <c r="Q379" s="1477">
        <f t="shared" si="129"/>
        <v>676.8</v>
      </c>
      <c r="R379" s="1576">
        <f t="shared" si="130"/>
        <v>676.8</v>
      </c>
      <c r="S379" s="1869">
        <v>0</v>
      </c>
      <c r="T379" s="1866">
        <v>0</v>
      </c>
      <c r="U379" s="2442"/>
      <c r="V379" s="1866">
        <f t="shared" si="132"/>
        <v>0</v>
      </c>
      <c r="W379" s="1869">
        <f t="shared" si="141"/>
        <v>0</v>
      </c>
      <c r="X379" s="1870">
        <f t="shared" si="133"/>
        <v>0</v>
      </c>
      <c r="Y379" s="1871">
        <f t="shared" si="134"/>
        <v>0</v>
      </c>
      <c r="Z379" s="1694">
        <f t="shared" si="142"/>
        <v>4</v>
      </c>
      <c r="AA379" s="1872">
        <f t="shared" si="135"/>
        <v>676.8</v>
      </c>
      <c r="AB379" s="1873">
        <f t="shared" si="136"/>
        <v>1</v>
      </c>
      <c r="AC379" s="1418">
        <f t="shared" si="121"/>
        <v>0</v>
      </c>
      <c r="AD379" s="1418">
        <f t="shared" si="122"/>
        <v>0</v>
      </c>
      <c r="AE379" s="1418">
        <v>676.8</v>
      </c>
      <c r="AF379" s="1418">
        <f t="shared" si="123"/>
        <v>0</v>
      </c>
      <c r="AG379" s="1418">
        <v>169.2</v>
      </c>
      <c r="AH379" s="1418">
        <f t="shared" si="124"/>
        <v>0</v>
      </c>
      <c r="AI379" s="1428"/>
      <c r="AO379" s="2504">
        <v>0</v>
      </c>
      <c r="AP379" s="1418">
        <f t="shared" si="131"/>
        <v>0</v>
      </c>
    </row>
    <row r="380" spans="1:42" s="1410" customFormat="1" ht="15.75">
      <c r="A380" s="2102"/>
      <c r="B380" s="1268" t="s">
        <v>2450</v>
      </c>
      <c r="C380" s="1241" t="s">
        <v>3166</v>
      </c>
      <c r="D380" s="1245" t="s">
        <v>36</v>
      </c>
      <c r="E380" s="1413">
        <v>2</v>
      </c>
      <c r="F380" s="1555">
        <v>773.97</v>
      </c>
      <c r="G380" s="1480">
        <v>804.33</v>
      </c>
      <c r="H380" s="1414">
        <v>819.88</v>
      </c>
      <c r="I380" s="1477">
        <f t="shared" si="119"/>
        <v>1547.94</v>
      </c>
      <c r="J380" s="1477">
        <f t="shared" si="120"/>
        <v>1608.66</v>
      </c>
      <c r="K380" s="1477">
        <v>0</v>
      </c>
      <c r="L380" s="1477">
        <f t="shared" si="125"/>
        <v>0</v>
      </c>
      <c r="M380" s="1477">
        <v>2</v>
      </c>
      <c r="N380" s="1477">
        <f t="shared" si="126"/>
        <v>2</v>
      </c>
      <c r="O380" s="1477">
        <f t="shared" si="127"/>
        <v>0</v>
      </c>
      <c r="P380" s="1477">
        <f t="shared" si="128"/>
        <v>1608.66</v>
      </c>
      <c r="Q380" s="1477">
        <f t="shared" si="129"/>
        <v>1639.76</v>
      </c>
      <c r="R380" s="1576">
        <f t="shared" si="130"/>
        <v>1639.76</v>
      </c>
      <c r="S380" s="1869">
        <v>0</v>
      </c>
      <c r="T380" s="1866">
        <v>0</v>
      </c>
      <c r="U380" s="2442"/>
      <c r="V380" s="1866">
        <f t="shared" si="132"/>
        <v>0</v>
      </c>
      <c r="W380" s="1869">
        <f t="shared" si="141"/>
        <v>0</v>
      </c>
      <c r="X380" s="1870">
        <f t="shared" si="133"/>
        <v>0</v>
      </c>
      <c r="Y380" s="1871">
        <f t="shared" si="134"/>
        <v>0</v>
      </c>
      <c r="Z380" s="1694">
        <f t="shared" si="142"/>
        <v>2</v>
      </c>
      <c r="AA380" s="1872">
        <f t="shared" si="135"/>
        <v>1639.76</v>
      </c>
      <c r="AB380" s="1873">
        <f t="shared" si="136"/>
        <v>1</v>
      </c>
      <c r="AC380" s="1418">
        <f t="shared" si="121"/>
        <v>0</v>
      </c>
      <c r="AD380" s="1418">
        <f t="shared" si="122"/>
        <v>0</v>
      </c>
      <c r="AE380" s="1418">
        <v>1639.76</v>
      </c>
      <c r="AF380" s="1418">
        <f t="shared" si="123"/>
        <v>0</v>
      </c>
      <c r="AG380" s="1418">
        <v>819.88</v>
      </c>
      <c r="AH380" s="1418">
        <f t="shared" si="124"/>
        <v>0</v>
      </c>
      <c r="AI380" s="1428"/>
      <c r="AO380" s="2504">
        <v>0</v>
      </c>
      <c r="AP380" s="1418">
        <f t="shared" si="131"/>
        <v>0</v>
      </c>
    </row>
    <row r="381" spans="1:42" s="1410" customFormat="1" ht="15.75">
      <c r="A381" s="2102"/>
      <c r="B381" s="1268" t="s">
        <v>2451</v>
      </c>
      <c r="C381" s="1241" t="s">
        <v>3167</v>
      </c>
      <c r="D381" s="1245" t="s">
        <v>36</v>
      </c>
      <c r="E381" s="1413">
        <v>2</v>
      </c>
      <c r="F381" s="1555">
        <v>293.56</v>
      </c>
      <c r="G381" s="1480">
        <v>305.39999999999998</v>
      </c>
      <c r="H381" s="1414">
        <v>311.57</v>
      </c>
      <c r="I381" s="1477">
        <f t="shared" si="119"/>
        <v>587.12</v>
      </c>
      <c r="J381" s="1477">
        <f t="shared" si="120"/>
        <v>610.79999999999995</v>
      </c>
      <c r="K381" s="1477">
        <v>0</v>
      </c>
      <c r="L381" s="1477">
        <f t="shared" si="125"/>
        <v>0</v>
      </c>
      <c r="M381" s="1477">
        <v>2</v>
      </c>
      <c r="N381" s="1477">
        <f t="shared" si="126"/>
        <v>2</v>
      </c>
      <c r="O381" s="1477">
        <f t="shared" si="127"/>
        <v>0</v>
      </c>
      <c r="P381" s="1477">
        <f t="shared" si="128"/>
        <v>610.79999999999995</v>
      </c>
      <c r="Q381" s="1477">
        <f t="shared" si="129"/>
        <v>623.14</v>
      </c>
      <c r="R381" s="1576">
        <f t="shared" si="130"/>
        <v>623.14</v>
      </c>
      <c r="S381" s="1869">
        <v>0</v>
      </c>
      <c r="T381" s="1866">
        <v>0</v>
      </c>
      <c r="U381" s="2442"/>
      <c r="V381" s="1866">
        <f t="shared" si="132"/>
        <v>0</v>
      </c>
      <c r="W381" s="1869">
        <f t="shared" si="141"/>
        <v>0</v>
      </c>
      <c r="X381" s="1870">
        <f t="shared" si="133"/>
        <v>0</v>
      </c>
      <c r="Y381" s="1871">
        <f t="shared" si="134"/>
        <v>0</v>
      </c>
      <c r="Z381" s="1694">
        <f t="shared" si="142"/>
        <v>2</v>
      </c>
      <c r="AA381" s="1872">
        <f t="shared" si="135"/>
        <v>623.14</v>
      </c>
      <c r="AB381" s="1873">
        <f t="shared" si="136"/>
        <v>1</v>
      </c>
      <c r="AC381" s="1418">
        <f t="shared" si="121"/>
        <v>0</v>
      </c>
      <c r="AD381" s="1418">
        <f t="shared" si="122"/>
        <v>0</v>
      </c>
      <c r="AE381" s="1418">
        <v>623.14</v>
      </c>
      <c r="AF381" s="1418">
        <f t="shared" si="123"/>
        <v>0</v>
      </c>
      <c r="AG381" s="1418">
        <v>311.57</v>
      </c>
      <c r="AH381" s="1418">
        <f t="shared" si="124"/>
        <v>0</v>
      </c>
      <c r="AI381" s="1428"/>
      <c r="AO381" s="2504">
        <v>0</v>
      </c>
      <c r="AP381" s="1418">
        <f t="shared" si="131"/>
        <v>0</v>
      </c>
    </row>
    <row r="382" spans="1:42" s="1410" customFormat="1" ht="15.75">
      <c r="A382" s="2102"/>
      <c r="B382" s="1268" t="s">
        <v>2452</v>
      </c>
      <c r="C382" s="1241" t="s">
        <v>3168</v>
      </c>
      <c r="D382" s="1245" t="s">
        <v>36</v>
      </c>
      <c r="E382" s="1413">
        <v>16</v>
      </c>
      <c r="F382" s="1555">
        <v>249.64</v>
      </c>
      <c r="G382" s="1480">
        <v>254.45</v>
      </c>
      <c r="H382" s="1414">
        <v>256.95999999999998</v>
      </c>
      <c r="I382" s="1477">
        <f t="shared" si="119"/>
        <v>3994.24</v>
      </c>
      <c r="J382" s="1477">
        <f t="shared" si="120"/>
        <v>4071.2</v>
      </c>
      <c r="K382" s="1477">
        <v>0</v>
      </c>
      <c r="L382" s="1477">
        <f t="shared" si="125"/>
        <v>0</v>
      </c>
      <c r="M382" s="1477">
        <v>16</v>
      </c>
      <c r="N382" s="1477">
        <f t="shared" si="126"/>
        <v>16</v>
      </c>
      <c r="O382" s="1477">
        <f t="shared" si="127"/>
        <v>0</v>
      </c>
      <c r="P382" s="1477">
        <f t="shared" si="128"/>
        <v>4071.2</v>
      </c>
      <c r="Q382" s="1477">
        <f t="shared" si="129"/>
        <v>4111.3599999999997</v>
      </c>
      <c r="R382" s="1576">
        <f t="shared" si="130"/>
        <v>4111.3599999999997</v>
      </c>
      <c r="S382" s="1869">
        <v>0</v>
      </c>
      <c r="T382" s="1866">
        <v>0</v>
      </c>
      <c r="U382" s="2442"/>
      <c r="V382" s="1866">
        <f t="shared" si="132"/>
        <v>0</v>
      </c>
      <c r="W382" s="1869">
        <f t="shared" si="141"/>
        <v>0</v>
      </c>
      <c r="X382" s="1870">
        <f t="shared" si="133"/>
        <v>0</v>
      </c>
      <c r="Y382" s="1871">
        <f t="shared" si="134"/>
        <v>0</v>
      </c>
      <c r="Z382" s="1694">
        <f t="shared" si="142"/>
        <v>16</v>
      </c>
      <c r="AA382" s="1872">
        <f t="shared" si="135"/>
        <v>4111.3599999999997</v>
      </c>
      <c r="AB382" s="1873">
        <f t="shared" si="136"/>
        <v>1</v>
      </c>
      <c r="AC382" s="1418">
        <f t="shared" si="121"/>
        <v>0</v>
      </c>
      <c r="AD382" s="1418">
        <f t="shared" si="122"/>
        <v>0</v>
      </c>
      <c r="AE382" s="1418">
        <v>4111.3599999999997</v>
      </c>
      <c r="AF382" s="1418">
        <f t="shared" si="123"/>
        <v>0</v>
      </c>
      <c r="AG382" s="1418">
        <v>256.95999999999998</v>
      </c>
      <c r="AH382" s="1418">
        <f t="shared" si="124"/>
        <v>0</v>
      </c>
      <c r="AI382" s="1428"/>
      <c r="AO382" s="2504">
        <v>0</v>
      </c>
      <c r="AP382" s="1418">
        <f t="shared" si="131"/>
        <v>0</v>
      </c>
    </row>
    <row r="383" spans="1:42" s="1231" customFormat="1" ht="15.75">
      <c r="A383" s="2103"/>
      <c r="B383" s="1263" t="s">
        <v>1011</v>
      </c>
      <c r="C383" s="1264" t="s">
        <v>3169</v>
      </c>
      <c r="D383" s="1265"/>
      <c r="E383" s="1266"/>
      <c r="F383" s="1267"/>
      <c r="G383" s="1480"/>
      <c r="H383" s="1267"/>
      <c r="I383" s="1477">
        <f t="shared" si="119"/>
        <v>0</v>
      </c>
      <c r="J383" s="1477">
        <f t="shared" si="120"/>
        <v>0</v>
      </c>
      <c r="K383" s="1477"/>
      <c r="L383" s="1477">
        <f t="shared" si="125"/>
        <v>0</v>
      </c>
      <c r="M383" s="1477"/>
      <c r="N383" s="1477">
        <f t="shared" si="126"/>
        <v>0</v>
      </c>
      <c r="O383" s="1477">
        <f t="shared" si="127"/>
        <v>0</v>
      </c>
      <c r="P383" s="1477">
        <f t="shared" si="128"/>
        <v>0</v>
      </c>
      <c r="Q383" s="1477">
        <f t="shared" si="129"/>
        <v>0</v>
      </c>
      <c r="R383" s="1576">
        <f t="shared" si="130"/>
        <v>0</v>
      </c>
      <c r="S383" s="2452"/>
      <c r="T383" s="1866"/>
      <c r="U383" s="2442"/>
      <c r="V383" s="1866">
        <f t="shared" si="132"/>
        <v>0</v>
      </c>
      <c r="W383" s="2452"/>
      <c r="X383" s="1870"/>
      <c r="Y383" s="1871" t="str">
        <f t="shared" si="134"/>
        <v/>
      </c>
      <c r="Z383" s="1694"/>
      <c r="AA383" s="1872">
        <f t="shared" si="135"/>
        <v>0</v>
      </c>
      <c r="AB383" s="1873" t="str">
        <f t="shared" si="136"/>
        <v/>
      </c>
      <c r="AC383" s="1418">
        <f t="shared" si="121"/>
        <v>0</v>
      </c>
      <c r="AD383" s="1418">
        <f t="shared" si="122"/>
        <v>0</v>
      </c>
      <c r="AE383" s="1230"/>
      <c r="AF383" s="1230">
        <f t="shared" si="123"/>
        <v>0</v>
      </c>
      <c r="AG383" s="1230"/>
      <c r="AH383" s="1418">
        <f t="shared" si="124"/>
        <v>0</v>
      </c>
      <c r="AI383" s="1346"/>
      <c r="AO383" s="1736"/>
      <c r="AP383" s="1418">
        <f t="shared" si="131"/>
        <v>0</v>
      </c>
    </row>
    <row r="384" spans="1:42" s="1410" customFormat="1" ht="15.75">
      <c r="A384" s="2102"/>
      <c r="B384" s="1268" t="s">
        <v>1012</v>
      </c>
      <c r="C384" s="1241" t="s">
        <v>3170</v>
      </c>
      <c r="D384" s="1245" t="s">
        <v>1450</v>
      </c>
      <c r="E384" s="1413">
        <v>426</v>
      </c>
      <c r="F384" s="1555">
        <v>29.71</v>
      </c>
      <c r="G384" s="1480">
        <v>29.86</v>
      </c>
      <c r="H384" s="1414">
        <v>29.94</v>
      </c>
      <c r="I384" s="1477">
        <f t="shared" si="119"/>
        <v>12656.46</v>
      </c>
      <c r="J384" s="1477">
        <f t="shared" si="120"/>
        <v>12720.36</v>
      </c>
      <c r="K384" s="1477">
        <v>0</v>
      </c>
      <c r="L384" s="1477">
        <f t="shared" si="125"/>
        <v>0</v>
      </c>
      <c r="M384" s="1477">
        <v>426</v>
      </c>
      <c r="N384" s="1477">
        <f t="shared" si="126"/>
        <v>426</v>
      </c>
      <c r="O384" s="1477">
        <f t="shared" si="127"/>
        <v>0</v>
      </c>
      <c r="P384" s="1477">
        <f t="shared" si="128"/>
        <v>12720.36</v>
      </c>
      <c r="Q384" s="1477">
        <f t="shared" si="129"/>
        <v>12754.44</v>
      </c>
      <c r="R384" s="1576">
        <f t="shared" si="130"/>
        <v>12754.44</v>
      </c>
      <c r="S384" s="1869">
        <v>151</v>
      </c>
      <c r="T384" s="1866">
        <v>4520.9400000000005</v>
      </c>
      <c r="U384" s="2442"/>
      <c r="V384" s="1866">
        <f t="shared" si="132"/>
        <v>0</v>
      </c>
      <c r="W384" s="1869">
        <f t="shared" ref="W384:W393" si="143">S384+U384</f>
        <v>151</v>
      </c>
      <c r="X384" s="1870">
        <f t="shared" si="133"/>
        <v>4520.9400000000005</v>
      </c>
      <c r="Y384" s="1871">
        <f t="shared" si="134"/>
        <v>0.35446009389671362</v>
      </c>
      <c r="Z384" s="1694">
        <f t="shared" ref="Z384:Z393" si="144">+E384-W384</f>
        <v>275</v>
      </c>
      <c r="AA384" s="1872">
        <f t="shared" si="135"/>
        <v>8233.5</v>
      </c>
      <c r="AB384" s="1873">
        <f t="shared" si="136"/>
        <v>0.64553990610328638</v>
      </c>
      <c r="AC384" s="1418">
        <f t="shared" si="121"/>
        <v>0</v>
      </c>
      <c r="AD384" s="1418">
        <f t="shared" si="122"/>
        <v>0</v>
      </c>
      <c r="AE384" s="1418">
        <v>12754.44</v>
      </c>
      <c r="AF384" s="1418">
        <f t="shared" si="123"/>
        <v>0</v>
      </c>
      <c r="AG384" s="1418">
        <v>29.94</v>
      </c>
      <c r="AH384" s="1418">
        <f t="shared" si="124"/>
        <v>0</v>
      </c>
      <c r="AI384" s="1428"/>
      <c r="AO384" s="2504">
        <v>4520.9400000000005</v>
      </c>
      <c r="AP384" s="1418">
        <f t="shared" si="131"/>
        <v>0</v>
      </c>
    </row>
    <row r="385" spans="1:42" s="1410" customFormat="1" ht="15.75">
      <c r="A385" s="2102"/>
      <c r="B385" s="1268" t="s">
        <v>2453</v>
      </c>
      <c r="C385" s="1241" t="s">
        <v>3171</v>
      </c>
      <c r="D385" s="1245" t="s">
        <v>36</v>
      </c>
      <c r="E385" s="1413">
        <v>90</v>
      </c>
      <c r="F385" s="1555">
        <v>19.71</v>
      </c>
      <c r="G385" s="1480">
        <v>19.86</v>
      </c>
      <c r="H385" s="1414">
        <v>19.940000000000001</v>
      </c>
      <c r="I385" s="1477">
        <f t="shared" si="119"/>
        <v>1773.9</v>
      </c>
      <c r="J385" s="1477">
        <f t="shared" si="120"/>
        <v>1787.4</v>
      </c>
      <c r="K385" s="1477">
        <v>0</v>
      </c>
      <c r="L385" s="1477">
        <f t="shared" si="125"/>
        <v>0</v>
      </c>
      <c r="M385" s="1477">
        <v>90</v>
      </c>
      <c r="N385" s="1477">
        <f t="shared" si="126"/>
        <v>90</v>
      </c>
      <c r="O385" s="1477">
        <f t="shared" si="127"/>
        <v>0</v>
      </c>
      <c r="P385" s="1477">
        <f t="shared" si="128"/>
        <v>1787.4</v>
      </c>
      <c r="Q385" s="1477">
        <f t="shared" si="129"/>
        <v>1794.6</v>
      </c>
      <c r="R385" s="1576">
        <f t="shared" si="130"/>
        <v>1794.6</v>
      </c>
      <c r="S385" s="1869">
        <v>0</v>
      </c>
      <c r="T385" s="1866">
        <v>0</v>
      </c>
      <c r="U385" s="2442"/>
      <c r="V385" s="1866">
        <f t="shared" si="132"/>
        <v>0</v>
      </c>
      <c r="W385" s="1869">
        <f t="shared" si="143"/>
        <v>0</v>
      </c>
      <c r="X385" s="1870">
        <f t="shared" si="133"/>
        <v>0</v>
      </c>
      <c r="Y385" s="1871">
        <f t="shared" si="134"/>
        <v>0</v>
      </c>
      <c r="Z385" s="1694">
        <f t="shared" si="144"/>
        <v>90</v>
      </c>
      <c r="AA385" s="1872">
        <f t="shared" si="135"/>
        <v>1794.6000000000001</v>
      </c>
      <c r="AB385" s="1873">
        <f t="shared" si="136"/>
        <v>1.0000000000000002</v>
      </c>
      <c r="AC385" s="1418">
        <f t="shared" si="121"/>
        <v>0</v>
      </c>
      <c r="AD385" s="1418">
        <f t="shared" si="122"/>
        <v>0</v>
      </c>
      <c r="AE385" s="1418">
        <v>1794.6000000000001</v>
      </c>
      <c r="AF385" s="1418">
        <f t="shared" si="123"/>
        <v>0</v>
      </c>
      <c r="AG385" s="1418">
        <v>19.940000000000001</v>
      </c>
      <c r="AH385" s="1418">
        <f t="shared" si="124"/>
        <v>0</v>
      </c>
      <c r="AI385" s="1428"/>
      <c r="AO385" s="2504">
        <v>0</v>
      </c>
      <c r="AP385" s="1418">
        <f t="shared" si="131"/>
        <v>0</v>
      </c>
    </row>
    <row r="386" spans="1:42" s="1410" customFormat="1" ht="15.75">
      <c r="A386" s="2102"/>
      <c r="B386" s="1268" t="s">
        <v>2454</v>
      </c>
      <c r="C386" s="1241" t="s">
        <v>3172</v>
      </c>
      <c r="D386" s="1245" t="s">
        <v>36</v>
      </c>
      <c r="E386" s="1413">
        <v>8</v>
      </c>
      <c r="F386" s="1555">
        <v>112.91</v>
      </c>
      <c r="G386" s="1480">
        <v>113.16</v>
      </c>
      <c r="H386" s="1414">
        <v>113.29</v>
      </c>
      <c r="I386" s="1477">
        <f t="shared" si="119"/>
        <v>903.28</v>
      </c>
      <c r="J386" s="1477">
        <f t="shared" si="120"/>
        <v>905.28</v>
      </c>
      <c r="K386" s="1477">
        <v>0</v>
      </c>
      <c r="L386" s="1477">
        <f t="shared" si="125"/>
        <v>0</v>
      </c>
      <c r="M386" s="1477">
        <v>8</v>
      </c>
      <c r="N386" s="1477">
        <f t="shared" si="126"/>
        <v>8</v>
      </c>
      <c r="O386" s="1477">
        <f t="shared" si="127"/>
        <v>0</v>
      </c>
      <c r="P386" s="1477">
        <f t="shared" si="128"/>
        <v>905.28</v>
      </c>
      <c r="Q386" s="1477">
        <f t="shared" si="129"/>
        <v>906.32</v>
      </c>
      <c r="R386" s="1576">
        <f t="shared" si="130"/>
        <v>906.32</v>
      </c>
      <c r="S386" s="1869">
        <v>0</v>
      </c>
      <c r="T386" s="1866">
        <v>0</v>
      </c>
      <c r="U386" s="2442"/>
      <c r="V386" s="1866">
        <f t="shared" si="132"/>
        <v>0</v>
      </c>
      <c r="W386" s="1869">
        <f t="shared" si="143"/>
        <v>0</v>
      </c>
      <c r="X386" s="1870">
        <f t="shared" si="133"/>
        <v>0</v>
      </c>
      <c r="Y386" s="1871">
        <f t="shared" si="134"/>
        <v>0</v>
      </c>
      <c r="Z386" s="1694">
        <f t="shared" si="144"/>
        <v>8</v>
      </c>
      <c r="AA386" s="1872">
        <f t="shared" si="135"/>
        <v>906.32</v>
      </c>
      <c r="AB386" s="1873">
        <f t="shared" si="136"/>
        <v>1</v>
      </c>
      <c r="AC386" s="1418">
        <f t="shared" si="121"/>
        <v>0</v>
      </c>
      <c r="AD386" s="1418">
        <f t="shared" si="122"/>
        <v>0</v>
      </c>
      <c r="AE386" s="1418">
        <v>906.32</v>
      </c>
      <c r="AF386" s="1418">
        <f t="shared" si="123"/>
        <v>0</v>
      </c>
      <c r="AG386" s="1418">
        <v>113.29</v>
      </c>
      <c r="AH386" s="1418">
        <f t="shared" si="124"/>
        <v>0</v>
      </c>
      <c r="AI386" s="1428"/>
      <c r="AO386" s="2504">
        <v>0</v>
      </c>
      <c r="AP386" s="1418">
        <f t="shared" si="131"/>
        <v>0</v>
      </c>
    </row>
    <row r="387" spans="1:42" s="1410" customFormat="1" ht="15.75">
      <c r="A387" s="2102"/>
      <c r="B387" s="1268" t="s">
        <v>2455</v>
      </c>
      <c r="C387" s="1241" t="s">
        <v>3173</v>
      </c>
      <c r="D387" s="1245" t="s">
        <v>36</v>
      </c>
      <c r="E387" s="1413">
        <v>69</v>
      </c>
      <c r="F387" s="1555">
        <v>93.5</v>
      </c>
      <c r="G387" s="1480">
        <v>95.4</v>
      </c>
      <c r="H387" s="1414">
        <v>96.42</v>
      </c>
      <c r="I387" s="1477">
        <f t="shared" si="119"/>
        <v>6451.5</v>
      </c>
      <c r="J387" s="1477">
        <f t="shared" si="120"/>
        <v>6582.6</v>
      </c>
      <c r="K387" s="1477">
        <v>0</v>
      </c>
      <c r="L387" s="1477">
        <f t="shared" si="125"/>
        <v>0</v>
      </c>
      <c r="M387" s="1477">
        <v>69</v>
      </c>
      <c r="N387" s="1477">
        <f t="shared" si="126"/>
        <v>69</v>
      </c>
      <c r="O387" s="1477">
        <f t="shared" si="127"/>
        <v>0</v>
      </c>
      <c r="P387" s="1477">
        <f t="shared" si="128"/>
        <v>6582.6</v>
      </c>
      <c r="Q387" s="1477">
        <f t="shared" si="129"/>
        <v>6652.98</v>
      </c>
      <c r="R387" s="1576">
        <f t="shared" si="130"/>
        <v>6652.98</v>
      </c>
      <c r="S387" s="1869">
        <v>32</v>
      </c>
      <c r="T387" s="1866">
        <v>3085.44</v>
      </c>
      <c r="U387" s="2442"/>
      <c r="V387" s="1866">
        <f t="shared" si="132"/>
        <v>0</v>
      </c>
      <c r="W387" s="1869">
        <f t="shared" si="143"/>
        <v>32</v>
      </c>
      <c r="X387" s="1870">
        <f t="shared" si="133"/>
        <v>3085.44</v>
      </c>
      <c r="Y387" s="1871">
        <f t="shared" si="134"/>
        <v>0.46376811594202905</v>
      </c>
      <c r="Z387" s="1694">
        <f t="shared" si="144"/>
        <v>37</v>
      </c>
      <c r="AA387" s="1872">
        <f t="shared" si="135"/>
        <v>3567.54</v>
      </c>
      <c r="AB387" s="1873">
        <f t="shared" si="136"/>
        <v>0.53623188405797106</v>
      </c>
      <c r="AC387" s="1418">
        <f t="shared" si="121"/>
        <v>0</v>
      </c>
      <c r="AD387" s="1418">
        <f t="shared" si="122"/>
        <v>0</v>
      </c>
      <c r="AE387" s="1418">
        <v>6652.9800000000005</v>
      </c>
      <c r="AF387" s="1418">
        <f t="shared" si="123"/>
        <v>0</v>
      </c>
      <c r="AG387" s="1418">
        <v>96.42</v>
      </c>
      <c r="AH387" s="1418">
        <f t="shared" si="124"/>
        <v>0</v>
      </c>
      <c r="AI387" s="1428"/>
      <c r="AO387" s="2504">
        <v>3085.44</v>
      </c>
      <c r="AP387" s="1418">
        <f t="shared" si="131"/>
        <v>0</v>
      </c>
    </row>
    <row r="388" spans="1:42" s="1410" customFormat="1" ht="15.75">
      <c r="A388" s="2102"/>
      <c r="B388" s="1268" t="s">
        <v>2456</v>
      </c>
      <c r="C388" s="1241" t="s">
        <v>3174</v>
      </c>
      <c r="D388" s="1245" t="s">
        <v>36</v>
      </c>
      <c r="E388" s="1413">
        <v>72</v>
      </c>
      <c r="F388" s="1555">
        <v>73.52</v>
      </c>
      <c r="G388" s="1480">
        <v>75.42</v>
      </c>
      <c r="H388" s="1414">
        <v>76.44</v>
      </c>
      <c r="I388" s="1477">
        <f t="shared" si="119"/>
        <v>5293.44</v>
      </c>
      <c r="J388" s="1477">
        <f t="shared" si="120"/>
        <v>5430.24</v>
      </c>
      <c r="K388" s="1477">
        <v>0</v>
      </c>
      <c r="L388" s="1477">
        <f t="shared" si="125"/>
        <v>0</v>
      </c>
      <c r="M388" s="1477">
        <v>72</v>
      </c>
      <c r="N388" s="1477">
        <f t="shared" si="126"/>
        <v>72</v>
      </c>
      <c r="O388" s="1477">
        <f t="shared" si="127"/>
        <v>0</v>
      </c>
      <c r="P388" s="1477">
        <f t="shared" si="128"/>
        <v>5430.24</v>
      </c>
      <c r="Q388" s="1477">
        <f t="shared" si="129"/>
        <v>5503.68</v>
      </c>
      <c r="R388" s="1576">
        <f t="shared" si="130"/>
        <v>5503.68</v>
      </c>
      <c r="S388" s="1869">
        <v>0</v>
      </c>
      <c r="T388" s="1866">
        <v>0</v>
      </c>
      <c r="U388" s="2442"/>
      <c r="V388" s="1866">
        <f t="shared" si="132"/>
        <v>0</v>
      </c>
      <c r="W388" s="1869">
        <f t="shared" si="143"/>
        <v>0</v>
      </c>
      <c r="X388" s="1870">
        <f t="shared" si="133"/>
        <v>0</v>
      </c>
      <c r="Y388" s="1871">
        <f t="shared" si="134"/>
        <v>0</v>
      </c>
      <c r="Z388" s="1694">
        <f t="shared" si="144"/>
        <v>72</v>
      </c>
      <c r="AA388" s="1872">
        <f t="shared" si="135"/>
        <v>5503.68</v>
      </c>
      <c r="AB388" s="1873">
        <f t="shared" si="136"/>
        <v>1</v>
      </c>
      <c r="AC388" s="1418">
        <f t="shared" si="121"/>
        <v>0</v>
      </c>
      <c r="AD388" s="1418">
        <f t="shared" si="122"/>
        <v>0</v>
      </c>
      <c r="AE388" s="1418">
        <v>5503.68</v>
      </c>
      <c r="AF388" s="1418">
        <f t="shared" si="123"/>
        <v>0</v>
      </c>
      <c r="AG388" s="1418">
        <v>76.44</v>
      </c>
      <c r="AH388" s="1418">
        <f t="shared" si="124"/>
        <v>0</v>
      </c>
      <c r="AI388" s="1428"/>
      <c r="AO388" s="2504">
        <v>0</v>
      </c>
      <c r="AP388" s="1418">
        <f t="shared" si="131"/>
        <v>0</v>
      </c>
    </row>
    <row r="389" spans="1:42" s="1410" customFormat="1" ht="15.75">
      <c r="A389" s="2102"/>
      <c r="B389" s="1268" t="s">
        <v>2457</v>
      </c>
      <c r="C389" s="1241" t="s">
        <v>3175</v>
      </c>
      <c r="D389" s="1245" t="s">
        <v>36</v>
      </c>
      <c r="E389" s="1413">
        <v>10</v>
      </c>
      <c r="F389" s="1555">
        <v>110.5</v>
      </c>
      <c r="G389" s="1480">
        <v>112.4</v>
      </c>
      <c r="H389" s="1414">
        <v>113.42</v>
      </c>
      <c r="I389" s="1477">
        <f t="shared" si="119"/>
        <v>1105</v>
      </c>
      <c r="J389" s="1477">
        <f t="shared" si="120"/>
        <v>1124</v>
      </c>
      <c r="K389" s="1477">
        <v>0</v>
      </c>
      <c r="L389" s="1477">
        <f t="shared" si="125"/>
        <v>0</v>
      </c>
      <c r="M389" s="1477">
        <v>10</v>
      </c>
      <c r="N389" s="1477">
        <f t="shared" si="126"/>
        <v>10</v>
      </c>
      <c r="O389" s="1477">
        <f t="shared" si="127"/>
        <v>0</v>
      </c>
      <c r="P389" s="1477">
        <f t="shared" si="128"/>
        <v>1124</v>
      </c>
      <c r="Q389" s="1477">
        <f t="shared" si="129"/>
        <v>1134.2</v>
      </c>
      <c r="R389" s="1576">
        <f t="shared" si="130"/>
        <v>1134.2</v>
      </c>
      <c r="S389" s="1869">
        <v>0</v>
      </c>
      <c r="T389" s="1866">
        <v>0</v>
      </c>
      <c r="U389" s="2442"/>
      <c r="V389" s="1866">
        <f t="shared" si="132"/>
        <v>0</v>
      </c>
      <c r="W389" s="1869">
        <f t="shared" si="143"/>
        <v>0</v>
      </c>
      <c r="X389" s="1870">
        <f t="shared" si="133"/>
        <v>0</v>
      </c>
      <c r="Y389" s="1871">
        <f t="shared" si="134"/>
        <v>0</v>
      </c>
      <c r="Z389" s="1694">
        <f t="shared" si="144"/>
        <v>10</v>
      </c>
      <c r="AA389" s="1872">
        <f t="shared" si="135"/>
        <v>1134.2</v>
      </c>
      <c r="AB389" s="1873">
        <f t="shared" si="136"/>
        <v>1</v>
      </c>
      <c r="AC389" s="1418">
        <f t="shared" si="121"/>
        <v>0</v>
      </c>
      <c r="AD389" s="1418">
        <f t="shared" si="122"/>
        <v>0</v>
      </c>
      <c r="AE389" s="1418">
        <v>1134.2</v>
      </c>
      <c r="AF389" s="1418">
        <f t="shared" si="123"/>
        <v>0</v>
      </c>
      <c r="AG389" s="1418">
        <v>113.42</v>
      </c>
      <c r="AH389" s="1418">
        <f t="shared" si="124"/>
        <v>0</v>
      </c>
      <c r="AI389" s="1428"/>
      <c r="AO389" s="2504">
        <v>0</v>
      </c>
      <c r="AP389" s="1418">
        <f t="shared" si="131"/>
        <v>0</v>
      </c>
    </row>
    <row r="390" spans="1:42" s="1410" customFormat="1" ht="15.75">
      <c r="A390" s="2102"/>
      <c r="B390" s="1268" t="s">
        <v>2458</v>
      </c>
      <c r="C390" s="1241" t="s">
        <v>3176</v>
      </c>
      <c r="D390" s="1245" t="s">
        <v>36</v>
      </c>
      <c r="E390" s="1413">
        <v>6</v>
      </c>
      <c r="F390" s="1555">
        <v>73.52</v>
      </c>
      <c r="G390" s="1480">
        <v>75.42</v>
      </c>
      <c r="H390" s="1414">
        <v>76.44</v>
      </c>
      <c r="I390" s="1477">
        <f t="shared" si="119"/>
        <v>441.12</v>
      </c>
      <c r="J390" s="1477">
        <f t="shared" si="120"/>
        <v>452.52</v>
      </c>
      <c r="K390" s="1477">
        <v>0</v>
      </c>
      <c r="L390" s="1477">
        <f t="shared" si="125"/>
        <v>0</v>
      </c>
      <c r="M390" s="1477">
        <v>6</v>
      </c>
      <c r="N390" s="1477">
        <f t="shared" si="126"/>
        <v>6</v>
      </c>
      <c r="O390" s="1477">
        <f t="shared" si="127"/>
        <v>0</v>
      </c>
      <c r="P390" s="1477">
        <f t="shared" si="128"/>
        <v>452.52</v>
      </c>
      <c r="Q390" s="1477">
        <f t="shared" si="129"/>
        <v>458.64</v>
      </c>
      <c r="R390" s="1576">
        <f t="shared" si="130"/>
        <v>458.64</v>
      </c>
      <c r="S390" s="1869">
        <v>0</v>
      </c>
      <c r="T390" s="1866">
        <v>0</v>
      </c>
      <c r="U390" s="2442"/>
      <c r="V390" s="1866">
        <f t="shared" si="132"/>
        <v>0</v>
      </c>
      <c r="W390" s="1869">
        <f t="shared" si="143"/>
        <v>0</v>
      </c>
      <c r="X390" s="1870">
        <f t="shared" si="133"/>
        <v>0</v>
      </c>
      <c r="Y390" s="1871">
        <f t="shared" si="134"/>
        <v>0</v>
      </c>
      <c r="Z390" s="1694">
        <f t="shared" si="144"/>
        <v>6</v>
      </c>
      <c r="AA390" s="1872">
        <f t="shared" si="135"/>
        <v>458.64</v>
      </c>
      <c r="AB390" s="1873">
        <f t="shared" si="136"/>
        <v>1</v>
      </c>
      <c r="AC390" s="1418">
        <f t="shared" si="121"/>
        <v>0</v>
      </c>
      <c r="AD390" s="1418">
        <f t="shared" si="122"/>
        <v>0</v>
      </c>
      <c r="AE390" s="1418">
        <v>458.64</v>
      </c>
      <c r="AF390" s="1418">
        <f t="shared" si="123"/>
        <v>0</v>
      </c>
      <c r="AG390" s="1418">
        <v>76.44</v>
      </c>
      <c r="AH390" s="1418">
        <f t="shared" si="124"/>
        <v>0</v>
      </c>
      <c r="AI390" s="1428"/>
      <c r="AO390" s="2504">
        <v>0</v>
      </c>
      <c r="AP390" s="1418">
        <f t="shared" si="131"/>
        <v>0</v>
      </c>
    </row>
    <row r="391" spans="1:42" s="1410" customFormat="1" ht="15.75">
      <c r="A391" s="2102"/>
      <c r="B391" s="1268" t="s">
        <v>2459</v>
      </c>
      <c r="C391" s="1241" t="s">
        <v>3177</v>
      </c>
      <c r="D391" s="1245" t="s">
        <v>36</v>
      </c>
      <c r="E391" s="1413">
        <v>52</v>
      </c>
      <c r="F391" s="1555">
        <v>15.77</v>
      </c>
      <c r="G391" s="1480">
        <v>16.25</v>
      </c>
      <c r="H391" s="1414">
        <v>16.510000000000002</v>
      </c>
      <c r="I391" s="1477">
        <f t="shared" si="119"/>
        <v>820.04</v>
      </c>
      <c r="J391" s="1477">
        <f t="shared" si="120"/>
        <v>845</v>
      </c>
      <c r="K391" s="1477">
        <v>0</v>
      </c>
      <c r="L391" s="1477">
        <f t="shared" si="125"/>
        <v>0</v>
      </c>
      <c r="M391" s="1477">
        <v>52</v>
      </c>
      <c r="N391" s="1477">
        <f t="shared" si="126"/>
        <v>52</v>
      </c>
      <c r="O391" s="1477">
        <f t="shared" si="127"/>
        <v>0</v>
      </c>
      <c r="P391" s="1477">
        <f t="shared" si="128"/>
        <v>845</v>
      </c>
      <c r="Q391" s="1477">
        <f t="shared" si="129"/>
        <v>858.52</v>
      </c>
      <c r="R391" s="1576">
        <f t="shared" si="130"/>
        <v>858.52</v>
      </c>
      <c r="S391" s="1869">
        <v>0</v>
      </c>
      <c r="T391" s="1866">
        <v>0</v>
      </c>
      <c r="U391" s="2442"/>
      <c r="V391" s="1866">
        <f t="shared" si="132"/>
        <v>0</v>
      </c>
      <c r="W391" s="1869">
        <f t="shared" si="143"/>
        <v>0</v>
      </c>
      <c r="X391" s="1870">
        <f t="shared" si="133"/>
        <v>0</v>
      </c>
      <c r="Y391" s="1871">
        <f t="shared" si="134"/>
        <v>0</v>
      </c>
      <c r="Z391" s="1694">
        <f t="shared" si="144"/>
        <v>52</v>
      </c>
      <c r="AA391" s="1872">
        <f t="shared" si="135"/>
        <v>858.5200000000001</v>
      </c>
      <c r="AB391" s="1873">
        <f t="shared" si="136"/>
        <v>1.0000000000000002</v>
      </c>
      <c r="AC391" s="1418">
        <f t="shared" si="121"/>
        <v>0</v>
      </c>
      <c r="AD391" s="1418">
        <f t="shared" si="122"/>
        <v>0</v>
      </c>
      <c r="AE391" s="1418">
        <v>858.5200000000001</v>
      </c>
      <c r="AF391" s="1418">
        <f t="shared" si="123"/>
        <v>0</v>
      </c>
      <c r="AG391" s="1418">
        <v>16.510000000000002</v>
      </c>
      <c r="AH391" s="1418">
        <f t="shared" si="124"/>
        <v>0</v>
      </c>
      <c r="AI391" s="1428"/>
      <c r="AO391" s="2504">
        <v>0</v>
      </c>
      <c r="AP391" s="1418">
        <f t="shared" si="131"/>
        <v>0</v>
      </c>
    </row>
    <row r="392" spans="1:42" s="1410" customFormat="1" ht="15.75">
      <c r="A392" s="2102"/>
      <c r="B392" s="1268" t="s">
        <v>2460</v>
      </c>
      <c r="C392" s="1241" t="s">
        <v>3178</v>
      </c>
      <c r="D392" s="1245" t="s">
        <v>36</v>
      </c>
      <c r="E392" s="1413">
        <v>15</v>
      </c>
      <c r="F392" s="1555">
        <v>17.2</v>
      </c>
      <c r="G392" s="1480">
        <v>17.68</v>
      </c>
      <c r="H392" s="1414">
        <v>17.940000000000001</v>
      </c>
      <c r="I392" s="1477">
        <f t="shared" si="119"/>
        <v>258</v>
      </c>
      <c r="J392" s="1477">
        <f t="shared" si="120"/>
        <v>265.2</v>
      </c>
      <c r="K392" s="1477">
        <v>0</v>
      </c>
      <c r="L392" s="1477">
        <f t="shared" si="125"/>
        <v>0</v>
      </c>
      <c r="M392" s="1477">
        <v>15</v>
      </c>
      <c r="N392" s="1477">
        <f t="shared" si="126"/>
        <v>15</v>
      </c>
      <c r="O392" s="1477">
        <f t="shared" si="127"/>
        <v>0</v>
      </c>
      <c r="P392" s="1477">
        <f t="shared" si="128"/>
        <v>265.2</v>
      </c>
      <c r="Q392" s="1477">
        <f t="shared" si="129"/>
        <v>269.10000000000002</v>
      </c>
      <c r="R392" s="1576">
        <f t="shared" si="130"/>
        <v>269.10000000000002</v>
      </c>
      <c r="S392" s="1869">
        <v>0</v>
      </c>
      <c r="T392" s="1866">
        <v>0</v>
      </c>
      <c r="U392" s="2442"/>
      <c r="V392" s="1866">
        <f t="shared" si="132"/>
        <v>0</v>
      </c>
      <c r="W392" s="1869">
        <f t="shared" si="143"/>
        <v>0</v>
      </c>
      <c r="X392" s="1870">
        <f t="shared" si="133"/>
        <v>0</v>
      </c>
      <c r="Y392" s="1871">
        <f t="shared" si="134"/>
        <v>0</v>
      </c>
      <c r="Z392" s="1694">
        <f t="shared" si="144"/>
        <v>15</v>
      </c>
      <c r="AA392" s="1872">
        <f t="shared" si="135"/>
        <v>269.10000000000002</v>
      </c>
      <c r="AB392" s="1873">
        <f t="shared" si="136"/>
        <v>1</v>
      </c>
      <c r="AC392" s="1418">
        <f t="shared" si="121"/>
        <v>0</v>
      </c>
      <c r="AD392" s="1418">
        <f t="shared" si="122"/>
        <v>0</v>
      </c>
      <c r="AE392" s="1418">
        <v>269.10000000000002</v>
      </c>
      <c r="AF392" s="1418">
        <f t="shared" si="123"/>
        <v>0</v>
      </c>
      <c r="AG392" s="1418">
        <v>17.940000000000001</v>
      </c>
      <c r="AH392" s="1418">
        <f t="shared" si="124"/>
        <v>0</v>
      </c>
      <c r="AI392" s="1428"/>
      <c r="AO392" s="2504">
        <v>0</v>
      </c>
      <c r="AP392" s="1418">
        <f t="shared" si="131"/>
        <v>0</v>
      </c>
    </row>
    <row r="393" spans="1:42" s="1410" customFormat="1" ht="15.75">
      <c r="A393" s="2102"/>
      <c r="B393" s="1268" t="s">
        <v>2461</v>
      </c>
      <c r="C393" s="1241" t="s">
        <v>3179</v>
      </c>
      <c r="D393" s="1245" t="s">
        <v>36</v>
      </c>
      <c r="E393" s="1413">
        <v>55</v>
      </c>
      <c r="F393" s="1555">
        <v>11.92</v>
      </c>
      <c r="G393" s="1480">
        <v>12.4</v>
      </c>
      <c r="H393" s="1414">
        <v>12.66</v>
      </c>
      <c r="I393" s="1477">
        <f t="shared" si="119"/>
        <v>655.6</v>
      </c>
      <c r="J393" s="1477">
        <f t="shared" si="120"/>
        <v>682</v>
      </c>
      <c r="K393" s="1477">
        <v>0</v>
      </c>
      <c r="L393" s="1477">
        <f t="shared" si="125"/>
        <v>0</v>
      </c>
      <c r="M393" s="1477">
        <v>55</v>
      </c>
      <c r="N393" s="1477">
        <f t="shared" si="126"/>
        <v>55</v>
      </c>
      <c r="O393" s="1477">
        <f t="shared" si="127"/>
        <v>0</v>
      </c>
      <c r="P393" s="1477">
        <f t="shared" si="128"/>
        <v>682</v>
      </c>
      <c r="Q393" s="1477">
        <f t="shared" si="129"/>
        <v>696.3</v>
      </c>
      <c r="R393" s="1576">
        <f t="shared" si="130"/>
        <v>696.3</v>
      </c>
      <c r="S393" s="1869">
        <v>0</v>
      </c>
      <c r="T393" s="1866">
        <v>0</v>
      </c>
      <c r="U393" s="2442"/>
      <c r="V393" s="1866">
        <f t="shared" si="132"/>
        <v>0</v>
      </c>
      <c r="W393" s="1869">
        <f t="shared" si="143"/>
        <v>0</v>
      </c>
      <c r="X393" s="1870">
        <f t="shared" si="133"/>
        <v>0</v>
      </c>
      <c r="Y393" s="1871">
        <f t="shared" si="134"/>
        <v>0</v>
      </c>
      <c r="Z393" s="1694">
        <f t="shared" si="144"/>
        <v>55</v>
      </c>
      <c r="AA393" s="1872">
        <f t="shared" si="135"/>
        <v>696.3</v>
      </c>
      <c r="AB393" s="1873">
        <f t="shared" si="136"/>
        <v>1</v>
      </c>
      <c r="AC393" s="1418">
        <f t="shared" si="121"/>
        <v>0</v>
      </c>
      <c r="AD393" s="1418">
        <f t="shared" si="122"/>
        <v>0</v>
      </c>
      <c r="AE393" s="1418">
        <v>696.3</v>
      </c>
      <c r="AF393" s="1418">
        <f t="shared" si="123"/>
        <v>0</v>
      </c>
      <c r="AG393" s="1418">
        <v>12.66</v>
      </c>
      <c r="AH393" s="1418">
        <f t="shared" si="124"/>
        <v>0</v>
      </c>
      <c r="AI393" s="1428"/>
      <c r="AO393" s="2504">
        <v>0</v>
      </c>
      <c r="AP393" s="1418">
        <f t="shared" si="131"/>
        <v>0</v>
      </c>
    </row>
    <row r="394" spans="1:42" s="1231" customFormat="1" ht="15.75">
      <c r="A394" s="2103"/>
      <c r="B394" s="1263" t="s">
        <v>2462</v>
      </c>
      <c r="C394" s="1264" t="s">
        <v>3180</v>
      </c>
      <c r="D394" s="1265"/>
      <c r="E394" s="1266"/>
      <c r="F394" s="1267"/>
      <c r="G394" s="1480"/>
      <c r="H394" s="1267"/>
      <c r="I394" s="1477">
        <f t="shared" si="119"/>
        <v>0</v>
      </c>
      <c r="J394" s="1477">
        <f t="shared" si="120"/>
        <v>0</v>
      </c>
      <c r="K394" s="1477"/>
      <c r="L394" s="1477">
        <f t="shared" si="125"/>
        <v>0</v>
      </c>
      <c r="M394" s="1477"/>
      <c r="N394" s="1477">
        <f t="shared" si="126"/>
        <v>0</v>
      </c>
      <c r="O394" s="1477">
        <f t="shared" si="127"/>
        <v>0</v>
      </c>
      <c r="P394" s="1477">
        <f t="shared" si="128"/>
        <v>0</v>
      </c>
      <c r="Q394" s="1477">
        <f t="shared" si="129"/>
        <v>0</v>
      </c>
      <c r="R394" s="1576">
        <f t="shared" si="130"/>
        <v>0</v>
      </c>
      <c r="S394" s="2452"/>
      <c r="T394" s="1866"/>
      <c r="U394" s="2442"/>
      <c r="V394" s="1866">
        <f t="shared" si="132"/>
        <v>0</v>
      </c>
      <c r="W394" s="2452"/>
      <c r="X394" s="1870"/>
      <c r="Y394" s="1871" t="str">
        <f t="shared" si="134"/>
        <v/>
      </c>
      <c r="Z394" s="1694"/>
      <c r="AA394" s="1872">
        <f t="shared" si="135"/>
        <v>0</v>
      </c>
      <c r="AB394" s="1873" t="str">
        <f t="shared" si="136"/>
        <v/>
      </c>
      <c r="AC394" s="1418">
        <f t="shared" si="121"/>
        <v>0</v>
      </c>
      <c r="AD394" s="1418">
        <f t="shared" si="122"/>
        <v>0</v>
      </c>
      <c r="AE394" s="1230"/>
      <c r="AF394" s="1230">
        <f t="shared" si="123"/>
        <v>0</v>
      </c>
      <c r="AG394" s="1230"/>
      <c r="AH394" s="1418">
        <f t="shared" si="124"/>
        <v>0</v>
      </c>
      <c r="AI394" s="1346"/>
      <c r="AO394" s="1736"/>
      <c r="AP394" s="1418">
        <f t="shared" si="131"/>
        <v>0</v>
      </c>
    </row>
    <row r="395" spans="1:42" s="1410" customFormat="1" ht="15.75">
      <c r="A395" s="2102"/>
      <c r="B395" s="1268" t="s">
        <v>2463</v>
      </c>
      <c r="C395" s="1241" t="s">
        <v>3181</v>
      </c>
      <c r="D395" s="1245" t="s">
        <v>37</v>
      </c>
      <c r="E395" s="1413">
        <v>412.26</v>
      </c>
      <c r="F395" s="1555">
        <v>168</v>
      </c>
      <c r="G395" s="1480">
        <v>168</v>
      </c>
      <c r="H395" s="1414">
        <v>168</v>
      </c>
      <c r="I395" s="1477">
        <f t="shared" si="119"/>
        <v>69259.679999999993</v>
      </c>
      <c r="J395" s="1477">
        <f t="shared" si="120"/>
        <v>69259.679999999993</v>
      </c>
      <c r="K395" s="1477">
        <v>0</v>
      </c>
      <c r="L395" s="1477">
        <f t="shared" si="125"/>
        <v>0</v>
      </c>
      <c r="M395" s="1477">
        <v>412.26</v>
      </c>
      <c r="N395" s="1477">
        <f t="shared" si="126"/>
        <v>412.26</v>
      </c>
      <c r="O395" s="1477">
        <f t="shared" si="127"/>
        <v>0</v>
      </c>
      <c r="P395" s="1477">
        <f t="shared" si="128"/>
        <v>69259.679999999993</v>
      </c>
      <c r="Q395" s="1477">
        <f t="shared" si="129"/>
        <v>69259.679999999993</v>
      </c>
      <c r="R395" s="1576">
        <f t="shared" si="130"/>
        <v>69259.679999999993</v>
      </c>
      <c r="S395" s="1869">
        <v>0</v>
      </c>
      <c r="T395" s="1866">
        <v>0</v>
      </c>
      <c r="U395" s="2442"/>
      <c r="V395" s="1866">
        <f t="shared" si="132"/>
        <v>0</v>
      </c>
      <c r="W395" s="1869">
        <f>S395+U395</f>
        <v>0</v>
      </c>
      <c r="X395" s="1870">
        <f t="shared" si="133"/>
        <v>0</v>
      </c>
      <c r="Y395" s="1871">
        <f t="shared" si="134"/>
        <v>0</v>
      </c>
      <c r="Z395" s="1694">
        <f>+E395-W395</f>
        <v>412.26</v>
      </c>
      <c r="AA395" s="1872">
        <f t="shared" si="135"/>
        <v>69259.679999999993</v>
      </c>
      <c r="AB395" s="1873">
        <f t="shared" si="136"/>
        <v>1</v>
      </c>
      <c r="AC395" s="1418">
        <f t="shared" si="121"/>
        <v>0</v>
      </c>
      <c r="AD395" s="1418">
        <f t="shared" si="122"/>
        <v>0</v>
      </c>
      <c r="AE395" s="1418">
        <v>69259.679999999993</v>
      </c>
      <c r="AF395" s="1418">
        <f t="shared" si="123"/>
        <v>0</v>
      </c>
      <c r="AG395" s="1418">
        <v>168</v>
      </c>
      <c r="AH395" s="1418">
        <f t="shared" si="124"/>
        <v>0</v>
      </c>
      <c r="AI395" s="1428"/>
      <c r="AO395" s="2504">
        <v>0</v>
      </c>
      <c r="AP395" s="1418">
        <f t="shared" si="131"/>
        <v>0</v>
      </c>
    </row>
    <row r="396" spans="1:42" s="1410" customFormat="1" ht="15.75">
      <c r="A396" s="2102"/>
      <c r="B396" s="1268" t="s">
        <v>2464</v>
      </c>
      <c r="C396" s="1241" t="s">
        <v>3182</v>
      </c>
      <c r="D396" s="1245" t="s">
        <v>37</v>
      </c>
      <c r="E396" s="1413">
        <v>356.4</v>
      </c>
      <c r="F396" s="1555">
        <v>192</v>
      </c>
      <c r="G396" s="1480">
        <v>192</v>
      </c>
      <c r="H396" s="1414">
        <v>192</v>
      </c>
      <c r="I396" s="1477">
        <f t="shared" si="119"/>
        <v>68428.800000000003</v>
      </c>
      <c r="J396" s="1477">
        <f t="shared" si="120"/>
        <v>68428.800000000003</v>
      </c>
      <c r="K396" s="1477">
        <v>0</v>
      </c>
      <c r="L396" s="1477">
        <f t="shared" si="125"/>
        <v>0</v>
      </c>
      <c r="M396" s="1477">
        <v>356.4</v>
      </c>
      <c r="N396" s="1477">
        <f t="shared" si="126"/>
        <v>356.4</v>
      </c>
      <c r="O396" s="1477">
        <f t="shared" si="127"/>
        <v>0</v>
      </c>
      <c r="P396" s="1477">
        <f t="shared" si="128"/>
        <v>68428.800000000003</v>
      </c>
      <c r="Q396" s="1477">
        <f t="shared" si="129"/>
        <v>68428.800000000003</v>
      </c>
      <c r="R396" s="1576">
        <f t="shared" si="130"/>
        <v>68428.800000000003</v>
      </c>
      <c r="S396" s="1869">
        <v>0</v>
      </c>
      <c r="T396" s="1866">
        <v>0</v>
      </c>
      <c r="U396" s="2442"/>
      <c r="V396" s="1866">
        <f t="shared" si="132"/>
        <v>0</v>
      </c>
      <c r="W396" s="1869">
        <f>S396+U396</f>
        <v>0</v>
      </c>
      <c r="X396" s="1870">
        <f t="shared" si="133"/>
        <v>0</v>
      </c>
      <c r="Y396" s="1871">
        <f t="shared" si="134"/>
        <v>0</v>
      </c>
      <c r="Z396" s="1694">
        <f>+E396-W396</f>
        <v>356.4</v>
      </c>
      <c r="AA396" s="1872">
        <f t="shared" si="135"/>
        <v>68428.799999999988</v>
      </c>
      <c r="AB396" s="1873">
        <f t="shared" si="136"/>
        <v>0.99999999999999978</v>
      </c>
      <c r="AC396" s="1418">
        <f t="shared" si="121"/>
        <v>0</v>
      </c>
      <c r="AD396" s="1418">
        <f t="shared" si="122"/>
        <v>0</v>
      </c>
      <c r="AE396" s="1418">
        <v>68428.799999999988</v>
      </c>
      <c r="AF396" s="1418">
        <f t="shared" si="123"/>
        <v>0</v>
      </c>
      <c r="AG396" s="1418">
        <v>192</v>
      </c>
      <c r="AH396" s="1418">
        <f t="shared" si="124"/>
        <v>0</v>
      </c>
      <c r="AI396" s="1428"/>
      <c r="AO396" s="2504">
        <v>0</v>
      </c>
      <c r="AP396" s="1418">
        <f t="shared" si="131"/>
        <v>0</v>
      </c>
    </row>
    <row r="397" spans="1:42" s="1410" customFormat="1" ht="15.75">
      <c r="A397" s="2102"/>
      <c r="B397" s="1268" t="s">
        <v>2465</v>
      </c>
      <c r="C397" s="1241" t="s">
        <v>3183</v>
      </c>
      <c r="D397" s="1245" t="s">
        <v>36</v>
      </c>
      <c r="E397" s="1413">
        <v>28</v>
      </c>
      <c r="F397" s="1555">
        <v>79.55</v>
      </c>
      <c r="G397" s="1480">
        <v>80.06</v>
      </c>
      <c r="H397" s="1414">
        <v>80.349999999999994</v>
      </c>
      <c r="I397" s="1477">
        <f t="shared" si="119"/>
        <v>2227.4</v>
      </c>
      <c r="J397" s="1477">
        <f t="shared" si="120"/>
        <v>2241.6799999999998</v>
      </c>
      <c r="K397" s="1477">
        <v>0</v>
      </c>
      <c r="L397" s="1477">
        <f t="shared" si="125"/>
        <v>0</v>
      </c>
      <c r="M397" s="1477">
        <v>28</v>
      </c>
      <c r="N397" s="1477">
        <f t="shared" si="126"/>
        <v>28</v>
      </c>
      <c r="O397" s="1477">
        <f t="shared" si="127"/>
        <v>0</v>
      </c>
      <c r="P397" s="1477">
        <f t="shared" si="128"/>
        <v>2241.6799999999998</v>
      </c>
      <c r="Q397" s="1477">
        <f t="shared" si="129"/>
        <v>2249.8000000000002</v>
      </c>
      <c r="R397" s="1576">
        <f t="shared" si="130"/>
        <v>2249.8000000000002</v>
      </c>
      <c r="S397" s="1869">
        <v>28</v>
      </c>
      <c r="T397" s="1866">
        <v>2249.7999999999997</v>
      </c>
      <c r="U397" s="2442"/>
      <c r="V397" s="1866">
        <f t="shared" si="132"/>
        <v>0</v>
      </c>
      <c r="W397" s="1869">
        <f>S397+U397</f>
        <v>28</v>
      </c>
      <c r="X397" s="1870">
        <f t="shared" si="133"/>
        <v>2249.7999999999997</v>
      </c>
      <c r="Y397" s="1871">
        <f t="shared" si="134"/>
        <v>0.99999999999999978</v>
      </c>
      <c r="Z397" s="1694">
        <f>+E397-W397</f>
        <v>0</v>
      </c>
      <c r="AA397" s="1872">
        <f t="shared" si="135"/>
        <v>0</v>
      </c>
      <c r="AB397" s="1873">
        <f t="shared" si="136"/>
        <v>0</v>
      </c>
      <c r="AC397" s="1418">
        <f t="shared" si="121"/>
        <v>4.5474735088646412E-13</v>
      </c>
      <c r="AD397" s="1418">
        <f t="shared" si="122"/>
        <v>0</v>
      </c>
      <c r="AE397" s="1418">
        <v>2249.7999999999997</v>
      </c>
      <c r="AF397" s="1418">
        <f t="shared" si="123"/>
        <v>0</v>
      </c>
      <c r="AG397" s="1418">
        <v>80.349999999999994</v>
      </c>
      <c r="AH397" s="1418">
        <f t="shared" si="124"/>
        <v>0</v>
      </c>
      <c r="AI397" s="1428"/>
      <c r="AO397" s="2504">
        <v>2169.4499999999998</v>
      </c>
      <c r="AP397" s="1418">
        <f t="shared" si="131"/>
        <v>-80.349999999999909</v>
      </c>
    </row>
    <row r="398" spans="1:42" s="1231" customFormat="1" ht="15.75">
      <c r="A398" s="2103"/>
      <c r="B398" s="1263" t="s">
        <v>2466</v>
      </c>
      <c r="C398" s="1264" t="s">
        <v>3184</v>
      </c>
      <c r="D398" s="1265"/>
      <c r="E398" s="1266"/>
      <c r="F398" s="1267"/>
      <c r="G398" s="1480"/>
      <c r="H398" s="1267"/>
      <c r="I398" s="1477">
        <f t="shared" si="119"/>
        <v>0</v>
      </c>
      <c r="J398" s="1477">
        <f t="shared" si="120"/>
        <v>0</v>
      </c>
      <c r="K398" s="1477"/>
      <c r="L398" s="1477">
        <f t="shared" si="125"/>
        <v>0</v>
      </c>
      <c r="M398" s="1477"/>
      <c r="N398" s="1477">
        <f t="shared" si="126"/>
        <v>0</v>
      </c>
      <c r="O398" s="1477">
        <f t="shared" si="127"/>
        <v>0</v>
      </c>
      <c r="P398" s="1477">
        <f t="shared" si="128"/>
        <v>0</v>
      </c>
      <c r="Q398" s="1477">
        <f t="shared" si="129"/>
        <v>0</v>
      </c>
      <c r="R398" s="1576">
        <f t="shared" si="130"/>
        <v>0</v>
      </c>
      <c r="S398" s="2452"/>
      <c r="T398" s="1866"/>
      <c r="U398" s="2442"/>
      <c r="V398" s="1866">
        <f t="shared" si="132"/>
        <v>0</v>
      </c>
      <c r="W398" s="2452"/>
      <c r="X398" s="1870"/>
      <c r="Y398" s="1871" t="str">
        <f t="shared" si="134"/>
        <v/>
      </c>
      <c r="Z398" s="1694"/>
      <c r="AA398" s="1872">
        <f t="shared" si="135"/>
        <v>0</v>
      </c>
      <c r="AB398" s="1873" t="str">
        <f t="shared" si="136"/>
        <v/>
      </c>
      <c r="AC398" s="1418">
        <f t="shared" si="121"/>
        <v>0</v>
      </c>
      <c r="AD398" s="1418">
        <f t="shared" si="122"/>
        <v>0</v>
      </c>
      <c r="AE398" s="1230"/>
      <c r="AF398" s="1230">
        <f t="shared" si="123"/>
        <v>0</v>
      </c>
      <c r="AG398" s="1230"/>
      <c r="AH398" s="1418">
        <f t="shared" si="124"/>
        <v>0</v>
      </c>
      <c r="AI398" s="1346"/>
      <c r="AO398" s="1736"/>
      <c r="AP398" s="1418">
        <f t="shared" si="131"/>
        <v>0</v>
      </c>
    </row>
    <row r="399" spans="1:42" s="1410" customFormat="1" ht="15.75">
      <c r="A399" s="2102"/>
      <c r="B399" s="1268" t="s">
        <v>2467</v>
      </c>
      <c r="C399" s="1241" t="s">
        <v>3185</v>
      </c>
      <c r="D399" s="1245" t="s">
        <v>37</v>
      </c>
      <c r="E399" s="1413">
        <v>4671.29</v>
      </c>
      <c r="F399" s="1555">
        <v>10.97</v>
      </c>
      <c r="G399" s="1480">
        <v>11.66</v>
      </c>
      <c r="H399" s="1414">
        <v>12.02</v>
      </c>
      <c r="I399" s="1477">
        <f t="shared" si="119"/>
        <v>51244.05</v>
      </c>
      <c r="J399" s="1477">
        <f t="shared" si="120"/>
        <v>54467.24</v>
      </c>
      <c r="K399" s="1477">
        <v>0</v>
      </c>
      <c r="L399" s="1477">
        <f t="shared" si="125"/>
        <v>0</v>
      </c>
      <c r="M399" s="1477">
        <v>4671.29</v>
      </c>
      <c r="N399" s="1477">
        <f t="shared" si="126"/>
        <v>4671.29</v>
      </c>
      <c r="O399" s="1477">
        <f t="shared" si="127"/>
        <v>0</v>
      </c>
      <c r="P399" s="1477">
        <f t="shared" si="128"/>
        <v>54467.24</v>
      </c>
      <c r="Q399" s="1477">
        <f t="shared" si="129"/>
        <v>56148.91</v>
      </c>
      <c r="R399" s="1576">
        <f t="shared" si="130"/>
        <v>56148.91</v>
      </c>
      <c r="S399" s="1869">
        <v>914.42</v>
      </c>
      <c r="T399" s="1866">
        <v>10991.328399999999</v>
      </c>
      <c r="U399" s="2464"/>
      <c r="V399" s="1866">
        <f t="shared" si="132"/>
        <v>0</v>
      </c>
      <c r="W399" s="1869">
        <f t="shared" ref="W399:W412" si="145">S399+U399</f>
        <v>914.42</v>
      </c>
      <c r="X399" s="1870">
        <f t="shared" si="133"/>
        <v>10991.328399999999</v>
      </c>
      <c r="Y399" s="1871">
        <f t="shared" si="134"/>
        <v>0.19575319271558428</v>
      </c>
      <c r="Z399" s="1694">
        <f t="shared" ref="Z399:Z412" si="146">+E399-W399</f>
        <v>3756.87</v>
      </c>
      <c r="AA399" s="1872">
        <f t="shared" si="135"/>
        <v>45157.577399999995</v>
      </c>
      <c r="AB399" s="1873">
        <f t="shared" si="136"/>
        <v>0.80424673248331968</v>
      </c>
      <c r="AC399" s="1418">
        <f t="shared" si="121"/>
        <v>4.2000000103143975E-3</v>
      </c>
      <c r="AD399" s="1418">
        <f t="shared" si="122"/>
        <v>0</v>
      </c>
      <c r="AE399" s="1418">
        <v>56148.905799999993</v>
      </c>
      <c r="AF399" s="1418">
        <f t="shared" si="123"/>
        <v>-4.2000000103143975E-3</v>
      </c>
      <c r="AG399" s="1418">
        <v>12.02</v>
      </c>
      <c r="AH399" s="1418">
        <f t="shared" si="124"/>
        <v>0</v>
      </c>
      <c r="AI399" s="1428"/>
      <c r="AO399" s="2504">
        <v>10991.328399999999</v>
      </c>
      <c r="AP399" s="1418">
        <f t="shared" si="131"/>
        <v>0</v>
      </c>
    </row>
    <row r="400" spans="1:42" s="1410" customFormat="1" ht="15.75">
      <c r="A400" s="2102"/>
      <c r="B400" s="1268" t="s">
        <v>2468</v>
      </c>
      <c r="C400" s="1241" t="s">
        <v>3186</v>
      </c>
      <c r="D400" s="1245" t="s">
        <v>37</v>
      </c>
      <c r="E400" s="1413">
        <v>4106.37</v>
      </c>
      <c r="F400" s="1555">
        <v>11.79</v>
      </c>
      <c r="G400" s="1480">
        <v>12.35</v>
      </c>
      <c r="H400" s="1414">
        <v>12.63</v>
      </c>
      <c r="I400" s="1477">
        <f t="shared" ref="I400:I463" si="147">ROUND(E400*F400,2)</f>
        <v>48414.1</v>
      </c>
      <c r="J400" s="1477">
        <f t="shared" ref="J400:J463" si="148">ROUND(E400*G400,2)</f>
        <v>50713.67</v>
      </c>
      <c r="K400" s="1477">
        <v>0</v>
      </c>
      <c r="L400" s="1477">
        <f t="shared" si="125"/>
        <v>0</v>
      </c>
      <c r="M400" s="1477">
        <v>4106.37</v>
      </c>
      <c r="N400" s="1477">
        <f t="shared" si="126"/>
        <v>4106.37</v>
      </c>
      <c r="O400" s="1477">
        <f t="shared" si="127"/>
        <v>0</v>
      </c>
      <c r="P400" s="1477">
        <f t="shared" si="128"/>
        <v>50713.67</v>
      </c>
      <c r="Q400" s="1477">
        <f t="shared" si="129"/>
        <v>51863.45</v>
      </c>
      <c r="R400" s="1576">
        <f t="shared" si="130"/>
        <v>51863.45</v>
      </c>
      <c r="S400" s="1869">
        <v>1390.85</v>
      </c>
      <c r="T400" s="1866">
        <v>17566.4355</v>
      </c>
      <c r="U400" s="2464"/>
      <c r="V400" s="1866">
        <f t="shared" si="132"/>
        <v>0</v>
      </c>
      <c r="W400" s="1869">
        <f t="shared" si="145"/>
        <v>1390.85</v>
      </c>
      <c r="X400" s="1870">
        <f t="shared" si="133"/>
        <v>17566.4355</v>
      </c>
      <c r="Y400" s="1871">
        <f t="shared" si="134"/>
        <v>0.33870549491019208</v>
      </c>
      <c r="Z400" s="1694">
        <f t="shared" si="146"/>
        <v>2715.52</v>
      </c>
      <c r="AA400" s="1872">
        <f t="shared" si="135"/>
        <v>34297.017599999999</v>
      </c>
      <c r="AB400" s="1873">
        <f t="shared" si="136"/>
        <v>0.66129456486215243</v>
      </c>
      <c r="AC400" s="1418">
        <f t="shared" ref="AC400:AC463" si="149">+R400-X400-AA400</f>
        <v>-3.1000000017229468E-3</v>
      </c>
      <c r="AD400" s="1418">
        <f t="shared" ref="AD400:AD463" si="150">+E400-W400-Z400</f>
        <v>0</v>
      </c>
      <c r="AE400" s="1418">
        <v>51863.453099999999</v>
      </c>
      <c r="AF400" s="1418">
        <f t="shared" ref="AF400:AF463" si="151">+AE400-R400</f>
        <v>3.1000000017229468E-3</v>
      </c>
      <c r="AG400" s="1418">
        <v>12.63</v>
      </c>
      <c r="AH400" s="1418">
        <f t="shared" ref="AH400:AH463" si="152">+AG400-H400</f>
        <v>0</v>
      </c>
      <c r="AI400" s="1428"/>
      <c r="AO400" s="2504">
        <v>17566.4355</v>
      </c>
      <c r="AP400" s="1418">
        <f t="shared" si="131"/>
        <v>0</v>
      </c>
    </row>
    <row r="401" spans="1:42" s="1410" customFormat="1" ht="15.75">
      <c r="A401" s="2102"/>
      <c r="B401" s="1268" t="s">
        <v>2469</v>
      </c>
      <c r="C401" s="1241" t="s">
        <v>3187</v>
      </c>
      <c r="D401" s="1245" t="s">
        <v>37</v>
      </c>
      <c r="E401" s="1413">
        <v>3333.22</v>
      </c>
      <c r="F401" s="1555">
        <v>11.79</v>
      </c>
      <c r="G401" s="1480">
        <v>12.35</v>
      </c>
      <c r="H401" s="1414">
        <v>12.63</v>
      </c>
      <c r="I401" s="1477">
        <f t="shared" si="147"/>
        <v>39298.660000000003</v>
      </c>
      <c r="J401" s="1477">
        <f t="shared" si="148"/>
        <v>41165.269999999997</v>
      </c>
      <c r="K401" s="1477">
        <v>0</v>
      </c>
      <c r="L401" s="1477">
        <f t="shared" ref="L401:L464" si="153">E401-N401</f>
        <v>0</v>
      </c>
      <c r="M401" s="1477">
        <v>3333.22</v>
      </c>
      <c r="N401" s="1477">
        <f t="shared" ref="N401:N464" si="154">ROUND(M401,2)</f>
        <v>3333.22</v>
      </c>
      <c r="O401" s="1477">
        <f t="shared" ref="O401:O464" si="155">ROUND(L401*G401,2)</f>
        <v>0</v>
      </c>
      <c r="P401" s="1477">
        <f t="shared" ref="P401:P464" si="156">ROUND(N401*G401,2)</f>
        <v>41165.269999999997</v>
      </c>
      <c r="Q401" s="1477">
        <f t="shared" ref="Q401:Q464" si="157">ROUND(N401*H401,2)</f>
        <v>42098.57</v>
      </c>
      <c r="R401" s="1576">
        <f t="shared" ref="R401:R464" si="158">O401+Q401</f>
        <v>42098.57</v>
      </c>
      <c r="S401" s="1869">
        <v>0</v>
      </c>
      <c r="T401" s="1866">
        <v>0</v>
      </c>
      <c r="U401" s="2464"/>
      <c r="V401" s="1866">
        <f t="shared" si="132"/>
        <v>0</v>
      </c>
      <c r="W401" s="1869">
        <f t="shared" si="145"/>
        <v>0</v>
      </c>
      <c r="X401" s="1870">
        <f t="shared" ref="X401:X464" si="159">+V401+T401</f>
        <v>0</v>
      </c>
      <c r="Y401" s="1871">
        <f t="shared" si="134"/>
        <v>0</v>
      </c>
      <c r="Z401" s="1694">
        <f t="shared" si="146"/>
        <v>3333.22</v>
      </c>
      <c r="AA401" s="1872">
        <f t="shared" si="135"/>
        <v>42098.568599999999</v>
      </c>
      <c r="AB401" s="1873">
        <f t="shared" si="136"/>
        <v>0.99999996674471359</v>
      </c>
      <c r="AC401" s="1418">
        <f t="shared" si="149"/>
        <v>1.4000000010128133E-3</v>
      </c>
      <c r="AD401" s="1418">
        <f t="shared" si="150"/>
        <v>0</v>
      </c>
      <c r="AE401" s="1418">
        <v>42098.568599999999</v>
      </c>
      <c r="AF401" s="1418">
        <f t="shared" si="151"/>
        <v>-1.4000000010128133E-3</v>
      </c>
      <c r="AG401" s="1418">
        <v>12.63</v>
      </c>
      <c r="AH401" s="1418">
        <f t="shared" si="152"/>
        <v>0</v>
      </c>
      <c r="AI401" s="1428"/>
      <c r="AO401" s="2504">
        <v>0</v>
      </c>
      <c r="AP401" s="1418">
        <f t="shared" ref="AP401:AP464" si="160">+AO401-X401</f>
        <v>0</v>
      </c>
    </row>
    <row r="402" spans="1:42" s="1410" customFormat="1" ht="15.75">
      <c r="A402" s="2102"/>
      <c r="B402" s="1268" t="s">
        <v>2470</v>
      </c>
      <c r="C402" s="1241" t="s">
        <v>3188</v>
      </c>
      <c r="D402" s="1245" t="s">
        <v>37</v>
      </c>
      <c r="E402" s="1413">
        <v>4218.57</v>
      </c>
      <c r="F402" s="1555">
        <v>12.49</v>
      </c>
      <c r="G402" s="1480">
        <v>13.1</v>
      </c>
      <c r="H402" s="1414">
        <v>13.43</v>
      </c>
      <c r="I402" s="1477">
        <f t="shared" si="147"/>
        <v>52689.94</v>
      </c>
      <c r="J402" s="1477">
        <f t="shared" si="148"/>
        <v>55263.27</v>
      </c>
      <c r="K402" s="1477">
        <v>0</v>
      </c>
      <c r="L402" s="1477">
        <f t="shared" si="153"/>
        <v>0</v>
      </c>
      <c r="M402" s="1477">
        <v>4218.57</v>
      </c>
      <c r="N402" s="1477">
        <f t="shared" si="154"/>
        <v>4218.57</v>
      </c>
      <c r="O402" s="1477">
        <f t="shared" si="155"/>
        <v>0</v>
      </c>
      <c r="P402" s="1477">
        <f t="shared" si="156"/>
        <v>55263.27</v>
      </c>
      <c r="Q402" s="1477">
        <f t="shared" si="157"/>
        <v>56655.4</v>
      </c>
      <c r="R402" s="1576">
        <f t="shared" si="158"/>
        <v>56655.4</v>
      </c>
      <c r="S402" s="1869">
        <v>0</v>
      </c>
      <c r="T402" s="1866">
        <v>0</v>
      </c>
      <c r="U402" s="2464"/>
      <c r="V402" s="1866">
        <f t="shared" ref="V402:V465" si="161">+U402*H402</f>
        <v>0</v>
      </c>
      <c r="W402" s="1869">
        <f t="shared" si="145"/>
        <v>0</v>
      </c>
      <c r="X402" s="1870">
        <f t="shared" si="159"/>
        <v>0</v>
      </c>
      <c r="Y402" s="1871">
        <f t="shared" ref="Y402:Y465" si="162">+IF(D402=0,"",X402/R402)</f>
        <v>0</v>
      </c>
      <c r="Z402" s="1694">
        <f t="shared" si="146"/>
        <v>4218.57</v>
      </c>
      <c r="AA402" s="1872">
        <f t="shared" ref="AA402:AA465" si="163">+Z402*H402</f>
        <v>56655.395099999994</v>
      </c>
      <c r="AB402" s="1873">
        <f t="shared" ref="AB402:AB465" si="164">+IF(R402=0,"",AA402/R402)</f>
        <v>0.99999991351221584</v>
      </c>
      <c r="AC402" s="1418">
        <f t="shared" si="149"/>
        <v>4.9000000071828254E-3</v>
      </c>
      <c r="AD402" s="1418">
        <f t="shared" si="150"/>
        <v>0</v>
      </c>
      <c r="AE402" s="1418">
        <v>56655.395099999994</v>
      </c>
      <c r="AF402" s="1418">
        <f t="shared" si="151"/>
        <v>-4.9000000071828254E-3</v>
      </c>
      <c r="AG402" s="1418">
        <v>13.43</v>
      </c>
      <c r="AH402" s="1418">
        <f t="shared" si="152"/>
        <v>0</v>
      </c>
      <c r="AI402" s="1428"/>
      <c r="AO402" s="2504">
        <v>0</v>
      </c>
      <c r="AP402" s="1418">
        <f t="shared" si="160"/>
        <v>0</v>
      </c>
    </row>
    <row r="403" spans="1:42" s="1410" customFormat="1" ht="15.75">
      <c r="A403" s="2102"/>
      <c r="B403" s="1268" t="s">
        <v>2471</v>
      </c>
      <c r="C403" s="1241" t="s">
        <v>3189</v>
      </c>
      <c r="D403" s="1245" t="s">
        <v>37</v>
      </c>
      <c r="E403" s="1413">
        <v>2769.64</v>
      </c>
      <c r="F403" s="1555">
        <v>10.09</v>
      </c>
      <c r="G403" s="1480">
        <v>10.7</v>
      </c>
      <c r="H403" s="1414">
        <v>11.03</v>
      </c>
      <c r="I403" s="1477">
        <f t="shared" si="147"/>
        <v>27945.67</v>
      </c>
      <c r="J403" s="1477">
        <f t="shared" si="148"/>
        <v>29635.15</v>
      </c>
      <c r="K403" s="1477">
        <v>0</v>
      </c>
      <c r="L403" s="1477">
        <f t="shared" si="153"/>
        <v>0</v>
      </c>
      <c r="M403" s="1477">
        <v>2769.64</v>
      </c>
      <c r="N403" s="1477">
        <f t="shared" si="154"/>
        <v>2769.64</v>
      </c>
      <c r="O403" s="1477">
        <f t="shared" si="155"/>
        <v>0</v>
      </c>
      <c r="P403" s="1477">
        <f t="shared" si="156"/>
        <v>29635.15</v>
      </c>
      <c r="Q403" s="1477">
        <f t="shared" si="157"/>
        <v>30549.13</v>
      </c>
      <c r="R403" s="1576">
        <f t="shared" si="158"/>
        <v>30549.13</v>
      </c>
      <c r="S403" s="1869">
        <v>0</v>
      </c>
      <c r="T403" s="1866">
        <v>0</v>
      </c>
      <c r="U403" s="2464"/>
      <c r="V403" s="1866">
        <f t="shared" si="161"/>
        <v>0</v>
      </c>
      <c r="W403" s="1869">
        <f t="shared" si="145"/>
        <v>0</v>
      </c>
      <c r="X403" s="1870">
        <f t="shared" si="159"/>
        <v>0</v>
      </c>
      <c r="Y403" s="1871">
        <f t="shared" si="162"/>
        <v>0</v>
      </c>
      <c r="Z403" s="1694">
        <f t="shared" si="146"/>
        <v>2769.64</v>
      </c>
      <c r="AA403" s="1872">
        <f t="shared" si="163"/>
        <v>30549.129199999996</v>
      </c>
      <c r="AB403" s="1873">
        <f t="shared" si="164"/>
        <v>0.99999997381267469</v>
      </c>
      <c r="AC403" s="1418">
        <f t="shared" si="149"/>
        <v>8.0000000525615178E-4</v>
      </c>
      <c r="AD403" s="1418">
        <f t="shared" si="150"/>
        <v>0</v>
      </c>
      <c r="AE403" s="1418">
        <v>30549.129199999996</v>
      </c>
      <c r="AF403" s="1418">
        <f t="shared" si="151"/>
        <v>-8.0000000525615178E-4</v>
      </c>
      <c r="AG403" s="1418">
        <v>11.03</v>
      </c>
      <c r="AH403" s="1418">
        <f t="shared" si="152"/>
        <v>0</v>
      </c>
      <c r="AI403" s="1428"/>
      <c r="AO403" s="2504">
        <v>0</v>
      </c>
      <c r="AP403" s="1418">
        <f t="shared" si="160"/>
        <v>0</v>
      </c>
    </row>
    <row r="404" spans="1:42" s="1410" customFormat="1" ht="15.75">
      <c r="A404" s="2102"/>
      <c r="B404" s="1268" t="s">
        <v>2472</v>
      </c>
      <c r="C404" s="1241" t="s">
        <v>3190</v>
      </c>
      <c r="D404" s="1245" t="s">
        <v>37</v>
      </c>
      <c r="E404" s="1413">
        <v>1682.83</v>
      </c>
      <c r="F404" s="1555">
        <v>11.79</v>
      </c>
      <c r="G404" s="1480">
        <v>12.35</v>
      </c>
      <c r="H404" s="1414">
        <v>12.63</v>
      </c>
      <c r="I404" s="1477">
        <f t="shared" si="147"/>
        <v>19840.57</v>
      </c>
      <c r="J404" s="1477">
        <f t="shared" si="148"/>
        <v>20782.95</v>
      </c>
      <c r="K404" s="1477">
        <v>0</v>
      </c>
      <c r="L404" s="1477">
        <f t="shared" si="153"/>
        <v>0</v>
      </c>
      <c r="M404" s="1477">
        <v>1682.83</v>
      </c>
      <c r="N404" s="1477">
        <f t="shared" si="154"/>
        <v>1682.83</v>
      </c>
      <c r="O404" s="1477">
        <f t="shared" si="155"/>
        <v>0</v>
      </c>
      <c r="P404" s="1477">
        <f t="shared" si="156"/>
        <v>20782.95</v>
      </c>
      <c r="Q404" s="1477">
        <f t="shared" si="157"/>
        <v>21254.14</v>
      </c>
      <c r="R404" s="1576">
        <f t="shared" si="158"/>
        <v>21254.14</v>
      </c>
      <c r="S404" s="1869">
        <v>0</v>
      </c>
      <c r="T404" s="1866">
        <v>0</v>
      </c>
      <c r="U404" s="2442"/>
      <c r="V404" s="1866">
        <f t="shared" si="161"/>
        <v>0</v>
      </c>
      <c r="W404" s="1869">
        <f t="shared" si="145"/>
        <v>0</v>
      </c>
      <c r="X404" s="1870">
        <f t="shared" si="159"/>
        <v>0</v>
      </c>
      <c r="Y404" s="1871">
        <f t="shared" si="162"/>
        <v>0</v>
      </c>
      <c r="Z404" s="1694">
        <f t="shared" si="146"/>
        <v>1682.83</v>
      </c>
      <c r="AA404" s="1872">
        <f t="shared" si="163"/>
        <v>21254.142899999999</v>
      </c>
      <c r="AB404" s="1873">
        <f t="shared" si="164"/>
        <v>1.0000001364440056</v>
      </c>
      <c r="AC404" s="1418">
        <f t="shared" si="149"/>
        <v>-2.8999999994994141E-3</v>
      </c>
      <c r="AD404" s="1418">
        <f t="shared" si="150"/>
        <v>0</v>
      </c>
      <c r="AE404" s="1418">
        <v>21254.142899999999</v>
      </c>
      <c r="AF404" s="1418">
        <f t="shared" si="151"/>
        <v>2.8999999994994141E-3</v>
      </c>
      <c r="AG404" s="1418">
        <v>12.63</v>
      </c>
      <c r="AH404" s="1418">
        <f t="shared" si="152"/>
        <v>0</v>
      </c>
      <c r="AI404" s="1428"/>
      <c r="AO404" s="2504">
        <v>0</v>
      </c>
      <c r="AP404" s="1418">
        <f t="shared" si="160"/>
        <v>0</v>
      </c>
    </row>
    <row r="405" spans="1:42" s="1410" customFormat="1" ht="15.75">
      <c r="A405" s="2102"/>
      <c r="B405" s="1268" t="s">
        <v>2473</v>
      </c>
      <c r="C405" s="1241" t="s">
        <v>3191</v>
      </c>
      <c r="D405" s="1245" t="s">
        <v>37</v>
      </c>
      <c r="E405" s="1413">
        <v>40.270000000000003</v>
      </c>
      <c r="F405" s="1555">
        <v>11.79</v>
      </c>
      <c r="G405" s="1480">
        <v>12.35</v>
      </c>
      <c r="H405" s="1414">
        <v>12.63</v>
      </c>
      <c r="I405" s="1477">
        <f t="shared" si="147"/>
        <v>474.78</v>
      </c>
      <c r="J405" s="1477">
        <f t="shared" si="148"/>
        <v>497.33</v>
      </c>
      <c r="K405" s="1477">
        <v>0</v>
      </c>
      <c r="L405" s="1477">
        <f t="shared" si="153"/>
        <v>0</v>
      </c>
      <c r="M405" s="1477">
        <v>40.270000000000003</v>
      </c>
      <c r="N405" s="1477">
        <f t="shared" si="154"/>
        <v>40.270000000000003</v>
      </c>
      <c r="O405" s="1477">
        <f t="shared" si="155"/>
        <v>0</v>
      </c>
      <c r="P405" s="1477">
        <f t="shared" si="156"/>
        <v>497.33</v>
      </c>
      <c r="Q405" s="1477">
        <f t="shared" si="157"/>
        <v>508.61</v>
      </c>
      <c r="R405" s="1576">
        <f t="shared" si="158"/>
        <v>508.61</v>
      </c>
      <c r="S405" s="1869">
        <v>0</v>
      </c>
      <c r="T405" s="1866">
        <v>0</v>
      </c>
      <c r="U405" s="2442"/>
      <c r="V405" s="1866">
        <f t="shared" si="161"/>
        <v>0</v>
      </c>
      <c r="W405" s="1869">
        <f t="shared" si="145"/>
        <v>0</v>
      </c>
      <c r="X405" s="1870">
        <f t="shared" si="159"/>
        <v>0</v>
      </c>
      <c r="Y405" s="1871">
        <f t="shared" si="162"/>
        <v>0</v>
      </c>
      <c r="Z405" s="1694">
        <f t="shared" si="146"/>
        <v>40.270000000000003</v>
      </c>
      <c r="AA405" s="1872">
        <f t="shared" si="163"/>
        <v>508.61010000000005</v>
      </c>
      <c r="AB405" s="1873">
        <f t="shared" si="164"/>
        <v>1.0000001966143017</v>
      </c>
      <c r="AC405" s="1418">
        <f t="shared" si="149"/>
        <v>-1.0000000003174137E-4</v>
      </c>
      <c r="AD405" s="1418">
        <f t="shared" si="150"/>
        <v>0</v>
      </c>
      <c r="AE405" s="1418">
        <v>508.61010000000005</v>
      </c>
      <c r="AF405" s="1418">
        <f t="shared" si="151"/>
        <v>1.0000000003174137E-4</v>
      </c>
      <c r="AG405" s="1418">
        <v>12.63</v>
      </c>
      <c r="AH405" s="1418">
        <f t="shared" si="152"/>
        <v>0</v>
      </c>
      <c r="AI405" s="1428"/>
      <c r="AO405" s="2504">
        <v>0</v>
      </c>
      <c r="AP405" s="1418">
        <f t="shared" si="160"/>
        <v>0</v>
      </c>
    </row>
    <row r="406" spans="1:42" s="1410" customFormat="1" ht="15.75">
      <c r="A406" s="2102"/>
      <c r="B406" s="1268" t="s">
        <v>2474</v>
      </c>
      <c r="C406" s="1241" t="s">
        <v>3192</v>
      </c>
      <c r="D406" s="1245" t="s">
        <v>37</v>
      </c>
      <c r="E406" s="1413">
        <v>107.13</v>
      </c>
      <c r="F406" s="1555">
        <v>11.79</v>
      </c>
      <c r="G406" s="1480">
        <v>12.35</v>
      </c>
      <c r="H406" s="1414">
        <v>12.63</v>
      </c>
      <c r="I406" s="1477">
        <f t="shared" si="147"/>
        <v>1263.06</v>
      </c>
      <c r="J406" s="1477">
        <f t="shared" si="148"/>
        <v>1323.06</v>
      </c>
      <c r="K406" s="1477">
        <v>0</v>
      </c>
      <c r="L406" s="1477">
        <f t="shared" si="153"/>
        <v>0</v>
      </c>
      <c r="M406" s="1477">
        <v>107.13</v>
      </c>
      <c r="N406" s="1477">
        <f t="shared" si="154"/>
        <v>107.13</v>
      </c>
      <c r="O406" s="1477">
        <f t="shared" si="155"/>
        <v>0</v>
      </c>
      <c r="P406" s="1477">
        <f t="shared" si="156"/>
        <v>1323.06</v>
      </c>
      <c r="Q406" s="1477">
        <f t="shared" si="157"/>
        <v>1353.05</v>
      </c>
      <c r="R406" s="1576">
        <f t="shared" si="158"/>
        <v>1353.05</v>
      </c>
      <c r="S406" s="1869">
        <v>0</v>
      </c>
      <c r="T406" s="1866">
        <v>0</v>
      </c>
      <c r="U406" s="2442"/>
      <c r="V406" s="1866">
        <f t="shared" si="161"/>
        <v>0</v>
      </c>
      <c r="W406" s="1869">
        <f t="shared" si="145"/>
        <v>0</v>
      </c>
      <c r="X406" s="1870">
        <f t="shared" si="159"/>
        <v>0</v>
      </c>
      <c r="Y406" s="1871">
        <f t="shared" si="162"/>
        <v>0</v>
      </c>
      <c r="Z406" s="1694">
        <f t="shared" si="146"/>
        <v>107.13</v>
      </c>
      <c r="AA406" s="1872">
        <f t="shared" si="163"/>
        <v>1353.0518999999999</v>
      </c>
      <c r="AB406" s="1873">
        <f t="shared" si="164"/>
        <v>1.0000014042348768</v>
      </c>
      <c r="AC406" s="1418">
        <f t="shared" si="149"/>
        <v>-1.8999999999778083E-3</v>
      </c>
      <c r="AD406" s="1418">
        <f t="shared" si="150"/>
        <v>0</v>
      </c>
      <c r="AE406" s="1418">
        <v>1353.0518999999999</v>
      </c>
      <c r="AF406" s="1418">
        <f t="shared" si="151"/>
        <v>1.8999999999778083E-3</v>
      </c>
      <c r="AG406" s="1418">
        <v>12.63</v>
      </c>
      <c r="AH406" s="1418">
        <f t="shared" si="152"/>
        <v>0</v>
      </c>
      <c r="AI406" s="1428"/>
      <c r="AO406" s="2504">
        <v>0</v>
      </c>
      <c r="AP406" s="1418">
        <f t="shared" si="160"/>
        <v>0</v>
      </c>
    </row>
    <row r="407" spans="1:42" s="1410" customFormat="1" ht="15.75">
      <c r="A407" s="2102"/>
      <c r="B407" s="1268" t="s">
        <v>2475</v>
      </c>
      <c r="C407" s="1241" t="s">
        <v>3193</v>
      </c>
      <c r="D407" s="1245" t="s">
        <v>37</v>
      </c>
      <c r="E407" s="1413">
        <v>141.25</v>
      </c>
      <c r="F407" s="1555">
        <v>11.79</v>
      </c>
      <c r="G407" s="1480">
        <v>12.35</v>
      </c>
      <c r="H407" s="1414">
        <v>12.63</v>
      </c>
      <c r="I407" s="1477">
        <f t="shared" si="147"/>
        <v>1665.34</v>
      </c>
      <c r="J407" s="1477">
        <f t="shared" si="148"/>
        <v>1744.44</v>
      </c>
      <c r="K407" s="1477">
        <v>0</v>
      </c>
      <c r="L407" s="1477">
        <f t="shared" si="153"/>
        <v>0</v>
      </c>
      <c r="M407" s="1477">
        <v>141.25</v>
      </c>
      <c r="N407" s="1477">
        <f t="shared" si="154"/>
        <v>141.25</v>
      </c>
      <c r="O407" s="1477">
        <f t="shared" si="155"/>
        <v>0</v>
      </c>
      <c r="P407" s="1477">
        <f t="shared" si="156"/>
        <v>1744.44</v>
      </c>
      <c r="Q407" s="1477">
        <f t="shared" si="157"/>
        <v>1783.99</v>
      </c>
      <c r="R407" s="1576">
        <f t="shared" si="158"/>
        <v>1783.99</v>
      </c>
      <c r="S407" s="1869">
        <v>0</v>
      </c>
      <c r="T407" s="1866">
        <v>0</v>
      </c>
      <c r="U407" s="2442"/>
      <c r="V407" s="1866">
        <f t="shared" si="161"/>
        <v>0</v>
      </c>
      <c r="W407" s="1869">
        <f t="shared" si="145"/>
        <v>0</v>
      </c>
      <c r="X407" s="1870">
        <f t="shared" si="159"/>
        <v>0</v>
      </c>
      <c r="Y407" s="1871">
        <f t="shared" si="162"/>
        <v>0</v>
      </c>
      <c r="Z407" s="1694">
        <f t="shared" si="146"/>
        <v>141.25</v>
      </c>
      <c r="AA407" s="1872">
        <f t="shared" si="163"/>
        <v>1783.9875000000002</v>
      </c>
      <c r="AB407" s="1873">
        <f t="shared" si="164"/>
        <v>0.99999859864685348</v>
      </c>
      <c r="AC407" s="1418">
        <f t="shared" si="149"/>
        <v>2.499999999827196E-3</v>
      </c>
      <c r="AD407" s="1418">
        <f t="shared" si="150"/>
        <v>0</v>
      </c>
      <c r="AE407" s="1418">
        <v>1783.9875000000002</v>
      </c>
      <c r="AF407" s="1418">
        <f t="shared" si="151"/>
        <v>-2.499999999827196E-3</v>
      </c>
      <c r="AG407" s="1418">
        <v>12.63</v>
      </c>
      <c r="AH407" s="1418">
        <f t="shared" si="152"/>
        <v>0</v>
      </c>
      <c r="AI407" s="1428"/>
      <c r="AO407" s="2504">
        <v>0</v>
      </c>
      <c r="AP407" s="1418">
        <f t="shared" si="160"/>
        <v>0</v>
      </c>
    </row>
    <row r="408" spans="1:42" s="1410" customFormat="1" ht="15.75">
      <c r="A408" s="2102"/>
      <c r="B408" s="1268" t="s">
        <v>2476</v>
      </c>
      <c r="C408" s="1241" t="s">
        <v>3194</v>
      </c>
      <c r="D408" s="1245" t="s">
        <v>37</v>
      </c>
      <c r="E408" s="1413">
        <v>86.85</v>
      </c>
      <c r="F408" s="1555">
        <v>13.31</v>
      </c>
      <c r="G408" s="1480">
        <v>14</v>
      </c>
      <c r="H408" s="1414">
        <v>14.36</v>
      </c>
      <c r="I408" s="1477">
        <f t="shared" si="147"/>
        <v>1155.97</v>
      </c>
      <c r="J408" s="1477">
        <f t="shared" si="148"/>
        <v>1215.9000000000001</v>
      </c>
      <c r="K408" s="1477">
        <v>0</v>
      </c>
      <c r="L408" s="1477">
        <f t="shared" si="153"/>
        <v>0</v>
      </c>
      <c r="M408" s="1477">
        <v>86.85</v>
      </c>
      <c r="N408" s="1477">
        <f t="shared" si="154"/>
        <v>86.85</v>
      </c>
      <c r="O408" s="1477">
        <f t="shared" si="155"/>
        <v>0</v>
      </c>
      <c r="P408" s="1477">
        <f t="shared" si="156"/>
        <v>1215.9000000000001</v>
      </c>
      <c r="Q408" s="1477">
        <f t="shared" si="157"/>
        <v>1247.17</v>
      </c>
      <c r="R408" s="1576">
        <f t="shared" si="158"/>
        <v>1247.17</v>
      </c>
      <c r="S408" s="1869">
        <v>0</v>
      </c>
      <c r="T408" s="1866">
        <v>0</v>
      </c>
      <c r="U408" s="2442"/>
      <c r="V408" s="1866">
        <f t="shared" si="161"/>
        <v>0</v>
      </c>
      <c r="W408" s="1869">
        <f t="shared" si="145"/>
        <v>0</v>
      </c>
      <c r="X408" s="1870">
        <f t="shared" si="159"/>
        <v>0</v>
      </c>
      <c r="Y408" s="1871">
        <f t="shared" si="162"/>
        <v>0</v>
      </c>
      <c r="Z408" s="1694">
        <f t="shared" si="146"/>
        <v>86.85</v>
      </c>
      <c r="AA408" s="1872">
        <f t="shared" si="163"/>
        <v>1247.1659999999999</v>
      </c>
      <c r="AB408" s="1873">
        <f t="shared" si="164"/>
        <v>0.99999679273876041</v>
      </c>
      <c r="AC408" s="1418">
        <f t="shared" si="149"/>
        <v>4.0000000001327862E-3</v>
      </c>
      <c r="AD408" s="1418">
        <f t="shared" si="150"/>
        <v>0</v>
      </c>
      <c r="AE408" s="1418">
        <v>1247.1659999999999</v>
      </c>
      <c r="AF408" s="1418">
        <f t="shared" si="151"/>
        <v>-4.0000000001327862E-3</v>
      </c>
      <c r="AG408" s="1418">
        <v>14.36</v>
      </c>
      <c r="AH408" s="1418">
        <f t="shared" si="152"/>
        <v>0</v>
      </c>
      <c r="AI408" s="1428"/>
      <c r="AO408" s="2504">
        <v>0</v>
      </c>
      <c r="AP408" s="1418">
        <f t="shared" si="160"/>
        <v>0</v>
      </c>
    </row>
    <row r="409" spans="1:42" s="1410" customFormat="1" ht="15.75">
      <c r="A409" s="2102"/>
      <c r="B409" s="1268" t="s">
        <v>2477</v>
      </c>
      <c r="C409" s="1241" t="s">
        <v>3195</v>
      </c>
      <c r="D409" s="1245" t="s">
        <v>37</v>
      </c>
      <c r="E409" s="1413">
        <v>594.79999999999995</v>
      </c>
      <c r="F409" s="1555">
        <v>36.53</v>
      </c>
      <c r="G409" s="1480">
        <v>37.92</v>
      </c>
      <c r="H409" s="1414">
        <v>38.630000000000003</v>
      </c>
      <c r="I409" s="1477">
        <f t="shared" si="147"/>
        <v>21728.04</v>
      </c>
      <c r="J409" s="1477">
        <f t="shared" si="148"/>
        <v>22554.82</v>
      </c>
      <c r="K409" s="1477">
        <v>0</v>
      </c>
      <c r="L409" s="1477">
        <f t="shared" si="153"/>
        <v>0</v>
      </c>
      <c r="M409" s="1477">
        <v>594.79999999999995</v>
      </c>
      <c r="N409" s="1477">
        <f t="shared" si="154"/>
        <v>594.79999999999995</v>
      </c>
      <c r="O409" s="1477">
        <f t="shared" si="155"/>
        <v>0</v>
      </c>
      <c r="P409" s="1477">
        <f t="shared" si="156"/>
        <v>22554.82</v>
      </c>
      <c r="Q409" s="1477">
        <f t="shared" si="157"/>
        <v>22977.119999999999</v>
      </c>
      <c r="R409" s="1576">
        <f t="shared" si="158"/>
        <v>22977.119999999999</v>
      </c>
      <c r="S409" s="1869">
        <v>594.79999999999995</v>
      </c>
      <c r="T409" s="1866">
        <v>22977.124</v>
      </c>
      <c r="U409" s="2442"/>
      <c r="V409" s="1866">
        <f t="shared" si="161"/>
        <v>0</v>
      </c>
      <c r="W409" s="1869">
        <f t="shared" si="145"/>
        <v>594.79999999999995</v>
      </c>
      <c r="X409" s="1870">
        <f t="shared" si="159"/>
        <v>22977.124</v>
      </c>
      <c r="Y409" s="1871">
        <f t="shared" si="162"/>
        <v>1.0000001740862214</v>
      </c>
      <c r="Z409" s="1694">
        <f t="shared" si="146"/>
        <v>0</v>
      </c>
      <c r="AA409" s="1872">
        <f t="shared" si="163"/>
        <v>0</v>
      </c>
      <c r="AB409" s="1873">
        <f t="shared" si="164"/>
        <v>0</v>
      </c>
      <c r="AC409" s="1418">
        <f t="shared" si="149"/>
        <v>-4.0000000008149073E-3</v>
      </c>
      <c r="AD409" s="1418">
        <f t="shared" si="150"/>
        <v>0</v>
      </c>
      <c r="AE409" s="1418">
        <v>22977.124</v>
      </c>
      <c r="AF409" s="1418">
        <f t="shared" si="151"/>
        <v>4.0000000008149073E-3</v>
      </c>
      <c r="AG409" s="1418">
        <v>38.630000000000003</v>
      </c>
      <c r="AH409" s="1418">
        <f t="shared" si="152"/>
        <v>0</v>
      </c>
      <c r="AI409" s="1428"/>
      <c r="AO409" s="2504">
        <v>22977.124</v>
      </c>
      <c r="AP409" s="1418">
        <f t="shared" si="160"/>
        <v>0</v>
      </c>
    </row>
    <row r="410" spans="1:42" s="1410" customFormat="1" ht="15.75">
      <c r="A410" s="2102"/>
      <c r="B410" s="1268" t="s">
        <v>2478</v>
      </c>
      <c r="C410" s="1241" t="s">
        <v>3196</v>
      </c>
      <c r="D410" s="1245" t="s">
        <v>37</v>
      </c>
      <c r="E410" s="1413">
        <v>1260</v>
      </c>
      <c r="F410" s="1555">
        <v>14.48</v>
      </c>
      <c r="G410" s="1480">
        <v>14.94</v>
      </c>
      <c r="H410" s="1414">
        <v>15.17</v>
      </c>
      <c r="I410" s="1477">
        <f t="shared" si="147"/>
        <v>18244.8</v>
      </c>
      <c r="J410" s="1477">
        <f t="shared" si="148"/>
        <v>18824.400000000001</v>
      </c>
      <c r="K410" s="1477">
        <v>0</v>
      </c>
      <c r="L410" s="1477">
        <f t="shared" si="153"/>
        <v>0</v>
      </c>
      <c r="M410" s="1477">
        <v>1260</v>
      </c>
      <c r="N410" s="1477">
        <f t="shared" si="154"/>
        <v>1260</v>
      </c>
      <c r="O410" s="1477">
        <f t="shared" si="155"/>
        <v>0</v>
      </c>
      <c r="P410" s="1477">
        <f t="shared" si="156"/>
        <v>18824.400000000001</v>
      </c>
      <c r="Q410" s="1477">
        <f t="shared" si="157"/>
        <v>19114.2</v>
      </c>
      <c r="R410" s="1576">
        <f t="shared" si="158"/>
        <v>19114.2</v>
      </c>
      <c r="S410" s="1869">
        <v>0</v>
      </c>
      <c r="T410" s="1866">
        <v>0</v>
      </c>
      <c r="U410" s="2442"/>
      <c r="V410" s="1866">
        <f t="shared" si="161"/>
        <v>0</v>
      </c>
      <c r="W410" s="1869">
        <f t="shared" si="145"/>
        <v>0</v>
      </c>
      <c r="X410" s="1870">
        <f t="shared" si="159"/>
        <v>0</v>
      </c>
      <c r="Y410" s="1871">
        <f t="shared" si="162"/>
        <v>0</v>
      </c>
      <c r="Z410" s="1694">
        <f t="shared" si="146"/>
        <v>1260</v>
      </c>
      <c r="AA410" s="1872">
        <f t="shared" si="163"/>
        <v>19114.2</v>
      </c>
      <c r="AB410" s="1873">
        <f t="shared" si="164"/>
        <v>1</v>
      </c>
      <c r="AC410" s="1418">
        <f t="shared" si="149"/>
        <v>0</v>
      </c>
      <c r="AD410" s="1418">
        <f t="shared" si="150"/>
        <v>0</v>
      </c>
      <c r="AE410" s="1418">
        <v>19114.2</v>
      </c>
      <c r="AF410" s="1418">
        <f t="shared" si="151"/>
        <v>0</v>
      </c>
      <c r="AG410" s="1418">
        <v>15.17</v>
      </c>
      <c r="AH410" s="1418">
        <f t="shared" si="152"/>
        <v>0</v>
      </c>
      <c r="AI410" s="1428"/>
      <c r="AO410" s="2504">
        <v>0</v>
      </c>
      <c r="AP410" s="1418">
        <f t="shared" si="160"/>
        <v>0</v>
      </c>
    </row>
    <row r="411" spans="1:42" s="1410" customFormat="1" ht="15.75">
      <c r="A411" s="2102"/>
      <c r="B411" s="1268" t="s">
        <v>2479</v>
      </c>
      <c r="C411" s="1241" t="s">
        <v>3197</v>
      </c>
      <c r="D411" s="1245" t="s">
        <v>37</v>
      </c>
      <c r="E411" s="1413">
        <v>1004.31</v>
      </c>
      <c r="F411" s="1555">
        <v>1.98</v>
      </c>
      <c r="G411" s="1480">
        <v>2.06</v>
      </c>
      <c r="H411" s="1414">
        <v>2.11</v>
      </c>
      <c r="I411" s="1477">
        <f t="shared" si="147"/>
        <v>1988.53</v>
      </c>
      <c r="J411" s="1477">
        <f t="shared" si="148"/>
        <v>2068.88</v>
      </c>
      <c r="K411" s="1477">
        <v>0</v>
      </c>
      <c r="L411" s="1477">
        <f t="shared" si="153"/>
        <v>0</v>
      </c>
      <c r="M411" s="1477">
        <v>1004.31</v>
      </c>
      <c r="N411" s="1477">
        <f t="shared" si="154"/>
        <v>1004.31</v>
      </c>
      <c r="O411" s="1477">
        <f t="shared" si="155"/>
        <v>0</v>
      </c>
      <c r="P411" s="1477">
        <f t="shared" si="156"/>
        <v>2068.88</v>
      </c>
      <c r="Q411" s="1477">
        <f t="shared" si="157"/>
        <v>2119.09</v>
      </c>
      <c r="R411" s="1576">
        <f t="shared" si="158"/>
        <v>2119.09</v>
      </c>
      <c r="S411" s="1869">
        <v>0</v>
      </c>
      <c r="T411" s="1866">
        <v>0</v>
      </c>
      <c r="U411" s="2442"/>
      <c r="V411" s="1866">
        <f t="shared" si="161"/>
        <v>0</v>
      </c>
      <c r="W411" s="1869">
        <f t="shared" si="145"/>
        <v>0</v>
      </c>
      <c r="X411" s="1870">
        <f t="shared" si="159"/>
        <v>0</v>
      </c>
      <c r="Y411" s="1871">
        <f t="shared" si="162"/>
        <v>0</v>
      </c>
      <c r="Z411" s="1694">
        <f t="shared" si="146"/>
        <v>1004.31</v>
      </c>
      <c r="AA411" s="1872">
        <f t="shared" si="163"/>
        <v>2119.0940999999998</v>
      </c>
      <c r="AB411" s="1873">
        <f t="shared" si="164"/>
        <v>1.0000019347927647</v>
      </c>
      <c r="AC411" s="1418">
        <f t="shared" si="149"/>
        <v>-4.0999999996529368E-3</v>
      </c>
      <c r="AD411" s="1418">
        <f t="shared" si="150"/>
        <v>0</v>
      </c>
      <c r="AE411" s="1418">
        <v>2119.0940999999998</v>
      </c>
      <c r="AF411" s="1418">
        <f t="shared" si="151"/>
        <v>4.0999999996529368E-3</v>
      </c>
      <c r="AG411" s="1418">
        <v>2.11</v>
      </c>
      <c r="AH411" s="1418">
        <f t="shared" si="152"/>
        <v>0</v>
      </c>
      <c r="AI411" s="1428"/>
      <c r="AO411" s="2504">
        <v>0</v>
      </c>
      <c r="AP411" s="1418">
        <f t="shared" si="160"/>
        <v>0</v>
      </c>
    </row>
    <row r="412" spans="1:42" s="1410" customFormat="1" ht="15.75">
      <c r="A412" s="2102"/>
      <c r="B412" s="1268" t="s">
        <v>2480</v>
      </c>
      <c r="C412" s="1241" t="s">
        <v>3198</v>
      </c>
      <c r="D412" s="1245" t="s">
        <v>37</v>
      </c>
      <c r="E412" s="1413">
        <v>101.9</v>
      </c>
      <c r="F412" s="1555">
        <v>11.73</v>
      </c>
      <c r="G412" s="1480">
        <v>12.29</v>
      </c>
      <c r="H412" s="1414">
        <v>12.57</v>
      </c>
      <c r="I412" s="1477">
        <f t="shared" si="147"/>
        <v>1195.29</v>
      </c>
      <c r="J412" s="1477">
        <f t="shared" si="148"/>
        <v>1252.3499999999999</v>
      </c>
      <c r="K412" s="1477">
        <v>0</v>
      </c>
      <c r="L412" s="1477">
        <f t="shared" si="153"/>
        <v>0</v>
      </c>
      <c r="M412" s="1477">
        <v>101.9</v>
      </c>
      <c r="N412" s="1477">
        <f t="shared" si="154"/>
        <v>101.9</v>
      </c>
      <c r="O412" s="1477">
        <f t="shared" si="155"/>
        <v>0</v>
      </c>
      <c r="P412" s="1477">
        <f t="shared" si="156"/>
        <v>1252.3499999999999</v>
      </c>
      <c r="Q412" s="1477">
        <f t="shared" si="157"/>
        <v>1280.8800000000001</v>
      </c>
      <c r="R412" s="1576">
        <f t="shared" si="158"/>
        <v>1280.8800000000001</v>
      </c>
      <c r="S412" s="1869">
        <v>0</v>
      </c>
      <c r="T412" s="1866">
        <v>0</v>
      </c>
      <c r="U412" s="2442"/>
      <c r="V412" s="1866">
        <f t="shared" si="161"/>
        <v>0</v>
      </c>
      <c r="W412" s="1869">
        <f t="shared" si="145"/>
        <v>0</v>
      </c>
      <c r="X412" s="1870">
        <f t="shared" si="159"/>
        <v>0</v>
      </c>
      <c r="Y412" s="1871">
        <f t="shared" si="162"/>
        <v>0</v>
      </c>
      <c r="Z412" s="1694">
        <f t="shared" si="146"/>
        <v>101.9</v>
      </c>
      <c r="AA412" s="1872">
        <f t="shared" si="163"/>
        <v>1280.883</v>
      </c>
      <c r="AB412" s="1873">
        <f t="shared" si="164"/>
        <v>1.0000023421397788</v>
      </c>
      <c r="AC412" s="1418">
        <f t="shared" si="149"/>
        <v>-2.9999999999290594E-3</v>
      </c>
      <c r="AD412" s="1418">
        <f t="shared" si="150"/>
        <v>0</v>
      </c>
      <c r="AE412" s="1418">
        <v>1280.883</v>
      </c>
      <c r="AF412" s="1418">
        <f t="shared" si="151"/>
        <v>2.9999999999290594E-3</v>
      </c>
      <c r="AG412" s="1418">
        <v>12.57</v>
      </c>
      <c r="AH412" s="1418">
        <f t="shared" si="152"/>
        <v>0</v>
      </c>
      <c r="AI412" s="1428"/>
      <c r="AO412" s="2504">
        <v>0</v>
      </c>
      <c r="AP412" s="1418">
        <f t="shared" si="160"/>
        <v>0</v>
      </c>
    </row>
    <row r="413" spans="1:42" s="1231" customFormat="1" ht="15.75">
      <c r="A413" s="2103"/>
      <c r="B413" s="1263" t="s">
        <v>2481</v>
      </c>
      <c r="C413" s="1264" t="s">
        <v>3199</v>
      </c>
      <c r="D413" s="1265"/>
      <c r="E413" s="1266"/>
      <c r="F413" s="1267"/>
      <c r="G413" s="1480"/>
      <c r="H413" s="1267"/>
      <c r="I413" s="1477">
        <f t="shared" si="147"/>
        <v>0</v>
      </c>
      <c r="J413" s="1477">
        <f t="shared" si="148"/>
        <v>0</v>
      </c>
      <c r="K413" s="1477"/>
      <c r="L413" s="1477">
        <f t="shared" si="153"/>
        <v>0</v>
      </c>
      <c r="M413" s="1477"/>
      <c r="N413" s="1477">
        <f t="shared" si="154"/>
        <v>0</v>
      </c>
      <c r="O413" s="1477">
        <f t="shared" si="155"/>
        <v>0</v>
      </c>
      <c r="P413" s="1477">
        <f t="shared" si="156"/>
        <v>0</v>
      </c>
      <c r="Q413" s="1477">
        <f t="shared" si="157"/>
        <v>0</v>
      </c>
      <c r="R413" s="1576">
        <f t="shared" si="158"/>
        <v>0</v>
      </c>
      <c r="S413" s="2452"/>
      <c r="T413" s="1866"/>
      <c r="U413" s="2442"/>
      <c r="V413" s="1866">
        <f t="shared" si="161"/>
        <v>0</v>
      </c>
      <c r="W413" s="2452"/>
      <c r="X413" s="1870"/>
      <c r="Y413" s="1871" t="str">
        <f t="shared" si="162"/>
        <v/>
      </c>
      <c r="Z413" s="1694"/>
      <c r="AA413" s="1872">
        <f t="shared" si="163"/>
        <v>0</v>
      </c>
      <c r="AB413" s="1873" t="str">
        <f t="shared" si="164"/>
        <v/>
      </c>
      <c r="AC413" s="1418">
        <f t="shared" si="149"/>
        <v>0</v>
      </c>
      <c r="AD413" s="1418">
        <f t="shared" si="150"/>
        <v>0</v>
      </c>
      <c r="AE413" s="1230"/>
      <c r="AF413" s="1230">
        <f t="shared" si="151"/>
        <v>0</v>
      </c>
      <c r="AG413" s="1230"/>
      <c r="AH413" s="1418">
        <f t="shared" si="152"/>
        <v>0</v>
      </c>
      <c r="AI413" s="1346"/>
      <c r="AO413" s="1736"/>
      <c r="AP413" s="1418">
        <f t="shared" si="160"/>
        <v>0</v>
      </c>
    </row>
    <row r="414" spans="1:42" s="1410" customFormat="1" ht="15.75">
      <c r="A414" s="2102"/>
      <c r="B414" s="1268" t="s">
        <v>2482</v>
      </c>
      <c r="C414" s="1241" t="s">
        <v>3200</v>
      </c>
      <c r="D414" s="1245" t="s">
        <v>40</v>
      </c>
      <c r="E414" s="1413">
        <v>419.05</v>
      </c>
      <c r="F414" s="1555">
        <v>92.73</v>
      </c>
      <c r="G414" s="1480">
        <v>94.22</v>
      </c>
      <c r="H414" s="1414">
        <v>94.94</v>
      </c>
      <c r="I414" s="1477">
        <f t="shared" si="147"/>
        <v>38858.51</v>
      </c>
      <c r="J414" s="1477">
        <f t="shared" si="148"/>
        <v>39482.89</v>
      </c>
      <c r="K414" s="1477">
        <v>0</v>
      </c>
      <c r="L414" s="1477">
        <f t="shared" si="153"/>
        <v>0</v>
      </c>
      <c r="M414" s="1477">
        <v>419.05</v>
      </c>
      <c r="N414" s="1477">
        <f t="shared" si="154"/>
        <v>419.05</v>
      </c>
      <c r="O414" s="1477">
        <f t="shared" si="155"/>
        <v>0</v>
      </c>
      <c r="P414" s="1477">
        <f t="shared" si="156"/>
        <v>39482.89</v>
      </c>
      <c r="Q414" s="1477">
        <f t="shared" si="157"/>
        <v>39784.61</v>
      </c>
      <c r="R414" s="1576">
        <f t="shared" si="158"/>
        <v>39784.61</v>
      </c>
      <c r="S414" s="1869">
        <v>197.76</v>
      </c>
      <c r="T414" s="1866">
        <v>18775.3344</v>
      </c>
      <c r="U414" s="2442"/>
      <c r="V414" s="1866">
        <f t="shared" si="161"/>
        <v>0</v>
      </c>
      <c r="W414" s="1869">
        <f>S414+U414</f>
        <v>197.76</v>
      </c>
      <c r="X414" s="1870">
        <f t="shared" si="159"/>
        <v>18775.3344</v>
      </c>
      <c r="Y414" s="1871">
        <f t="shared" si="162"/>
        <v>0.47192455575158332</v>
      </c>
      <c r="Z414" s="1694">
        <f>+E414-W414</f>
        <v>221.29000000000002</v>
      </c>
      <c r="AA414" s="1872">
        <f t="shared" si="163"/>
        <v>21009.2726</v>
      </c>
      <c r="AB414" s="1873">
        <f t="shared" si="164"/>
        <v>0.52807536884237394</v>
      </c>
      <c r="AC414" s="1418">
        <f t="shared" si="149"/>
        <v>3.0000000006111804E-3</v>
      </c>
      <c r="AD414" s="1418">
        <f t="shared" si="150"/>
        <v>0</v>
      </c>
      <c r="AE414" s="1418">
        <v>39784.607000000004</v>
      </c>
      <c r="AF414" s="1418">
        <f t="shared" si="151"/>
        <v>-2.9999999969732016E-3</v>
      </c>
      <c r="AG414" s="1418">
        <v>94.94</v>
      </c>
      <c r="AH414" s="1418">
        <f t="shared" si="152"/>
        <v>0</v>
      </c>
      <c r="AI414" s="1428"/>
      <c r="AO414" s="2504">
        <v>6928.7212</v>
      </c>
      <c r="AP414" s="1418">
        <f t="shared" si="160"/>
        <v>-11846.6132</v>
      </c>
    </row>
    <row r="415" spans="1:42" s="1410" customFormat="1" ht="15.75">
      <c r="A415" s="2102"/>
      <c r="B415" s="1268" t="s">
        <v>2483</v>
      </c>
      <c r="C415" s="1241" t="s">
        <v>3201</v>
      </c>
      <c r="D415" s="1245" t="s">
        <v>37</v>
      </c>
      <c r="E415" s="1413">
        <v>823.51</v>
      </c>
      <c r="F415" s="1555">
        <v>13.71</v>
      </c>
      <c r="G415" s="1480">
        <v>13.95</v>
      </c>
      <c r="H415" s="1414">
        <v>14.06</v>
      </c>
      <c r="I415" s="1477">
        <f t="shared" si="147"/>
        <v>11290.32</v>
      </c>
      <c r="J415" s="1477">
        <f t="shared" si="148"/>
        <v>11487.96</v>
      </c>
      <c r="K415" s="1477">
        <v>0</v>
      </c>
      <c r="L415" s="1477">
        <f t="shared" si="153"/>
        <v>0</v>
      </c>
      <c r="M415" s="1477">
        <v>823.51</v>
      </c>
      <c r="N415" s="1477">
        <f t="shared" si="154"/>
        <v>823.51</v>
      </c>
      <c r="O415" s="1477">
        <f t="shared" si="155"/>
        <v>0</v>
      </c>
      <c r="P415" s="1477">
        <f t="shared" si="156"/>
        <v>11487.96</v>
      </c>
      <c r="Q415" s="1477">
        <f t="shared" si="157"/>
        <v>11578.55</v>
      </c>
      <c r="R415" s="1576">
        <f t="shared" si="158"/>
        <v>11578.55</v>
      </c>
      <c r="S415" s="1869">
        <v>0</v>
      </c>
      <c r="T415" s="1866">
        <v>0</v>
      </c>
      <c r="U415" s="2442">
        <v>109.1</v>
      </c>
      <c r="V415" s="1866">
        <f t="shared" si="161"/>
        <v>1533.9459999999999</v>
      </c>
      <c r="W415" s="1869">
        <f>S415+U415</f>
        <v>109.1</v>
      </c>
      <c r="X415" s="1870">
        <f t="shared" si="159"/>
        <v>1533.9459999999999</v>
      </c>
      <c r="Y415" s="1871">
        <f t="shared" si="162"/>
        <v>0.13248170107655968</v>
      </c>
      <c r="Z415" s="1694">
        <f>+E415-W415</f>
        <v>714.41</v>
      </c>
      <c r="AA415" s="1872">
        <f t="shared" si="163"/>
        <v>10044.604600000001</v>
      </c>
      <c r="AB415" s="1873">
        <f t="shared" si="164"/>
        <v>0.86751835074340067</v>
      </c>
      <c r="AC415" s="1418">
        <f t="shared" si="149"/>
        <v>-6.0000000121362973E-4</v>
      </c>
      <c r="AD415" s="1418">
        <f t="shared" si="150"/>
        <v>0</v>
      </c>
      <c r="AE415" s="1418">
        <v>11578.5506</v>
      </c>
      <c r="AF415" s="1418">
        <f t="shared" si="151"/>
        <v>6.0000000121362973E-4</v>
      </c>
      <c r="AG415" s="1418">
        <v>14.06</v>
      </c>
      <c r="AH415" s="1418">
        <f t="shared" si="152"/>
        <v>0</v>
      </c>
      <c r="AI415" s="1428"/>
      <c r="AO415" s="2504">
        <v>0</v>
      </c>
      <c r="AP415" s="1418">
        <f t="shared" si="160"/>
        <v>-1533.9459999999999</v>
      </c>
    </row>
    <row r="416" spans="1:42" s="1410" customFormat="1" ht="15.75">
      <c r="A416" s="2102"/>
      <c r="B416" s="1268" t="s">
        <v>2484</v>
      </c>
      <c r="C416" s="1241" t="s">
        <v>3202</v>
      </c>
      <c r="D416" s="1245" t="s">
        <v>41</v>
      </c>
      <c r="E416" s="1413">
        <v>1</v>
      </c>
      <c r="F416" s="1555">
        <v>5782</v>
      </c>
      <c r="G416" s="1480">
        <v>5782</v>
      </c>
      <c r="H416" s="1414">
        <v>5782</v>
      </c>
      <c r="I416" s="1477">
        <f t="shared" si="147"/>
        <v>5782</v>
      </c>
      <c r="J416" s="1477">
        <f t="shared" si="148"/>
        <v>5782</v>
      </c>
      <c r="K416" s="1477">
        <v>0</v>
      </c>
      <c r="L416" s="1477">
        <f t="shared" si="153"/>
        <v>0</v>
      </c>
      <c r="M416" s="1477">
        <v>1</v>
      </c>
      <c r="N416" s="1477">
        <f t="shared" si="154"/>
        <v>1</v>
      </c>
      <c r="O416" s="1477">
        <f t="shared" si="155"/>
        <v>0</v>
      </c>
      <c r="P416" s="1477">
        <f t="shared" si="156"/>
        <v>5782</v>
      </c>
      <c r="Q416" s="1477">
        <f t="shared" si="157"/>
        <v>5782</v>
      </c>
      <c r="R416" s="1576">
        <f t="shared" si="158"/>
        <v>5782</v>
      </c>
      <c r="S416" s="1869">
        <v>0</v>
      </c>
      <c r="T416" s="1866">
        <v>0</v>
      </c>
      <c r="U416" s="2442"/>
      <c r="V416" s="1866">
        <f t="shared" si="161"/>
        <v>0</v>
      </c>
      <c r="W416" s="1869">
        <f>S416+U416</f>
        <v>0</v>
      </c>
      <c r="X416" s="1870">
        <f t="shared" si="159"/>
        <v>0</v>
      </c>
      <c r="Y416" s="1871">
        <f t="shared" si="162"/>
        <v>0</v>
      </c>
      <c r="Z416" s="1694">
        <f>+E416-W416</f>
        <v>1</v>
      </c>
      <c r="AA416" s="1872">
        <f t="shared" si="163"/>
        <v>5782</v>
      </c>
      <c r="AB416" s="1873">
        <f t="shared" si="164"/>
        <v>1</v>
      </c>
      <c r="AC416" s="1418">
        <f t="shared" si="149"/>
        <v>0</v>
      </c>
      <c r="AD416" s="1418">
        <f t="shared" si="150"/>
        <v>0</v>
      </c>
      <c r="AE416" s="1418">
        <v>5782</v>
      </c>
      <c r="AF416" s="1418">
        <f t="shared" si="151"/>
        <v>0</v>
      </c>
      <c r="AG416" s="1418">
        <v>5782</v>
      </c>
      <c r="AH416" s="1418">
        <f t="shared" si="152"/>
        <v>0</v>
      </c>
      <c r="AI416" s="1428"/>
      <c r="AO416" s="2504">
        <v>0</v>
      </c>
      <c r="AP416" s="1418">
        <f t="shared" si="160"/>
        <v>0</v>
      </c>
    </row>
    <row r="417" spans="1:42" s="1231" customFormat="1" ht="15.75">
      <c r="A417" s="2103"/>
      <c r="B417" s="1263" t="s">
        <v>2485</v>
      </c>
      <c r="C417" s="1264" t="s">
        <v>3203</v>
      </c>
      <c r="D417" s="1265"/>
      <c r="E417" s="1266"/>
      <c r="F417" s="1267"/>
      <c r="G417" s="1480"/>
      <c r="H417" s="1267"/>
      <c r="I417" s="1477">
        <f t="shared" si="147"/>
        <v>0</v>
      </c>
      <c r="J417" s="1477">
        <f t="shared" si="148"/>
        <v>0</v>
      </c>
      <c r="K417" s="1477"/>
      <c r="L417" s="1477">
        <f t="shared" si="153"/>
        <v>0</v>
      </c>
      <c r="M417" s="1477"/>
      <c r="N417" s="1477">
        <f t="shared" si="154"/>
        <v>0</v>
      </c>
      <c r="O417" s="1477">
        <f t="shared" si="155"/>
        <v>0</v>
      </c>
      <c r="P417" s="1477">
        <f t="shared" si="156"/>
        <v>0</v>
      </c>
      <c r="Q417" s="1477">
        <f t="shared" si="157"/>
        <v>0</v>
      </c>
      <c r="R417" s="1576">
        <f t="shared" si="158"/>
        <v>0</v>
      </c>
      <c r="S417" s="2452"/>
      <c r="T417" s="1866"/>
      <c r="U417" s="2442"/>
      <c r="V417" s="1866">
        <f t="shared" si="161"/>
        <v>0</v>
      </c>
      <c r="W417" s="2452"/>
      <c r="X417" s="1870"/>
      <c r="Y417" s="1871" t="str">
        <f t="shared" si="162"/>
        <v/>
      </c>
      <c r="Z417" s="1694"/>
      <c r="AA417" s="1872">
        <f t="shared" si="163"/>
        <v>0</v>
      </c>
      <c r="AB417" s="1873" t="str">
        <f t="shared" si="164"/>
        <v/>
      </c>
      <c r="AC417" s="1418">
        <f t="shared" si="149"/>
        <v>0</v>
      </c>
      <c r="AD417" s="1418">
        <f t="shared" si="150"/>
        <v>0</v>
      </c>
      <c r="AE417" s="1230"/>
      <c r="AF417" s="1230">
        <f t="shared" si="151"/>
        <v>0</v>
      </c>
      <c r="AG417" s="1230"/>
      <c r="AH417" s="1418">
        <f t="shared" si="152"/>
        <v>0</v>
      </c>
      <c r="AI417" s="1346"/>
      <c r="AO417" s="1736"/>
      <c r="AP417" s="1418">
        <f t="shared" si="160"/>
        <v>0</v>
      </c>
    </row>
    <row r="418" spans="1:42" s="1410" customFormat="1" ht="15.75">
      <c r="A418" s="2102"/>
      <c r="B418" s="1268" t="s">
        <v>2486</v>
      </c>
      <c r="C418" s="1241" t="s">
        <v>3204</v>
      </c>
      <c r="D418" s="1245" t="s">
        <v>36</v>
      </c>
      <c r="E418" s="1413">
        <v>4</v>
      </c>
      <c r="F418" s="1555">
        <v>10.199999999999999</v>
      </c>
      <c r="G418" s="1480">
        <v>10.72</v>
      </c>
      <c r="H418" s="1414">
        <v>11.03</v>
      </c>
      <c r="I418" s="1477">
        <f t="shared" si="147"/>
        <v>40.799999999999997</v>
      </c>
      <c r="J418" s="1477">
        <f t="shared" si="148"/>
        <v>42.88</v>
      </c>
      <c r="K418" s="1477">
        <v>0</v>
      </c>
      <c r="L418" s="1477">
        <f t="shared" si="153"/>
        <v>0</v>
      </c>
      <c r="M418" s="1477">
        <v>4</v>
      </c>
      <c r="N418" s="1477">
        <f t="shared" si="154"/>
        <v>4</v>
      </c>
      <c r="O418" s="1477">
        <f t="shared" si="155"/>
        <v>0</v>
      </c>
      <c r="P418" s="1477">
        <f t="shared" si="156"/>
        <v>42.88</v>
      </c>
      <c r="Q418" s="1477">
        <f t="shared" si="157"/>
        <v>44.12</v>
      </c>
      <c r="R418" s="1576">
        <f t="shared" si="158"/>
        <v>44.12</v>
      </c>
      <c r="S418" s="1869">
        <v>0</v>
      </c>
      <c r="T418" s="1866">
        <v>0</v>
      </c>
      <c r="U418" s="2442"/>
      <c r="V418" s="1866">
        <f t="shared" si="161"/>
        <v>0</v>
      </c>
      <c r="W418" s="1869">
        <f t="shared" ref="W418:W423" si="165">S418+U418</f>
        <v>0</v>
      </c>
      <c r="X418" s="1870">
        <f t="shared" si="159"/>
        <v>0</v>
      </c>
      <c r="Y418" s="1871">
        <f t="shared" si="162"/>
        <v>0</v>
      </c>
      <c r="Z418" s="1694">
        <f t="shared" ref="Z418:Z423" si="166">+E418-W418</f>
        <v>4</v>
      </c>
      <c r="AA418" s="1872">
        <f t="shared" si="163"/>
        <v>44.12</v>
      </c>
      <c r="AB418" s="1873">
        <f t="shared" si="164"/>
        <v>1</v>
      </c>
      <c r="AC418" s="1418">
        <f t="shared" si="149"/>
        <v>0</v>
      </c>
      <c r="AD418" s="1418">
        <f t="shared" si="150"/>
        <v>0</v>
      </c>
      <c r="AE418" s="1418">
        <v>44.12</v>
      </c>
      <c r="AF418" s="1418">
        <f t="shared" si="151"/>
        <v>0</v>
      </c>
      <c r="AG418" s="1418">
        <v>11.03</v>
      </c>
      <c r="AH418" s="1418">
        <f t="shared" si="152"/>
        <v>0</v>
      </c>
      <c r="AI418" s="1428"/>
      <c r="AO418" s="2504">
        <v>0</v>
      </c>
      <c r="AP418" s="1418">
        <f t="shared" si="160"/>
        <v>0</v>
      </c>
    </row>
    <row r="419" spans="1:42" s="1410" customFormat="1" ht="15.75">
      <c r="A419" s="2102"/>
      <c r="B419" s="1268" t="s">
        <v>2487</v>
      </c>
      <c r="C419" s="1241" t="s">
        <v>3205</v>
      </c>
      <c r="D419" s="1245" t="s">
        <v>36</v>
      </c>
      <c r="E419" s="1413">
        <v>4</v>
      </c>
      <c r="F419" s="1555">
        <v>10.199999999999999</v>
      </c>
      <c r="G419" s="1480">
        <v>10.72</v>
      </c>
      <c r="H419" s="1414">
        <v>11.03</v>
      </c>
      <c r="I419" s="1477">
        <f t="shared" si="147"/>
        <v>40.799999999999997</v>
      </c>
      <c r="J419" s="1477">
        <f t="shared" si="148"/>
        <v>42.88</v>
      </c>
      <c r="K419" s="1477">
        <v>0</v>
      </c>
      <c r="L419" s="1477">
        <f t="shared" si="153"/>
        <v>0</v>
      </c>
      <c r="M419" s="1477">
        <v>4</v>
      </c>
      <c r="N419" s="1477">
        <f t="shared" si="154"/>
        <v>4</v>
      </c>
      <c r="O419" s="1477">
        <f t="shared" si="155"/>
        <v>0</v>
      </c>
      <c r="P419" s="1477">
        <f t="shared" si="156"/>
        <v>42.88</v>
      </c>
      <c r="Q419" s="1477">
        <f t="shared" si="157"/>
        <v>44.12</v>
      </c>
      <c r="R419" s="1576">
        <f t="shared" si="158"/>
        <v>44.12</v>
      </c>
      <c r="S419" s="1869">
        <v>0</v>
      </c>
      <c r="T419" s="1866">
        <v>0</v>
      </c>
      <c r="U419" s="2442"/>
      <c r="V419" s="1866">
        <f t="shared" si="161"/>
        <v>0</v>
      </c>
      <c r="W419" s="1869">
        <f t="shared" si="165"/>
        <v>0</v>
      </c>
      <c r="X419" s="1870">
        <f t="shared" si="159"/>
        <v>0</v>
      </c>
      <c r="Y419" s="1871">
        <f t="shared" si="162"/>
        <v>0</v>
      </c>
      <c r="Z419" s="1694">
        <f t="shared" si="166"/>
        <v>4</v>
      </c>
      <c r="AA419" s="1872">
        <f t="shared" si="163"/>
        <v>44.12</v>
      </c>
      <c r="AB419" s="1873">
        <f t="shared" si="164"/>
        <v>1</v>
      </c>
      <c r="AC419" s="1418">
        <f t="shared" si="149"/>
        <v>0</v>
      </c>
      <c r="AD419" s="1418">
        <f t="shared" si="150"/>
        <v>0</v>
      </c>
      <c r="AE419" s="1418">
        <v>44.12</v>
      </c>
      <c r="AF419" s="1418">
        <f t="shared" si="151"/>
        <v>0</v>
      </c>
      <c r="AG419" s="1418">
        <v>11.03</v>
      </c>
      <c r="AH419" s="1418">
        <f t="shared" si="152"/>
        <v>0</v>
      </c>
      <c r="AI419" s="1428"/>
      <c r="AO419" s="2504">
        <v>0</v>
      </c>
      <c r="AP419" s="1418">
        <f t="shared" si="160"/>
        <v>0</v>
      </c>
    </row>
    <row r="420" spans="1:42" s="1410" customFormat="1" ht="15.75">
      <c r="A420" s="2102"/>
      <c r="B420" s="1268" t="s">
        <v>2488</v>
      </c>
      <c r="C420" s="1241" t="s">
        <v>3206</v>
      </c>
      <c r="D420" s="1245" t="s">
        <v>36</v>
      </c>
      <c r="E420" s="1413">
        <v>65</v>
      </c>
      <c r="F420" s="1555">
        <v>10.199999999999999</v>
      </c>
      <c r="G420" s="1480">
        <v>10.72</v>
      </c>
      <c r="H420" s="1414">
        <v>11.03</v>
      </c>
      <c r="I420" s="1477">
        <f t="shared" si="147"/>
        <v>663</v>
      </c>
      <c r="J420" s="1477">
        <f t="shared" si="148"/>
        <v>696.8</v>
      </c>
      <c r="K420" s="1477">
        <v>0</v>
      </c>
      <c r="L420" s="1477">
        <f t="shared" si="153"/>
        <v>0</v>
      </c>
      <c r="M420" s="1477">
        <v>65</v>
      </c>
      <c r="N420" s="1477">
        <f t="shared" si="154"/>
        <v>65</v>
      </c>
      <c r="O420" s="1477">
        <f t="shared" si="155"/>
        <v>0</v>
      </c>
      <c r="P420" s="1477">
        <f t="shared" si="156"/>
        <v>696.8</v>
      </c>
      <c r="Q420" s="1477">
        <f t="shared" si="157"/>
        <v>716.95</v>
      </c>
      <c r="R420" s="1576">
        <f t="shared" si="158"/>
        <v>716.95</v>
      </c>
      <c r="S420" s="1869">
        <v>0</v>
      </c>
      <c r="T420" s="1866">
        <v>0</v>
      </c>
      <c r="U420" s="2442"/>
      <c r="V420" s="1866">
        <f t="shared" si="161"/>
        <v>0</v>
      </c>
      <c r="W420" s="1869">
        <f t="shared" si="165"/>
        <v>0</v>
      </c>
      <c r="X420" s="1870">
        <f t="shared" si="159"/>
        <v>0</v>
      </c>
      <c r="Y420" s="1871">
        <f t="shared" si="162"/>
        <v>0</v>
      </c>
      <c r="Z420" s="1694">
        <f t="shared" si="166"/>
        <v>65</v>
      </c>
      <c r="AA420" s="1872">
        <f t="shared" si="163"/>
        <v>716.94999999999993</v>
      </c>
      <c r="AB420" s="1873">
        <f t="shared" si="164"/>
        <v>0.99999999999999989</v>
      </c>
      <c r="AC420" s="1418">
        <f t="shared" si="149"/>
        <v>0</v>
      </c>
      <c r="AD420" s="1418">
        <f t="shared" si="150"/>
        <v>0</v>
      </c>
      <c r="AE420" s="1418">
        <v>716.94999999999993</v>
      </c>
      <c r="AF420" s="1418">
        <f t="shared" si="151"/>
        <v>0</v>
      </c>
      <c r="AG420" s="1418">
        <v>11.03</v>
      </c>
      <c r="AH420" s="1418">
        <f t="shared" si="152"/>
        <v>0</v>
      </c>
      <c r="AI420" s="1428"/>
      <c r="AO420" s="2504">
        <v>0</v>
      </c>
      <c r="AP420" s="1418">
        <f t="shared" si="160"/>
        <v>0</v>
      </c>
    </row>
    <row r="421" spans="1:42" s="1410" customFormat="1" ht="15.75">
      <c r="A421" s="2102"/>
      <c r="B421" s="1268" t="s">
        <v>2489</v>
      </c>
      <c r="C421" s="1241" t="s">
        <v>3207</v>
      </c>
      <c r="D421" s="1245" t="s">
        <v>36</v>
      </c>
      <c r="E421" s="1413">
        <v>4</v>
      </c>
      <c r="F421" s="1555">
        <v>10.199999999999999</v>
      </c>
      <c r="G421" s="1480">
        <v>10.72</v>
      </c>
      <c r="H421" s="1414">
        <v>11.03</v>
      </c>
      <c r="I421" s="1477">
        <f t="shared" si="147"/>
        <v>40.799999999999997</v>
      </c>
      <c r="J421" s="1477">
        <f t="shared" si="148"/>
        <v>42.88</v>
      </c>
      <c r="K421" s="1477">
        <v>0</v>
      </c>
      <c r="L421" s="1477">
        <f t="shared" si="153"/>
        <v>0</v>
      </c>
      <c r="M421" s="1477">
        <v>4</v>
      </c>
      <c r="N421" s="1477">
        <f t="shared" si="154"/>
        <v>4</v>
      </c>
      <c r="O421" s="1477">
        <f t="shared" si="155"/>
        <v>0</v>
      </c>
      <c r="P421" s="1477">
        <f t="shared" si="156"/>
        <v>42.88</v>
      </c>
      <c r="Q421" s="1477">
        <f t="shared" si="157"/>
        <v>44.12</v>
      </c>
      <c r="R421" s="1576">
        <f t="shared" si="158"/>
        <v>44.12</v>
      </c>
      <c r="S421" s="1869">
        <v>0</v>
      </c>
      <c r="T421" s="1866">
        <v>0</v>
      </c>
      <c r="U421" s="2442"/>
      <c r="V421" s="1866">
        <f t="shared" si="161"/>
        <v>0</v>
      </c>
      <c r="W421" s="1869">
        <f t="shared" si="165"/>
        <v>0</v>
      </c>
      <c r="X421" s="1870">
        <f t="shared" si="159"/>
        <v>0</v>
      </c>
      <c r="Y421" s="1871">
        <f t="shared" si="162"/>
        <v>0</v>
      </c>
      <c r="Z421" s="1694">
        <f t="shared" si="166"/>
        <v>4</v>
      </c>
      <c r="AA421" s="1872">
        <f t="shared" si="163"/>
        <v>44.12</v>
      </c>
      <c r="AB421" s="1873">
        <f t="shared" si="164"/>
        <v>1</v>
      </c>
      <c r="AC421" s="1418">
        <f t="shared" si="149"/>
        <v>0</v>
      </c>
      <c r="AD421" s="1418">
        <f t="shared" si="150"/>
        <v>0</v>
      </c>
      <c r="AE421" s="1418">
        <v>44.12</v>
      </c>
      <c r="AF421" s="1418">
        <f t="shared" si="151"/>
        <v>0</v>
      </c>
      <c r="AG421" s="1418">
        <v>11.03</v>
      </c>
      <c r="AH421" s="1418">
        <f t="shared" si="152"/>
        <v>0</v>
      </c>
      <c r="AI421" s="1428"/>
      <c r="AO421" s="2504">
        <v>0</v>
      </c>
      <c r="AP421" s="1418">
        <f t="shared" si="160"/>
        <v>0</v>
      </c>
    </row>
    <row r="422" spans="1:42" s="1410" customFormat="1" ht="15.75">
      <c r="A422" s="2102"/>
      <c r="B422" s="1268" t="s">
        <v>2490</v>
      </c>
      <c r="C422" s="1241" t="s">
        <v>3208</v>
      </c>
      <c r="D422" s="1245" t="s">
        <v>36</v>
      </c>
      <c r="E422" s="1413">
        <v>17</v>
      </c>
      <c r="F422" s="1555">
        <v>10.199999999999999</v>
      </c>
      <c r="G422" s="1480">
        <v>10.72</v>
      </c>
      <c r="H422" s="1414">
        <v>11.03</v>
      </c>
      <c r="I422" s="1477">
        <f t="shared" si="147"/>
        <v>173.4</v>
      </c>
      <c r="J422" s="1477">
        <f t="shared" si="148"/>
        <v>182.24</v>
      </c>
      <c r="K422" s="1477">
        <v>0</v>
      </c>
      <c r="L422" s="1477">
        <f t="shared" si="153"/>
        <v>0</v>
      </c>
      <c r="M422" s="1477">
        <v>17</v>
      </c>
      <c r="N422" s="1477">
        <f t="shared" si="154"/>
        <v>17</v>
      </c>
      <c r="O422" s="1477">
        <f t="shared" si="155"/>
        <v>0</v>
      </c>
      <c r="P422" s="1477">
        <f t="shared" si="156"/>
        <v>182.24</v>
      </c>
      <c r="Q422" s="1477">
        <f t="shared" si="157"/>
        <v>187.51</v>
      </c>
      <c r="R422" s="1576">
        <f t="shared" si="158"/>
        <v>187.51</v>
      </c>
      <c r="S422" s="1869">
        <v>0</v>
      </c>
      <c r="T422" s="1866">
        <v>0</v>
      </c>
      <c r="U422" s="2442"/>
      <c r="V422" s="1866">
        <f t="shared" si="161"/>
        <v>0</v>
      </c>
      <c r="W422" s="1869">
        <f t="shared" si="165"/>
        <v>0</v>
      </c>
      <c r="X422" s="1870">
        <f t="shared" si="159"/>
        <v>0</v>
      </c>
      <c r="Y422" s="1871">
        <f t="shared" si="162"/>
        <v>0</v>
      </c>
      <c r="Z422" s="1694">
        <f t="shared" si="166"/>
        <v>17</v>
      </c>
      <c r="AA422" s="1872">
        <f t="shared" si="163"/>
        <v>187.51</v>
      </c>
      <c r="AB422" s="1873">
        <f t="shared" si="164"/>
        <v>1</v>
      </c>
      <c r="AC422" s="1418">
        <f t="shared" si="149"/>
        <v>0</v>
      </c>
      <c r="AD422" s="1418">
        <f t="shared" si="150"/>
        <v>0</v>
      </c>
      <c r="AE422" s="1418">
        <v>187.51</v>
      </c>
      <c r="AF422" s="1418">
        <f t="shared" si="151"/>
        <v>0</v>
      </c>
      <c r="AG422" s="1418">
        <v>11.03</v>
      </c>
      <c r="AH422" s="1418">
        <f t="shared" si="152"/>
        <v>0</v>
      </c>
      <c r="AI422" s="1428"/>
      <c r="AO422" s="2504">
        <v>0</v>
      </c>
      <c r="AP422" s="1418">
        <f t="shared" si="160"/>
        <v>0</v>
      </c>
    </row>
    <row r="423" spans="1:42" s="1410" customFormat="1" ht="15.75">
      <c r="A423" s="2102"/>
      <c r="B423" s="1268" t="s">
        <v>2491</v>
      </c>
      <c r="C423" s="1241" t="s">
        <v>3209</v>
      </c>
      <c r="D423" s="1245" t="s">
        <v>36</v>
      </c>
      <c r="E423" s="1413">
        <v>160</v>
      </c>
      <c r="F423" s="1555">
        <v>10.199999999999999</v>
      </c>
      <c r="G423" s="1480">
        <v>10.72</v>
      </c>
      <c r="H423" s="1414">
        <v>11.03</v>
      </c>
      <c r="I423" s="1477">
        <f t="shared" si="147"/>
        <v>1632</v>
      </c>
      <c r="J423" s="1477">
        <f t="shared" si="148"/>
        <v>1715.2</v>
      </c>
      <c r="K423" s="1477">
        <v>0</v>
      </c>
      <c r="L423" s="1477">
        <f t="shared" si="153"/>
        <v>0</v>
      </c>
      <c r="M423" s="1477">
        <v>160</v>
      </c>
      <c r="N423" s="1477">
        <f t="shared" si="154"/>
        <v>160</v>
      </c>
      <c r="O423" s="1477">
        <f t="shared" si="155"/>
        <v>0</v>
      </c>
      <c r="P423" s="1477">
        <f t="shared" si="156"/>
        <v>1715.2</v>
      </c>
      <c r="Q423" s="1477">
        <f t="shared" si="157"/>
        <v>1764.8</v>
      </c>
      <c r="R423" s="1576">
        <f t="shared" si="158"/>
        <v>1764.8</v>
      </c>
      <c r="S423" s="1869">
        <v>0</v>
      </c>
      <c r="T423" s="1866">
        <v>0</v>
      </c>
      <c r="U423" s="2442"/>
      <c r="V423" s="1866">
        <f t="shared" si="161"/>
        <v>0</v>
      </c>
      <c r="W423" s="1869">
        <f t="shared" si="165"/>
        <v>0</v>
      </c>
      <c r="X423" s="1870">
        <f t="shared" si="159"/>
        <v>0</v>
      </c>
      <c r="Y423" s="1871">
        <f t="shared" si="162"/>
        <v>0</v>
      </c>
      <c r="Z423" s="1694">
        <f t="shared" si="166"/>
        <v>160</v>
      </c>
      <c r="AA423" s="1872">
        <f t="shared" si="163"/>
        <v>1764.8</v>
      </c>
      <c r="AB423" s="1873">
        <f t="shared" si="164"/>
        <v>1</v>
      </c>
      <c r="AC423" s="1418">
        <f t="shared" si="149"/>
        <v>0</v>
      </c>
      <c r="AD423" s="1418">
        <f t="shared" si="150"/>
        <v>0</v>
      </c>
      <c r="AE423" s="1418">
        <v>1764.8</v>
      </c>
      <c r="AF423" s="1418">
        <f t="shared" si="151"/>
        <v>0</v>
      </c>
      <c r="AG423" s="1418">
        <v>11.03</v>
      </c>
      <c r="AH423" s="1418">
        <f t="shared" si="152"/>
        <v>0</v>
      </c>
      <c r="AI423" s="1428"/>
      <c r="AO423" s="2504">
        <v>0</v>
      </c>
      <c r="AP423" s="1418">
        <f t="shared" si="160"/>
        <v>0</v>
      </c>
    </row>
    <row r="424" spans="1:42" s="1231" customFormat="1" ht="15.75">
      <c r="A424" s="2103"/>
      <c r="B424" s="1263" t="s">
        <v>2492</v>
      </c>
      <c r="C424" s="1264" t="s">
        <v>3210</v>
      </c>
      <c r="D424" s="1265"/>
      <c r="E424" s="1266"/>
      <c r="F424" s="1267"/>
      <c r="G424" s="1480"/>
      <c r="H424" s="1267"/>
      <c r="I424" s="1477">
        <f t="shared" si="147"/>
        <v>0</v>
      </c>
      <c r="J424" s="1477">
        <f t="shared" si="148"/>
        <v>0</v>
      </c>
      <c r="K424" s="1477"/>
      <c r="L424" s="1477">
        <f t="shared" si="153"/>
        <v>0</v>
      </c>
      <c r="M424" s="1477"/>
      <c r="N424" s="1477">
        <f t="shared" si="154"/>
        <v>0</v>
      </c>
      <c r="O424" s="1477">
        <f t="shared" si="155"/>
        <v>0</v>
      </c>
      <c r="P424" s="1477">
        <f t="shared" si="156"/>
        <v>0</v>
      </c>
      <c r="Q424" s="1477">
        <f t="shared" si="157"/>
        <v>0</v>
      </c>
      <c r="R424" s="1576">
        <f t="shared" si="158"/>
        <v>0</v>
      </c>
      <c r="S424" s="2452"/>
      <c r="T424" s="1866"/>
      <c r="U424" s="2442"/>
      <c r="V424" s="1866">
        <f t="shared" si="161"/>
        <v>0</v>
      </c>
      <c r="W424" s="2452"/>
      <c r="X424" s="1870"/>
      <c r="Y424" s="1871" t="str">
        <f t="shared" si="162"/>
        <v/>
      </c>
      <c r="Z424" s="1694"/>
      <c r="AA424" s="1872">
        <f t="shared" si="163"/>
        <v>0</v>
      </c>
      <c r="AB424" s="1873" t="str">
        <f t="shared" si="164"/>
        <v/>
      </c>
      <c r="AC424" s="1418">
        <f t="shared" si="149"/>
        <v>0</v>
      </c>
      <c r="AD424" s="1418">
        <f t="shared" si="150"/>
        <v>0</v>
      </c>
      <c r="AE424" s="1230"/>
      <c r="AF424" s="1230">
        <f t="shared" si="151"/>
        <v>0</v>
      </c>
      <c r="AG424" s="1230"/>
      <c r="AH424" s="1418">
        <f t="shared" si="152"/>
        <v>0</v>
      </c>
      <c r="AI424" s="1346"/>
      <c r="AO424" s="1736"/>
      <c r="AP424" s="1418">
        <f t="shared" si="160"/>
        <v>0</v>
      </c>
    </row>
    <row r="425" spans="1:42" s="1410" customFormat="1" ht="15.75">
      <c r="A425" s="2102"/>
      <c r="B425" s="1268" t="s">
        <v>2493</v>
      </c>
      <c r="C425" s="1241" t="s">
        <v>3211</v>
      </c>
      <c r="D425" s="1245" t="s">
        <v>38</v>
      </c>
      <c r="E425" s="1413">
        <v>25.65</v>
      </c>
      <c r="F425" s="1555">
        <v>31.07</v>
      </c>
      <c r="G425" s="1480">
        <v>31.97</v>
      </c>
      <c r="H425" s="1414">
        <v>32.44</v>
      </c>
      <c r="I425" s="1477">
        <f t="shared" si="147"/>
        <v>796.95</v>
      </c>
      <c r="J425" s="1477">
        <f t="shared" si="148"/>
        <v>820.03</v>
      </c>
      <c r="K425" s="1477">
        <v>0</v>
      </c>
      <c r="L425" s="1477">
        <f t="shared" si="153"/>
        <v>0</v>
      </c>
      <c r="M425" s="1477">
        <v>25.65</v>
      </c>
      <c r="N425" s="1477">
        <f t="shared" si="154"/>
        <v>25.65</v>
      </c>
      <c r="O425" s="1477">
        <f t="shared" si="155"/>
        <v>0</v>
      </c>
      <c r="P425" s="1477">
        <f t="shared" si="156"/>
        <v>820.03</v>
      </c>
      <c r="Q425" s="1477">
        <f t="shared" si="157"/>
        <v>832.09</v>
      </c>
      <c r="R425" s="1576">
        <f t="shared" si="158"/>
        <v>832.09</v>
      </c>
      <c r="S425" s="1869">
        <v>0</v>
      </c>
      <c r="T425" s="1866">
        <v>0</v>
      </c>
      <c r="U425" s="2442"/>
      <c r="V425" s="1866">
        <f t="shared" si="161"/>
        <v>0</v>
      </c>
      <c r="W425" s="1869">
        <f>S425+U425</f>
        <v>0</v>
      </c>
      <c r="X425" s="1870">
        <f t="shared" si="159"/>
        <v>0</v>
      </c>
      <c r="Y425" s="1871">
        <f t="shared" si="162"/>
        <v>0</v>
      </c>
      <c r="Z425" s="1694">
        <f>+E425-W425</f>
        <v>25.65</v>
      </c>
      <c r="AA425" s="1872">
        <f t="shared" si="163"/>
        <v>832.0859999999999</v>
      </c>
      <c r="AB425" s="1873">
        <f t="shared" si="164"/>
        <v>0.99999519282769878</v>
      </c>
      <c r="AC425" s="1418">
        <f t="shared" si="149"/>
        <v>4.0000000001327862E-3</v>
      </c>
      <c r="AD425" s="1418">
        <f t="shared" si="150"/>
        <v>0</v>
      </c>
      <c r="AE425" s="1418">
        <v>832.0859999999999</v>
      </c>
      <c r="AF425" s="1418">
        <f t="shared" si="151"/>
        <v>-4.0000000001327862E-3</v>
      </c>
      <c r="AG425" s="1418">
        <v>32.44</v>
      </c>
      <c r="AH425" s="1418">
        <f t="shared" si="152"/>
        <v>0</v>
      </c>
      <c r="AI425" s="1428"/>
      <c r="AO425" s="2504">
        <v>0</v>
      </c>
      <c r="AP425" s="1418">
        <f t="shared" si="160"/>
        <v>0</v>
      </c>
    </row>
    <row r="426" spans="1:42" s="1410" customFormat="1" ht="15.75">
      <c r="A426" s="2102"/>
      <c r="B426" s="1268" t="s">
        <v>2494</v>
      </c>
      <c r="C426" s="1241" t="s">
        <v>3212</v>
      </c>
      <c r="D426" s="1245" t="s">
        <v>38</v>
      </c>
      <c r="E426" s="1413">
        <v>115.5</v>
      </c>
      <c r="F426" s="1555">
        <v>31.26</v>
      </c>
      <c r="G426" s="1480">
        <v>32.43</v>
      </c>
      <c r="H426" s="1414">
        <v>33.020000000000003</v>
      </c>
      <c r="I426" s="1477">
        <f t="shared" si="147"/>
        <v>3610.53</v>
      </c>
      <c r="J426" s="1477">
        <f t="shared" si="148"/>
        <v>3745.67</v>
      </c>
      <c r="K426" s="1477">
        <v>0</v>
      </c>
      <c r="L426" s="1477">
        <f t="shared" si="153"/>
        <v>0</v>
      </c>
      <c r="M426" s="1477">
        <v>115.5</v>
      </c>
      <c r="N426" s="1477">
        <f t="shared" si="154"/>
        <v>115.5</v>
      </c>
      <c r="O426" s="1477">
        <f t="shared" si="155"/>
        <v>0</v>
      </c>
      <c r="P426" s="1477">
        <f t="shared" si="156"/>
        <v>3745.67</v>
      </c>
      <c r="Q426" s="1477">
        <f t="shared" si="157"/>
        <v>3813.81</v>
      </c>
      <c r="R426" s="1576">
        <f t="shared" si="158"/>
        <v>3813.81</v>
      </c>
      <c r="S426" s="1869">
        <v>0</v>
      </c>
      <c r="T426" s="1866">
        <v>0</v>
      </c>
      <c r="U426" s="2442"/>
      <c r="V426" s="1866">
        <f t="shared" si="161"/>
        <v>0</v>
      </c>
      <c r="W426" s="1869">
        <f>S426+U426</f>
        <v>0</v>
      </c>
      <c r="X426" s="1870">
        <f t="shared" si="159"/>
        <v>0</v>
      </c>
      <c r="Y426" s="1871">
        <f t="shared" si="162"/>
        <v>0</v>
      </c>
      <c r="Z426" s="1694">
        <f>+E426-W426</f>
        <v>115.5</v>
      </c>
      <c r="AA426" s="1872">
        <f t="shared" si="163"/>
        <v>3813.8100000000004</v>
      </c>
      <c r="AB426" s="1873">
        <f t="shared" si="164"/>
        <v>1.0000000000000002</v>
      </c>
      <c r="AC426" s="1418">
        <f t="shared" si="149"/>
        <v>0</v>
      </c>
      <c r="AD426" s="1418">
        <f t="shared" si="150"/>
        <v>0</v>
      </c>
      <c r="AE426" s="1418">
        <v>3813.8100000000004</v>
      </c>
      <c r="AF426" s="1418">
        <f t="shared" si="151"/>
        <v>0</v>
      </c>
      <c r="AG426" s="1418">
        <v>33.020000000000003</v>
      </c>
      <c r="AH426" s="1418">
        <f t="shared" si="152"/>
        <v>0</v>
      </c>
      <c r="AI426" s="1428"/>
      <c r="AO426" s="2504">
        <v>0</v>
      </c>
      <c r="AP426" s="1418">
        <f t="shared" si="160"/>
        <v>0</v>
      </c>
    </row>
    <row r="427" spans="1:42" s="1410" customFormat="1" ht="15.75">
      <c r="A427" s="2102"/>
      <c r="B427" s="1268" t="s">
        <v>2495</v>
      </c>
      <c r="C427" s="1241" t="s">
        <v>3213</v>
      </c>
      <c r="D427" s="1245" t="s">
        <v>38</v>
      </c>
      <c r="E427" s="1413">
        <v>896.64</v>
      </c>
      <c r="F427" s="1555">
        <v>3.18</v>
      </c>
      <c r="G427" s="1480">
        <v>3.36</v>
      </c>
      <c r="H427" s="1414">
        <v>3.46</v>
      </c>
      <c r="I427" s="1477">
        <f t="shared" si="147"/>
        <v>2851.32</v>
      </c>
      <c r="J427" s="1477">
        <f t="shared" si="148"/>
        <v>3012.71</v>
      </c>
      <c r="K427" s="1477">
        <v>0</v>
      </c>
      <c r="L427" s="1477">
        <f t="shared" si="153"/>
        <v>0</v>
      </c>
      <c r="M427" s="1477">
        <v>896.64</v>
      </c>
      <c r="N427" s="1477">
        <f t="shared" si="154"/>
        <v>896.64</v>
      </c>
      <c r="O427" s="1477">
        <f t="shared" si="155"/>
        <v>0</v>
      </c>
      <c r="P427" s="1477">
        <f t="shared" si="156"/>
        <v>3012.71</v>
      </c>
      <c r="Q427" s="1477">
        <f t="shared" si="157"/>
        <v>3102.37</v>
      </c>
      <c r="R427" s="1576">
        <f t="shared" si="158"/>
        <v>3102.37</v>
      </c>
      <c r="S427" s="1869">
        <v>0</v>
      </c>
      <c r="T427" s="1866">
        <v>0</v>
      </c>
      <c r="U427" s="2442"/>
      <c r="V427" s="1866">
        <f t="shared" si="161"/>
        <v>0</v>
      </c>
      <c r="W427" s="1869">
        <f>S427+U427</f>
        <v>0</v>
      </c>
      <c r="X427" s="1870">
        <f t="shared" si="159"/>
        <v>0</v>
      </c>
      <c r="Y427" s="1871">
        <f t="shared" si="162"/>
        <v>0</v>
      </c>
      <c r="Z427" s="1694">
        <f>+E427-W427</f>
        <v>896.64</v>
      </c>
      <c r="AA427" s="1872">
        <f t="shared" si="163"/>
        <v>3102.3743999999997</v>
      </c>
      <c r="AB427" s="1873">
        <f t="shared" si="164"/>
        <v>1.0000014182705479</v>
      </c>
      <c r="AC427" s="1418">
        <f t="shared" si="149"/>
        <v>-4.3999999998050043E-3</v>
      </c>
      <c r="AD427" s="1418">
        <f t="shared" si="150"/>
        <v>0</v>
      </c>
      <c r="AE427" s="1418">
        <v>3102.3743999999997</v>
      </c>
      <c r="AF427" s="1418">
        <f t="shared" si="151"/>
        <v>4.3999999998050043E-3</v>
      </c>
      <c r="AG427" s="1418">
        <v>3.46</v>
      </c>
      <c r="AH427" s="1418">
        <f t="shared" si="152"/>
        <v>0</v>
      </c>
      <c r="AI427" s="1428"/>
      <c r="AO427" s="2504">
        <v>0</v>
      </c>
      <c r="AP427" s="1418">
        <f t="shared" si="160"/>
        <v>0</v>
      </c>
    </row>
    <row r="428" spans="1:42" s="1410" customFormat="1" ht="15.75">
      <c r="A428" s="2102"/>
      <c r="B428" s="1268" t="s">
        <v>2496</v>
      </c>
      <c r="C428" s="1241" t="s">
        <v>3214</v>
      </c>
      <c r="D428" s="1245" t="s">
        <v>38</v>
      </c>
      <c r="E428" s="1413">
        <v>1147.73</v>
      </c>
      <c r="F428" s="1555">
        <v>6.3</v>
      </c>
      <c r="G428" s="1480">
        <v>6.51</v>
      </c>
      <c r="H428" s="1414">
        <v>6.62</v>
      </c>
      <c r="I428" s="1477">
        <f t="shared" si="147"/>
        <v>7230.7</v>
      </c>
      <c r="J428" s="1477">
        <f t="shared" si="148"/>
        <v>7471.72</v>
      </c>
      <c r="K428" s="1477">
        <v>0</v>
      </c>
      <c r="L428" s="1477">
        <f t="shared" si="153"/>
        <v>0</v>
      </c>
      <c r="M428" s="1477">
        <v>1147.73</v>
      </c>
      <c r="N428" s="1477">
        <f t="shared" si="154"/>
        <v>1147.73</v>
      </c>
      <c r="O428" s="1477">
        <f t="shared" si="155"/>
        <v>0</v>
      </c>
      <c r="P428" s="1477">
        <f t="shared" si="156"/>
        <v>7471.72</v>
      </c>
      <c r="Q428" s="1477">
        <f t="shared" si="157"/>
        <v>7597.97</v>
      </c>
      <c r="R428" s="1576">
        <f t="shared" si="158"/>
        <v>7597.97</v>
      </c>
      <c r="S428" s="1869">
        <v>0</v>
      </c>
      <c r="T428" s="1866">
        <v>0</v>
      </c>
      <c r="U428" s="2442"/>
      <c r="V428" s="1866">
        <f t="shared" si="161"/>
        <v>0</v>
      </c>
      <c r="W428" s="1869">
        <f>S428+U428</f>
        <v>0</v>
      </c>
      <c r="X428" s="1870">
        <f t="shared" si="159"/>
        <v>0</v>
      </c>
      <c r="Y428" s="1871">
        <f t="shared" si="162"/>
        <v>0</v>
      </c>
      <c r="Z428" s="1694">
        <f>+E428-W428</f>
        <v>1147.73</v>
      </c>
      <c r="AA428" s="1872">
        <f t="shared" si="163"/>
        <v>7597.9726000000001</v>
      </c>
      <c r="AB428" s="1873">
        <f t="shared" si="164"/>
        <v>1.0000003421966657</v>
      </c>
      <c r="AC428" s="1418">
        <f t="shared" si="149"/>
        <v>-2.599999999802094E-3</v>
      </c>
      <c r="AD428" s="1418">
        <f t="shared" si="150"/>
        <v>0</v>
      </c>
      <c r="AE428" s="1418">
        <v>7597.9726000000001</v>
      </c>
      <c r="AF428" s="1418">
        <f t="shared" si="151"/>
        <v>2.599999999802094E-3</v>
      </c>
      <c r="AG428" s="1418">
        <v>6.62</v>
      </c>
      <c r="AH428" s="1418">
        <f t="shared" si="152"/>
        <v>0</v>
      </c>
      <c r="AI428" s="1428"/>
      <c r="AO428" s="2504">
        <v>0</v>
      </c>
      <c r="AP428" s="1418">
        <f t="shared" si="160"/>
        <v>0</v>
      </c>
    </row>
    <row r="429" spans="1:42" s="1410" customFormat="1" ht="15.75">
      <c r="A429" s="2102"/>
      <c r="B429" s="1268" t="s">
        <v>2497</v>
      </c>
      <c r="C429" s="1241" t="s">
        <v>3215</v>
      </c>
      <c r="D429" s="1245" t="s">
        <v>38</v>
      </c>
      <c r="E429" s="1413">
        <v>294.73</v>
      </c>
      <c r="F429" s="1555">
        <v>7.49</v>
      </c>
      <c r="G429" s="1480">
        <v>7.7</v>
      </c>
      <c r="H429" s="1414">
        <v>7.81</v>
      </c>
      <c r="I429" s="1477">
        <f t="shared" si="147"/>
        <v>2207.5300000000002</v>
      </c>
      <c r="J429" s="1477">
        <f t="shared" si="148"/>
        <v>2269.42</v>
      </c>
      <c r="K429" s="1477">
        <v>0</v>
      </c>
      <c r="L429" s="1477">
        <f t="shared" si="153"/>
        <v>0</v>
      </c>
      <c r="M429" s="1477">
        <v>294.73</v>
      </c>
      <c r="N429" s="1477">
        <f t="shared" si="154"/>
        <v>294.73</v>
      </c>
      <c r="O429" s="1477">
        <f t="shared" si="155"/>
        <v>0</v>
      </c>
      <c r="P429" s="1477">
        <f t="shared" si="156"/>
        <v>2269.42</v>
      </c>
      <c r="Q429" s="1477">
        <f t="shared" si="157"/>
        <v>2301.84</v>
      </c>
      <c r="R429" s="1576">
        <f t="shared" si="158"/>
        <v>2301.84</v>
      </c>
      <c r="S429" s="1869">
        <v>0</v>
      </c>
      <c r="T429" s="1866">
        <v>0</v>
      </c>
      <c r="U429" s="2442"/>
      <c r="V429" s="1866">
        <f t="shared" si="161"/>
        <v>0</v>
      </c>
      <c r="W429" s="1869">
        <f>S429+U429</f>
        <v>0</v>
      </c>
      <c r="X429" s="1870">
        <f t="shared" si="159"/>
        <v>0</v>
      </c>
      <c r="Y429" s="1871">
        <f t="shared" si="162"/>
        <v>0</v>
      </c>
      <c r="Z429" s="1694">
        <f>+E429-W429</f>
        <v>294.73</v>
      </c>
      <c r="AA429" s="1872">
        <f t="shared" si="163"/>
        <v>2301.8413</v>
      </c>
      <c r="AB429" s="1873">
        <f t="shared" si="164"/>
        <v>1.0000005647655787</v>
      </c>
      <c r="AC429" s="1418">
        <f t="shared" si="149"/>
        <v>-1.299999999901047E-3</v>
      </c>
      <c r="AD429" s="1418">
        <f t="shared" si="150"/>
        <v>0</v>
      </c>
      <c r="AE429" s="1418">
        <v>2301.8413</v>
      </c>
      <c r="AF429" s="1418">
        <f t="shared" si="151"/>
        <v>1.299999999901047E-3</v>
      </c>
      <c r="AG429" s="1418">
        <v>7.81</v>
      </c>
      <c r="AH429" s="1418">
        <f t="shared" si="152"/>
        <v>0</v>
      </c>
      <c r="AI429" s="1428"/>
      <c r="AO429" s="2504">
        <v>0</v>
      </c>
      <c r="AP429" s="1418">
        <f t="shared" si="160"/>
        <v>0</v>
      </c>
    </row>
    <row r="430" spans="1:42" s="1231" customFormat="1" ht="15.75">
      <c r="A430" s="2103" t="s">
        <v>3619</v>
      </c>
      <c r="B430" s="1263" t="s">
        <v>2498</v>
      </c>
      <c r="C430" s="1264" t="s">
        <v>3063</v>
      </c>
      <c r="D430" s="1265"/>
      <c r="E430" s="1266"/>
      <c r="F430" s="1267"/>
      <c r="G430" s="1480"/>
      <c r="H430" s="1267"/>
      <c r="I430" s="1477">
        <f t="shared" si="147"/>
        <v>0</v>
      </c>
      <c r="J430" s="1477">
        <f t="shared" si="148"/>
        <v>0</v>
      </c>
      <c r="K430" s="1477"/>
      <c r="L430" s="1477">
        <f t="shared" si="153"/>
        <v>0</v>
      </c>
      <c r="M430" s="1477"/>
      <c r="N430" s="1477">
        <f t="shared" si="154"/>
        <v>0</v>
      </c>
      <c r="O430" s="1477">
        <f t="shared" si="155"/>
        <v>0</v>
      </c>
      <c r="P430" s="1477">
        <f t="shared" si="156"/>
        <v>0</v>
      </c>
      <c r="Q430" s="1477">
        <f t="shared" si="157"/>
        <v>0</v>
      </c>
      <c r="R430" s="1576">
        <f t="shared" si="158"/>
        <v>0</v>
      </c>
      <c r="S430" s="2452"/>
      <c r="T430" s="1866"/>
      <c r="U430" s="2442"/>
      <c r="V430" s="1866">
        <f t="shared" si="161"/>
        <v>0</v>
      </c>
      <c r="W430" s="2452"/>
      <c r="X430" s="1870"/>
      <c r="Y430" s="1871" t="str">
        <f t="shared" si="162"/>
        <v/>
      </c>
      <c r="Z430" s="1694"/>
      <c r="AA430" s="1872">
        <f t="shared" si="163"/>
        <v>0</v>
      </c>
      <c r="AB430" s="1873" t="str">
        <f t="shared" si="164"/>
        <v/>
      </c>
      <c r="AC430" s="1418">
        <f t="shared" si="149"/>
        <v>0</v>
      </c>
      <c r="AD430" s="1418">
        <f t="shared" si="150"/>
        <v>0</v>
      </c>
      <c r="AE430" s="1230"/>
      <c r="AF430" s="1230">
        <f t="shared" si="151"/>
        <v>0</v>
      </c>
      <c r="AG430" s="1230"/>
      <c r="AH430" s="1418">
        <f t="shared" si="152"/>
        <v>0</v>
      </c>
      <c r="AI430" s="1346"/>
      <c r="AO430" s="1736"/>
      <c r="AP430" s="1418">
        <f t="shared" si="160"/>
        <v>0</v>
      </c>
    </row>
    <row r="431" spans="1:42" s="1410" customFormat="1" ht="15.75">
      <c r="A431" s="2102"/>
      <c r="B431" s="1268" t="s">
        <v>2499</v>
      </c>
      <c r="C431" s="1241" t="s">
        <v>3216</v>
      </c>
      <c r="D431" s="1245" t="s">
        <v>40</v>
      </c>
      <c r="E431" s="1413">
        <v>5.79</v>
      </c>
      <c r="F431" s="1555">
        <v>317.2</v>
      </c>
      <c r="G431" s="1480">
        <v>323.89</v>
      </c>
      <c r="H431" s="1414">
        <v>327.32</v>
      </c>
      <c r="I431" s="1477">
        <f t="shared" si="147"/>
        <v>1836.59</v>
      </c>
      <c r="J431" s="1477">
        <f t="shared" si="148"/>
        <v>1875.32</v>
      </c>
      <c r="K431" s="1477">
        <v>0</v>
      </c>
      <c r="L431" s="1477">
        <f t="shared" si="153"/>
        <v>0</v>
      </c>
      <c r="M431" s="1477">
        <v>5.79</v>
      </c>
      <c r="N431" s="1477">
        <f t="shared" si="154"/>
        <v>5.79</v>
      </c>
      <c r="O431" s="1477">
        <f t="shared" si="155"/>
        <v>0</v>
      </c>
      <c r="P431" s="1477">
        <f t="shared" si="156"/>
        <v>1875.32</v>
      </c>
      <c r="Q431" s="1477">
        <f t="shared" si="157"/>
        <v>1895.18</v>
      </c>
      <c r="R431" s="1576">
        <f t="shared" si="158"/>
        <v>1895.18</v>
      </c>
      <c r="S431" s="1869">
        <v>5.79</v>
      </c>
      <c r="T431" s="1866">
        <v>1895.1827999999998</v>
      </c>
      <c r="U431" s="2442"/>
      <c r="V431" s="1866">
        <f t="shared" si="161"/>
        <v>0</v>
      </c>
      <c r="W431" s="1869">
        <f t="shared" ref="W431:W440" si="167">S431+U431</f>
        <v>5.79</v>
      </c>
      <c r="X431" s="1870">
        <f t="shared" si="159"/>
        <v>1895.1827999999998</v>
      </c>
      <c r="Y431" s="1871">
        <f t="shared" si="162"/>
        <v>1.0000014774322226</v>
      </c>
      <c r="Z431" s="1694">
        <f t="shared" ref="Z431:Z440" si="168">+E431-W431</f>
        <v>0</v>
      </c>
      <c r="AA431" s="1872">
        <f t="shared" si="163"/>
        <v>0</v>
      </c>
      <c r="AB431" s="1873">
        <f t="shared" si="164"/>
        <v>0</v>
      </c>
      <c r="AC431" s="1418">
        <f t="shared" si="149"/>
        <v>-2.7999999997518898E-3</v>
      </c>
      <c r="AD431" s="1418">
        <f t="shared" si="150"/>
        <v>0</v>
      </c>
      <c r="AE431" s="1418">
        <v>1895.1828</v>
      </c>
      <c r="AF431" s="1418">
        <f t="shared" si="151"/>
        <v>2.7999999999792635E-3</v>
      </c>
      <c r="AG431" s="1418">
        <v>327.32</v>
      </c>
      <c r="AH431" s="1418">
        <f t="shared" si="152"/>
        <v>0</v>
      </c>
      <c r="AI431" s="1428"/>
      <c r="AO431" s="2504">
        <v>1895.1827999999998</v>
      </c>
      <c r="AP431" s="1418">
        <f t="shared" si="160"/>
        <v>0</v>
      </c>
    </row>
    <row r="432" spans="1:42" s="1410" customFormat="1" ht="15.75">
      <c r="A432" s="2102"/>
      <c r="B432" s="1268" t="s">
        <v>2500</v>
      </c>
      <c r="C432" s="1241" t="s">
        <v>3217</v>
      </c>
      <c r="D432" s="1245" t="s">
        <v>38</v>
      </c>
      <c r="E432" s="1413">
        <v>19</v>
      </c>
      <c r="F432" s="1555">
        <v>18.309999999999999</v>
      </c>
      <c r="G432" s="1480">
        <v>19.260000000000002</v>
      </c>
      <c r="H432" s="1414">
        <v>19.77</v>
      </c>
      <c r="I432" s="1477">
        <f t="shared" si="147"/>
        <v>347.89</v>
      </c>
      <c r="J432" s="1477">
        <f t="shared" si="148"/>
        <v>365.94</v>
      </c>
      <c r="K432" s="1477">
        <v>0</v>
      </c>
      <c r="L432" s="1477">
        <f t="shared" si="153"/>
        <v>0</v>
      </c>
      <c r="M432" s="1477">
        <v>19</v>
      </c>
      <c r="N432" s="1477">
        <f t="shared" si="154"/>
        <v>19</v>
      </c>
      <c r="O432" s="1477">
        <f t="shared" si="155"/>
        <v>0</v>
      </c>
      <c r="P432" s="1477">
        <f t="shared" si="156"/>
        <v>365.94</v>
      </c>
      <c r="Q432" s="1477">
        <f t="shared" si="157"/>
        <v>375.63</v>
      </c>
      <c r="R432" s="1576">
        <f t="shared" si="158"/>
        <v>375.63</v>
      </c>
      <c r="S432" s="1869">
        <v>0</v>
      </c>
      <c r="T432" s="1866">
        <v>0</v>
      </c>
      <c r="U432" s="2442"/>
      <c r="V432" s="1866">
        <f t="shared" si="161"/>
        <v>0</v>
      </c>
      <c r="W432" s="1869">
        <f t="shared" si="167"/>
        <v>0</v>
      </c>
      <c r="X432" s="1870">
        <f t="shared" si="159"/>
        <v>0</v>
      </c>
      <c r="Y432" s="1871">
        <f t="shared" si="162"/>
        <v>0</v>
      </c>
      <c r="Z432" s="1694">
        <f t="shared" si="168"/>
        <v>19</v>
      </c>
      <c r="AA432" s="1872">
        <f t="shared" si="163"/>
        <v>375.63</v>
      </c>
      <c r="AB432" s="1873">
        <f t="shared" si="164"/>
        <v>1</v>
      </c>
      <c r="AC432" s="1418">
        <f t="shared" si="149"/>
        <v>0</v>
      </c>
      <c r="AD432" s="1418">
        <f t="shared" si="150"/>
        <v>0</v>
      </c>
      <c r="AE432" s="1418">
        <v>375.63</v>
      </c>
      <c r="AF432" s="1418">
        <f t="shared" si="151"/>
        <v>0</v>
      </c>
      <c r="AG432" s="1418">
        <v>19.77</v>
      </c>
      <c r="AH432" s="1418">
        <f t="shared" si="152"/>
        <v>0</v>
      </c>
      <c r="AI432" s="1428"/>
      <c r="AO432" s="2504">
        <v>0</v>
      </c>
      <c r="AP432" s="1418">
        <f t="shared" si="160"/>
        <v>0</v>
      </c>
    </row>
    <row r="433" spans="1:42" s="1410" customFormat="1" ht="15.75">
      <c r="A433" s="2102"/>
      <c r="B433" s="1268" t="s">
        <v>2501</v>
      </c>
      <c r="C433" s="1241" t="s">
        <v>3218</v>
      </c>
      <c r="D433" s="1245" t="s">
        <v>36</v>
      </c>
      <c r="E433" s="1413">
        <v>2</v>
      </c>
      <c r="F433" s="1555">
        <v>1197.04</v>
      </c>
      <c r="G433" s="1480">
        <v>1256.78</v>
      </c>
      <c r="H433" s="1414">
        <v>1288.83</v>
      </c>
      <c r="I433" s="1477">
        <f t="shared" si="147"/>
        <v>2394.08</v>
      </c>
      <c r="J433" s="1477">
        <f t="shared" si="148"/>
        <v>2513.56</v>
      </c>
      <c r="K433" s="1477">
        <v>0</v>
      </c>
      <c r="L433" s="1477">
        <f t="shared" si="153"/>
        <v>0</v>
      </c>
      <c r="M433" s="1477">
        <v>2</v>
      </c>
      <c r="N433" s="1477">
        <f t="shared" si="154"/>
        <v>2</v>
      </c>
      <c r="O433" s="1477">
        <f t="shared" si="155"/>
        <v>0</v>
      </c>
      <c r="P433" s="1477">
        <f t="shared" si="156"/>
        <v>2513.56</v>
      </c>
      <c r="Q433" s="1477">
        <f t="shared" si="157"/>
        <v>2577.66</v>
      </c>
      <c r="R433" s="1576">
        <f t="shared" si="158"/>
        <v>2577.66</v>
      </c>
      <c r="S433" s="1869">
        <v>0</v>
      </c>
      <c r="T433" s="1866">
        <v>0</v>
      </c>
      <c r="U433" s="2442"/>
      <c r="V433" s="1866">
        <f t="shared" si="161"/>
        <v>0</v>
      </c>
      <c r="W433" s="1869">
        <f t="shared" si="167"/>
        <v>0</v>
      </c>
      <c r="X433" s="1870">
        <f t="shared" si="159"/>
        <v>0</v>
      </c>
      <c r="Y433" s="1871">
        <f t="shared" si="162"/>
        <v>0</v>
      </c>
      <c r="Z433" s="1694">
        <f t="shared" si="168"/>
        <v>2</v>
      </c>
      <c r="AA433" s="1872">
        <f t="shared" si="163"/>
        <v>2577.66</v>
      </c>
      <c r="AB433" s="1873">
        <f t="shared" si="164"/>
        <v>1</v>
      </c>
      <c r="AC433" s="1418">
        <f t="shared" si="149"/>
        <v>0</v>
      </c>
      <c r="AD433" s="1418">
        <f t="shared" si="150"/>
        <v>0</v>
      </c>
      <c r="AE433" s="1418">
        <v>2577.66</v>
      </c>
      <c r="AF433" s="1418">
        <f t="shared" si="151"/>
        <v>0</v>
      </c>
      <c r="AG433" s="1418">
        <v>1288.83</v>
      </c>
      <c r="AH433" s="1418">
        <f t="shared" si="152"/>
        <v>0</v>
      </c>
      <c r="AI433" s="1428"/>
      <c r="AO433" s="2504">
        <v>0</v>
      </c>
      <c r="AP433" s="1418">
        <f t="shared" si="160"/>
        <v>0</v>
      </c>
    </row>
    <row r="434" spans="1:42" s="1410" customFormat="1" ht="15.75">
      <c r="A434" s="2102" t="s">
        <v>3619</v>
      </c>
      <c r="B434" s="1268" t="s">
        <v>2502</v>
      </c>
      <c r="C434" s="1241" t="s">
        <v>3219</v>
      </c>
      <c r="D434" s="1245" t="s">
        <v>37</v>
      </c>
      <c r="E434" s="1413">
        <v>2317.69</v>
      </c>
      <c r="F434" s="1555">
        <v>3.2</v>
      </c>
      <c r="G434" s="1480">
        <v>3.5</v>
      </c>
      <c r="H434" s="1414">
        <v>3.65</v>
      </c>
      <c r="I434" s="1477">
        <f t="shared" si="147"/>
        <v>7416.61</v>
      </c>
      <c r="J434" s="1477">
        <f t="shared" si="148"/>
        <v>8111.92</v>
      </c>
      <c r="K434" s="1477">
        <v>1032.45</v>
      </c>
      <c r="L434" s="1477">
        <f t="shared" si="153"/>
        <v>1032.45</v>
      </c>
      <c r="M434" s="1477">
        <v>1285.24</v>
      </c>
      <c r="N434" s="1477">
        <f t="shared" si="154"/>
        <v>1285.24</v>
      </c>
      <c r="O434" s="1477">
        <f t="shared" si="155"/>
        <v>3613.58</v>
      </c>
      <c r="P434" s="1477">
        <f t="shared" si="156"/>
        <v>4498.34</v>
      </c>
      <c r="Q434" s="1477">
        <f t="shared" si="157"/>
        <v>4691.13</v>
      </c>
      <c r="R434" s="1576">
        <f t="shared" si="158"/>
        <v>8304.7099999999991</v>
      </c>
      <c r="S434" s="1869">
        <v>1032.45</v>
      </c>
      <c r="T434" s="1866">
        <v>3613.5750000000003</v>
      </c>
      <c r="U434" s="2442"/>
      <c r="V434" s="1866">
        <f t="shared" si="161"/>
        <v>0</v>
      </c>
      <c r="W434" s="1869">
        <f t="shared" si="167"/>
        <v>1032.45</v>
      </c>
      <c r="X434" s="1870">
        <f t="shared" si="159"/>
        <v>3613.5750000000003</v>
      </c>
      <c r="Y434" s="1871">
        <f t="shared" si="162"/>
        <v>0.43512356241217343</v>
      </c>
      <c r="Z434" s="1694">
        <f t="shared" si="168"/>
        <v>1285.24</v>
      </c>
      <c r="AA434" s="1872">
        <f t="shared" si="163"/>
        <v>4691.1260000000002</v>
      </c>
      <c r="AB434" s="1873">
        <f t="shared" si="164"/>
        <v>0.56487535386545717</v>
      </c>
      <c r="AC434" s="1418">
        <f t="shared" si="149"/>
        <v>8.9999999981955625E-3</v>
      </c>
      <c r="AD434" s="1418">
        <f t="shared" si="150"/>
        <v>0</v>
      </c>
      <c r="AE434" s="1418">
        <v>8304.7010000000009</v>
      </c>
      <c r="AF434" s="1418">
        <f t="shared" si="151"/>
        <v>-8.9999999981955625E-3</v>
      </c>
      <c r="AG434" s="1418">
        <v>3.65</v>
      </c>
      <c r="AH434" s="1418">
        <f t="shared" si="152"/>
        <v>0</v>
      </c>
      <c r="AI434" s="1428"/>
      <c r="AO434" s="2504">
        <v>3613.5750000000003</v>
      </c>
      <c r="AP434" s="1418">
        <f t="shared" si="160"/>
        <v>0</v>
      </c>
    </row>
    <row r="435" spans="1:42" s="1410" customFormat="1" ht="15.75">
      <c r="A435" s="2102"/>
      <c r="B435" s="1268" t="s">
        <v>2503</v>
      </c>
      <c r="C435" s="1241" t="s">
        <v>3220</v>
      </c>
      <c r="D435" s="1245" t="s">
        <v>40</v>
      </c>
      <c r="E435" s="1413">
        <v>10</v>
      </c>
      <c r="F435" s="1555">
        <v>1986.6</v>
      </c>
      <c r="G435" s="1480">
        <v>2042.92</v>
      </c>
      <c r="H435" s="1414">
        <v>2073.1</v>
      </c>
      <c r="I435" s="1477">
        <f t="shared" si="147"/>
        <v>19866</v>
      </c>
      <c r="J435" s="1477">
        <f t="shared" si="148"/>
        <v>20429.2</v>
      </c>
      <c r="K435" s="1477">
        <v>0</v>
      </c>
      <c r="L435" s="1477">
        <f t="shared" si="153"/>
        <v>0</v>
      </c>
      <c r="M435" s="1477">
        <v>10</v>
      </c>
      <c r="N435" s="1477">
        <f t="shared" si="154"/>
        <v>10</v>
      </c>
      <c r="O435" s="1477">
        <f t="shared" si="155"/>
        <v>0</v>
      </c>
      <c r="P435" s="1477">
        <f t="shared" si="156"/>
        <v>20429.2</v>
      </c>
      <c r="Q435" s="1477">
        <f t="shared" si="157"/>
        <v>20731</v>
      </c>
      <c r="R435" s="1576">
        <f t="shared" si="158"/>
        <v>20731</v>
      </c>
      <c r="S435" s="1869">
        <v>0</v>
      </c>
      <c r="T435" s="1866">
        <v>0</v>
      </c>
      <c r="U435" s="2442">
        <v>1</v>
      </c>
      <c r="V435" s="1866">
        <f t="shared" si="161"/>
        <v>2073.1</v>
      </c>
      <c r="W435" s="1869">
        <f t="shared" si="167"/>
        <v>1</v>
      </c>
      <c r="X435" s="1870">
        <f t="shared" si="159"/>
        <v>2073.1</v>
      </c>
      <c r="Y435" s="1871">
        <f t="shared" si="162"/>
        <v>9.9999999999999992E-2</v>
      </c>
      <c r="Z435" s="1694">
        <f t="shared" si="168"/>
        <v>9</v>
      </c>
      <c r="AA435" s="1872">
        <f t="shared" si="163"/>
        <v>18657.899999999998</v>
      </c>
      <c r="AB435" s="1873">
        <f t="shared" si="164"/>
        <v>0.89999999999999991</v>
      </c>
      <c r="AC435" s="1418">
        <f t="shared" si="149"/>
        <v>0</v>
      </c>
      <c r="AD435" s="1418">
        <f t="shared" si="150"/>
        <v>0</v>
      </c>
      <c r="AE435" s="1418">
        <v>20731</v>
      </c>
      <c r="AF435" s="1418">
        <f t="shared" si="151"/>
        <v>0</v>
      </c>
      <c r="AG435" s="1418">
        <v>2073.1</v>
      </c>
      <c r="AH435" s="1418">
        <f t="shared" si="152"/>
        <v>0</v>
      </c>
      <c r="AI435" s="1428"/>
      <c r="AO435" s="2504">
        <v>0</v>
      </c>
      <c r="AP435" s="1418">
        <f t="shared" si="160"/>
        <v>-2073.1</v>
      </c>
    </row>
    <row r="436" spans="1:42" s="1410" customFormat="1" ht="15.75">
      <c r="A436" s="2102"/>
      <c r="B436" s="1268" t="s">
        <v>2504</v>
      </c>
      <c r="C436" s="1241" t="s">
        <v>3221</v>
      </c>
      <c r="D436" s="1245" t="s">
        <v>40</v>
      </c>
      <c r="E436" s="1413">
        <v>6</v>
      </c>
      <c r="F436" s="1555">
        <v>1176.1199999999999</v>
      </c>
      <c r="G436" s="1480">
        <v>1204.28</v>
      </c>
      <c r="H436" s="1414">
        <v>1219.3699999999999</v>
      </c>
      <c r="I436" s="1477">
        <f t="shared" si="147"/>
        <v>7056.72</v>
      </c>
      <c r="J436" s="1477">
        <f t="shared" si="148"/>
        <v>7225.68</v>
      </c>
      <c r="K436" s="1477">
        <v>0</v>
      </c>
      <c r="L436" s="1477">
        <f t="shared" si="153"/>
        <v>0</v>
      </c>
      <c r="M436" s="1477">
        <v>6</v>
      </c>
      <c r="N436" s="1477">
        <f t="shared" si="154"/>
        <v>6</v>
      </c>
      <c r="O436" s="1477">
        <f t="shared" si="155"/>
        <v>0</v>
      </c>
      <c r="P436" s="1477">
        <f t="shared" si="156"/>
        <v>7225.68</v>
      </c>
      <c r="Q436" s="1477">
        <f t="shared" si="157"/>
        <v>7316.22</v>
      </c>
      <c r="R436" s="1576">
        <f t="shared" si="158"/>
        <v>7316.22</v>
      </c>
      <c r="S436" s="1869">
        <v>0</v>
      </c>
      <c r="T436" s="1866">
        <v>0</v>
      </c>
      <c r="U436" s="2442"/>
      <c r="V436" s="1866">
        <f t="shared" si="161"/>
        <v>0</v>
      </c>
      <c r="W436" s="1869">
        <f t="shared" si="167"/>
        <v>0</v>
      </c>
      <c r="X436" s="1870">
        <f t="shared" si="159"/>
        <v>0</v>
      </c>
      <c r="Y436" s="1871">
        <f t="shared" si="162"/>
        <v>0</v>
      </c>
      <c r="Z436" s="1694">
        <f t="shared" si="168"/>
        <v>6</v>
      </c>
      <c r="AA436" s="1872">
        <f t="shared" si="163"/>
        <v>7316.2199999999993</v>
      </c>
      <c r="AB436" s="1873">
        <f t="shared" si="164"/>
        <v>0.99999999999999989</v>
      </c>
      <c r="AC436" s="1418">
        <f t="shared" si="149"/>
        <v>0</v>
      </c>
      <c r="AD436" s="1418">
        <f t="shared" si="150"/>
        <v>0</v>
      </c>
      <c r="AE436" s="1418">
        <v>7316.2199999999993</v>
      </c>
      <c r="AF436" s="1418">
        <f t="shared" si="151"/>
        <v>0</v>
      </c>
      <c r="AG436" s="1418">
        <v>1219.3699999999999</v>
      </c>
      <c r="AH436" s="1418">
        <f t="shared" si="152"/>
        <v>0</v>
      </c>
      <c r="AI436" s="1428"/>
      <c r="AO436" s="2504">
        <v>0</v>
      </c>
      <c r="AP436" s="1418">
        <f t="shared" si="160"/>
        <v>0</v>
      </c>
    </row>
    <row r="437" spans="1:42" s="1410" customFormat="1" ht="15.75">
      <c r="A437" s="2102"/>
      <c r="B437" s="1268" t="s">
        <v>2505</v>
      </c>
      <c r="C437" s="1241" t="s">
        <v>3222</v>
      </c>
      <c r="D437" s="1245" t="s">
        <v>40</v>
      </c>
      <c r="E437" s="1413">
        <v>4</v>
      </c>
      <c r="F437" s="1555">
        <v>1625.12</v>
      </c>
      <c r="G437" s="1480">
        <v>1653.28</v>
      </c>
      <c r="H437" s="1414">
        <v>1668.37</v>
      </c>
      <c r="I437" s="1477">
        <f t="shared" si="147"/>
        <v>6500.48</v>
      </c>
      <c r="J437" s="1477">
        <f t="shared" si="148"/>
        <v>6613.12</v>
      </c>
      <c r="K437" s="1477">
        <v>0</v>
      </c>
      <c r="L437" s="1477">
        <f t="shared" si="153"/>
        <v>0</v>
      </c>
      <c r="M437" s="1477">
        <v>4</v>
      </c>
      <c r="N437" s="1477">
        <f t="shared" si="154"/>
        <v>4</v>
      </c>
      <c r="O437" s="1477">
        <f t="shared" si="155"/>
        <v>0</v>
      </c>
      <c r="P437" s="1477">
        <f t="shared" si="156"/>
        <v>6613.12</v>
      </c>
      <c r="Q437" s="1477">
        <f t="shared" si="157"/>
        <v>6673.48</v>
      </c>
      <c r="R437" s="1576">
        <f t="shared" si="158"/>
        <v>6673.48</v>
      </c>
      <c r="S437" s="1869">
        <v>0</v>
      </c>
      <c r="T437" s="1866">
        <v>0</v>
      </c>
      <c r="U437" s="2442"/>
      <c r="V437" s="1866">
        <f t="shared" si="161"/>
        <v>0</v>
      </c>
      <c r="W437" s="1869">
        <f t="shared" si="167"/>
        <v>0</v>
      </c>
      <c r="X437" s="1870">
        <f t="shared" si="159"/>
        <v>0</v>
      </c>
      <c r="Y437" s="1871">
        <f t="shared" si="162"/>
        <v>0</v>
      </c>
      <c r="Z437" s="1694">
        <f t="shared" si="168"/>
        <v>4</v>
      </c>
      <c r="AA437" s="1872">
        <f t="shared" si="163"/>
        <v>6673.48</v>
      </c>
      <c r="AB437" s="1873">
        <f t="shared" si="164"/>
        <v>1</v>
      </c>
      <c r="AC437" s="1418">
        <f t="shared" si="149"/>
        <v>0</v>
      </c>
      <c r="AD437" s="1418">
        <f t="shared" si="150"/>
        <v>0</v>
      </c>
      <c r="AE437" s="1418">
        <v>6673.48</v>
      </c>
      <c r="AF437" s="1418">
        <f t="shared" si="151"/>
        <v>0</v>
      </c>
      <c r="AG437" s="1418">
        <v>1668.37</v>
      </c>
      <c r="AH437" s="1418">
        <f t="shared" si="152"/>
        <v>0</v>
      </c>
      <c r="AI437" s="1428"/>
      <c r="AO437" s="2504">
        <v>0</v>
      </c>
      <c r="AP437" s="1418">
        <f t="shared" si="160"/>
        <v>0</v>
      </c>
    </row>
    <row r="438" spans="1:42" s="1410" customFormat="1" ht="15.75">
      <c r="A438" s="2102"/>
      <c r="B438" s="1268" t="s">
        <v>2506</v>
      </c>
      <c r="C438" s="1241" t="s">
        <v>3223</v>
      </c>
      <c r="D438" s="1245" t="s">
        <v>36</v>
      </c>
      <c r="E438" s="1413">
        <v>192</v>
      </c>
      <c r="F438" s="1555">
        <v>93.79</v>
      </c>
      <c r="G438" s="1480">
        <v>97.25</v>
      </c>
      <c r="H438" s="1414">
        <v>99.03</v>
      </c>
      <c r="I438" s="1477">
        <f t="shared" si="147"/>
        <v>18007.68</v>
      </c>
      <c r="J438" s="1477">
        <f t="shared" si="148"/>
        <v>18672</v>
      </c>
      <c r="K438" s="1477">
        <v>0</v>
      </c>
      <c r="L438" s="1477">
        <f t="shared" si="153"/>
        <v>0</v>
      </c>
      <c r="M438" s="1477">
        <v>192</v>
      </c>
      <c r="N438" s="1477">
        <f t="shared" si="154"/>
        <v>192</v>
      </c>
      <c r="O438" s="1477">
        <f t="shared" si="155"/>
        <v>0</v>
      </c>
      <c r="P438" s="1477">
        <f t="shared" si="156"/>
        <v>18672</v>
      </c>
      <c r="Q438" s="1477">
        <f t="shared" si="157"/>
        <v>19013.759999999998</v>
      </c>
      <c r="R438" s="1576">
        <f t="shared" si="158"/>
        <v>19013.759999999998</v>
      </c>
      <c r="S438" s="1869">
        <v>0</v>
      </c>
      <c r="T438" s="1866">
        <v>0</v>
      </c>
      <c r="U438" s="2442"/>
      <c r="V438" s="1866">
        <f t="shared" si="161"/>
        <v>0</v>
      </c>
      <c r="W438" s="1869">
        <f t="shared" si="167"/>
        <v>0</v>
      </c>
      <c r="X438" s="1870">
        <f t="shared" si="159"/>
        <v>0</v>
      </c>
      <c r="Y438" s="1871">
        <f t="shared" si="162"/>
        <v>0</v>
      </c>
      <c r="Z438" s="1694">
        <f t="shared" si="168"/>
        <v>192</v>
      </c>
      <c r="AA438" s="1872">
        <f t="shared" si="163"/>
        <v>19013.760000000002</v>
      </c>
      <c r="AB438" s="1873">
        <f t="shared" si="164"/>
        <v>1.0000000000000002</v>
      </c>
      <c r="AC438" s="1418">
        <f t="shared" si="149"/>
        <v>0</v>
      </c>
      <c r="AD438" s="1418">
        <f t="shared" si="150"/>
        <v>0</v>
      </c>
      <c r="AE438" s="1418">
        <v>19013.760000000002</v>
      </c>
      <c r="AF438" s="1418">
        <f t="shared" si="151"/>
        <v>0</v>
      </c>
      <c r="AG438" s="1418">
        <v>99.03</v>
      </c>
      <c r="AH438" s="1418">
        <f t="shared" si="152"/>
        <v>0</v>
      </c>
      <c r="AI438" s="1428"/>
      <c r="AO438" s="2504">
        <v>0</v>
      </c>
      <c r="AP438" s="1418">
        <f t="shared" si="160"/>
        <v>0</v>
      </c>
    </row>
    <row r="439" spans="1:42" s="1410" customFormat="1" ht="15.75">
      <c r="A439" s="2102"/>
      <c r="B439" s="1268" t="s">
        <v>2507</v>
      </c>
      <c r="C439" s="1241" t="s">
        <v>3224</v>
      </c>
      <c r="D439" s="1245" t="s">
        <v>36</v>
      </c>
      <c r="E439" s="1413">
        <v>152</v>
      </c>
      <c r="F439" s="1555">
        <v>60.65</v>
      </c>
      <c r="G439" s="1480">
        <v>61.13</v>
      </c>
      <c r="H439" s="1414">
        <v>61.39</v>
      </c>
      <c r="I439" s="1477">
        <f t="shared" si="147"/>
        <v>9218.7999999999993</v>
      </c>
      <c r="J439" s="1477">
        <f t="shared" si="148"/>
        <v>9291.76</v>
      </c>
      <c r="K439" s="1477">
        <v>0</v>
      </c>
      <c r="L439" s="1477">
        <f t="shared" si="153"/>
        <v>0</v>
      </c>
      <c r="M439" s="1477">
        <v>152</v>
      </c>
      <c r="N439" s="1477">
        <f t="shared" si="154"/>
        <v>152</v>
      </c>
      <c r="O439" s="1477">
        <f t="shared" si="155"/>
        <v>0</v>
      </c>
      <c r="P439" s="1477">
        <f t="shared" si="156"/>
        <v>9291.76</v>
      </c>
      <c r="Q439" s="1477">
        <f t="shared" si="157"/>
        <v>9331.2800000000007</v>
      </c>
      <c r="R439" s="1576">
        <f t="shared" si="158"/>
        <v>9331.2800000000007</v>
      </c>
      <c r="S439" s="1869">
        <v>0</v>
      </c>
      <c r="T439" s="1866">
        <v>0</v>
      </c>
      <c r="U439" s="2442"/>
      <c r="V439" s="1866">
        <f t="shared" si="161"/>
        <v>0</v>
      </c>
      <c r="W439" s="1869">
        <f t="shared" si="167"/>
        <v>0</v>
      </c>
      <c r="X439" s="1870">
        <f t="shared" si="159"/>
        <v>0</v>
      </c>
      <c r="Y439" s="1871">
        <f t="shared" si="162"/>
        <v>0</v>
      </c>
      <c r="Z439" s="1694">
        <f t="shared" si="168"/>
        <v>152</v>
      </c>
      <c r="AA439" s="1872">
        <f t="shared" si="163"/>
        <v>9331.2800000000007</v>
      </c>
      <c r="AB439" s="1873">
        <f t="shared" si="164"/>
        <v>1</v>
      </c>
      <c r="AC439" s="1418">
        <f t="shared" si="149"/>
        <v>0</v>
      </c>
      <c r="AD439" s="1418">
        <f t="shared" si="150"/>
        <v>0</v>
      </c>
      <c r="AE439" s="1418">
        <v>9331.2800000000007</v>
      </c>
      <c r="AF439" s="1418">
        <f t="shared" si="151"/>
        <v>0</v>
      </c>
      <c r="AG439" s="1418">
        <v>61.39</v>
      </c>
      <c r="AH439" s="1418">
        <f t="shared" si="152"/>
        <v>0</v>
      </c>
      <c r="AI439" s="1428"/>
      <c r="AO439" s="2504">
        <v>0</v>
      </c>
      <c r="AP439" s="1418">
        <f t="shared" si="160"/>
        <v>0</v>
      </c>
    </row>
    <row r="440" spans="1:42" s="1410" customFormat="1" ht="15.75">
      <c r="A440" s="2102"/>
      <c r="B440" s="1268" t="s">
        <v>2508</v>
      </c>
      <c r="C440" s="1241" t="s">
        <v>3225</v>
      </c>
      <c r="D440" s="1245" t="s">
        <v>36</v>
      </c>
      <c r="E440" s="1413">
        <v>22</v>
      </c>
      <c r="F440" s="1555">
        <v>294.01</v>
      </c>
      <c r="G440" s="1480">
        <v>295.91000000000003</v>
      </c>
      <c r="H440" s="1414">
        <v>296.93</v>
      </c>
      <c r="I440" s="1477">
        <f t="shared" si="147"/>
        <v>6468.22</v>
      </c>
      <c r="J440" s="1477">
        <f t="shared" si="148"/>
        <v>6510.02</v>
      </c>
      <c r="K440" s="1477">
        <v>0</v>
      </c>
      <c r="L440" s="1477">
        <f t="shared" si="153"/>
        <v>0</v>
      </c>
      <c r="M440" s="1477">
        <v>22</v>
      </c>
      <c r="N440" s="1477">
        <f t="shared" si="154"/>
        <v>22</v>
      </c>
      <c r="O440" s="1477">
        <f t="shared" si="155"/>
        <v>0</v>
      </c>
      <c r="P440" s="1477">
        <f t="shared" si="156"/>
        <v>6510.02</v>
      </c>
      <c r="Q440" s="1477">
        <f t="shared" si="157"/>
        <v>6532.46</v>
      </c>
      <c r="R440" s="1576">
        <f t="shared" si="158"/>
        <v>6532.46</v>
      </c>
      <c r="S440" s="1869">
        <v>0</v>
      </c>
      <c r="T440" s="1866">
        <v>0</v>
      </c>
      <c r="U440" s="2442"/>
      <c r="V440" s="1866">
        <f t="shared" si="161"/>
        <v>0</v>
      </c>
      <c r="W440" s="1869">
        <f t="shared" si="167"/>
        <v>0</v>
      </c>
      <c r="X440" s="1870">
        <f t="shared" si="159"/>
        <v>0</v>
      </c>
      <c r="Y440" s="1871">
        <f t="shared" si="162"/>
        <v>0</v>
      </c>
      <c r="Z440" s="1694">
        <f t="shared" si="168"/>
        <v>22</v>
      </c>
      <c r="AA440" s="1872">
        <f t="shared" si="163"/>
        <v>6532.46</v>
      </c>
      <c r="AB440" s="1873">
        <f t="shared" si="164"/>
        <v>1</v>
      </c>
      <c r="AC440" s="1418">
        <f t="shared" si="149"/>
        <v>0</v>
      </c>
      <c r="AD440" s="1418">
        <f t="shared" si="150"/>
        <v>0</v>
      </c>
      <c r="AE440" s="1418">
        <v>6532.46</v>
      </c>
      <c r="AF440" s="1418">
        <f t="shared" si="151"/>
        <v>0</v>
      </c>
      <c r="AG440" s="1418">
        <v>296.93</v>
      </c>
      <c r="AH440" s="1418">
        <f t="shared" si="152"/>
        <v>0</v>
      </c>
      <c r="AI440" s="1428"/>
      <c r="AO440" s="2504">
        <v>0</v>
      </c>
      <c r="AP440" s="1418">
        <f t="shared" si="160"/>
        <v>0</v>
      </c>
    </row>
    <row r="441" spans="1:42" s="2383" customFormat="1" ht="15.75">
      <c r="A441" s="2373" t="s">
        <v>3619</v>
      </c>
      <c r="B441" s="2384" t="s">
        <v>487</v>
      </c>
      <c r="C441" s="2375" t="s">
        <v>1326</v>
      </c>
      <c r="D441" s="2376"/>
      <c r="E441" s="2377"/>
      <c r="F441" s="2378"/>
      <c r="G441" s="2379"/>
      <c r="H441" s="2378"/>
      <c r="I441" s="2380">
        <f t="shared" si="147"/>
        <v>0</v>
      </c>
      <c r="J441" s="2380">
        <f t="shared" si="148"/>
        <v>0</v>
      </c>
      <c r="K441" s="2380"/>
      <c r="L441" s="2380">
        <f t="shared" si="153"/>
        <v>0</v>
      </c>
      <c r="M441" s="2380"/>
      <c r="N441" s="2380">
        <f t="shared" si="154"/>
        <v>0</v>
      </c>
      <c r="O441" s="2380">
        <f t="shared" si="155"/>
        <v>0</v>
      </c>
      <c r="P441" s="2380">
        <f t="shared" si="156"/>
        <v>0</v>
      </c>
      <c r="Q441" s="2380">
        <f t="shared" si="157"/>
        <v>0</v>
      </c>
      <c r="R441" s="2380"/>
      <c r="S441" s="2454"/>
      <c r="T441" s="2455"/>
      <c r="U441" s="2463"/>
      <c r="V441" s="2455"/>
      <c r="W441" s="2454"/>
      <c r="X441" s="2457"/>
      <c r="Y441" s="2458"/>
      <c r="Z441" s="2459"/>
      <c r="AA441" s="2460"/>
      <c r="AB441" s="2461"/>
      <c r="AC441" s="2370">
        <f t="shared" si="149"/>
        <v>0</v>
      </c>
      <c r="AD441" s="2370">
        <f t="shared" si="150"/>
        <v>0</v>
      </c>
      <c r="AE441" s="2381"/>
      <c r="AF441" s="2381">
        <f t="shared" si="151"/>
        <v>0</v>
      </c>
      <c r="AG441" s="2381"/>
      <c r="AH441" s="2370">
        <f t="shared" si="152"/>
        <v>0</v>
      </c>
      <c r="AI441" s="2382"/>
      <c r="AO441" s="2509"/>
      <c r="AP441" s="1418">
        <f t="shared" si="160"/>
        <v>0</v>
      </c>
    </row>
    <row r="442" spans="1:42" s="1231" customFormat="1" ht="15.75">
      <c r="A442" s="2103"/>
      <c r="B442" s="1263" t="s">
        <v>488</v>
      </c>
      <c r="C442" s="1264" t="s">
        <v>3226</v>
      </c>
      <c r="D442" s="1265"/>
      <c r="E442" s="1266"/>
      <c r="F442" s="1267"/>
      <c r="G442" s="1480"/>
      <c r="H442" s="1267"/>
      <c r="I442" s="1477">
        <f t="shared" si="147"/>
        <v>0</v>
      </c>
      <c r="J442" s="1477">
        <f t="shared" si="148"/>
        <v>0</v>
      </c>
      <c r="K442" s="1477"/>
      <c r="L442" s="1477">
        <f t="shared" si="153"/>
        <v>0</v>
      </c>
      <c r="M442" s="1477"/>
      <c r="N442" s="1477">
        <f t="shared" si="154"/>
        <v>0</v>
      </c>
      <c r="O442" s="1477">
        <f t="shared" si="155"/>
        <v>0</v>
      </c>
      <c r="P442" s="1477">
        <f t="shared" si="156"/>
        <v>0</v>
      </c>
      <c r="Q442" s="1477">
        <f t="shared" si="157"/>
        <v>0</v>
      </c>
      <c r="R442" s="1576"/>
      <c r="S442" s="2452"/>
      <c r="T442" s="1866"/>
      <c r="U442" s="2442"/>
      <c r="V442" s="1866"/>
      <c r="W442" s="2452"/>
      <c r="X442" s="1870"/>
      <c r="Y442" s="1871"/>
      <c r="Z442" s="1694"/>
      <c r="AA442" s="1872"/>
      <c r="AB442" s="1873"/>
      <c r="AC442" s="1418">
        <f t="shared" si="149"/>
        <v>0</v>
      </c>
      <c r="AD442" s="1418">
        <f t="shared" si="150"/>
        <v>0</v>
      </c>
      <c r="AE442" s="1230"/>
      <c r="AF442" s="1230">
        <f t="shared" si="151"/>
        <v>0</v>
      </c>
      <c r="AG442" s="1230"/>
      <c r="AH442" s="1418">
        <f t="shared" si="152"/>
        <v>0</v>
      </c>
      <c r="AI442" s="1346"/>
      <c r="AO442" s="1736"/>
      <c r="AP442" s="1418">
        <f t="shared" si="160"/>
        <v>0</v>
      </c>
    </row>
    <row r="443" spans="1:42" s="1410" customFormat="1" ht="15.75">
      <c r="A443" s="2102"/>
      <c r="B443" s="1272" t="s">
        <v>489</v>
      </c>
      <c r="C443" s="1262" t="s">
        <v>3227</v>
      </c>
      <c r="D443" s="1273"/>
      <c r="E443" s="1415"/>
      <c r="F443" s="1267"/>
      <c r="G443" s="1480"/>
      <c r="H443" s="1416"/>
      <c r="I443" s="1477">
        <f t="shared" si="147"/>
        <v>0</v>
      </c>
      <c r="J443" s="1477">
        <f t="shared" si="148"/>
        <v>0</v>
      </c>
      <c r="K443" s="1477"/>
      <c r="L443" s="1477">
        <f t="shared" si="153"/>
        <v>0</v>
      </c>
      <c r="M443" s="1477"/>
      <c r="N443" s="1477">
        <f t="shared" si="154"/>
        <v>0</v>
      </c>
      <c r="O443" s="1477">
        <f t="shared" si="155"/>
        <v>0</v>
      </c>
      <c r="P443" s="1477">
        <f t="shared" si="156"/>
        <v>0</v>
      </c>
      <c r="Q443" s="1477">
        <f t="shared" si="157"/>
        <v>0</v>
      </c>
      <c r="R443" s="1576"/>
      <c r="S443" s="1869"/>
      <c r="T443" s="1866"/>
      <c r="U443" s="2442"/>
      <c r="V443" s="1866"/>
      <c r="W443" s="1869"/>
      <c r="X443" s="1870"/>
      <c r="Y443" s="1871"/>
      <c r="Z443" s="1694"/>
      <c r="AA443" s="1872"/>
      <c r="AB443" s="1873"/>
      <c r="AC443" s="1418">
        <f t="shared" si="149"/>
        <v>0</v>
      </c>
      <c r="AD443" s="1418">
        <f t="shared" si="150"/>
        <v>0</v>
      </c>
      <c r="AE443" s="1418"/>
      <c r="AF443" s="1418">
        <f t="shared" si="151"/>
        <v>0</v>
      </c>
      <c r="AG443" s="1418"/>
      <c r="AH443" s="1418">
        <f t="shared" si="152"/>
        <v>0</v>
      </c>
      <c r="AI443" s="1428"/>
      <c r="AO443" s="2504"/>
      <c r="AP443" s="1418">
        <f t="shared" si="160"/>
        <v>0</v>
      </c>
    </row>
    <row r="444" spans="1:42" s="1410" customFormat="1" ht="15.75">
      <c r="A444" s="2102"/>
      <c r="B444" s="1268" t="s">
        <v>2509</v>
      </c>
      <c r="C444" s="1241" t="s">
        <v>3228</v>
      </c>
      <c r="D444" s="1245" t="s">
        <v>36</v>
      </c>
      <c r="E444" s="1413">
        <v>45</v>
      </c>
      <c r="F444" s="1555">
        <v>254.6</v>
      </c>
      <c r="G444" s="1480">
        <v>254.6</v>
      </c>
      <c r="H444" s="1414">
        <v>254.6</v>
      </c>
      <c r="I444" s="1477">
        <f t="shared" si="147"/>
        <v>11457</v>
      </c>
      <c r="J444" s="1477">
        <f t="shared" si="148"/>
        <v>11457</v>
      </c>
      <c r="K444" s="1477">
        <v>0</v>
      </c>
      <c r="L444" s="1477">
        <f t="shared" si="153"/>
        <v>0</v>
      </c>
      <c r="M444" s="1477">
        <v>45</v>
      </c>
      <c r="N444" s="1477">
        <f t="shared" si="154"/>
        <v>45</v>
      </c>
      <c r="O444" s="1477">
        <f t="shared" si="155"/>
        <v>0</v>
      </c>
      <c r="P444" s="1477">
        <f t="shared" si="156"/>
        <v>11457</v>
      </c>
      <c r="Q444" s="1477">
        <f t="shared" si="157"/>
        <v>11457</v>
      </c>
      <c r="R444" s="1576">
        <f t="shared" si="158"/>
        <v>11457</v>
      </c>
      <c r="S444" s="1869">
        <v>45</v>
      </c>
      <c r="T444" s="1866">
        <v>11457</v>
      </c>
      <c r="U444" s="2442"/>
      <c r="V444" s="1866">
        <f t="shared" si="161"/>
        <v>0</v>
      </c>
      <c r="W444" s="1869">
        <f t="shared" ref="W444:W450" si="169">S444+U444</f>
        <v>45</v>
      </c>
      <c r="X444" s="1870">
        <f t="shared" si="159"/>
        <v>11457</v>
      </c>
      <c r="Y444" s="1871">
        <f t="shared" si="162"/>
        <v>1</v>
      </c>
      <c r="Z444" s="1694">
        <f t="shared" ref="Z444:Z450" si="170">+E444-W444</f>
        <v>0</v>
      </c>
      <c r="AA444" s="1872">
        <f t="shared" si="163"/>
        <v>0</v>
      </c>
      <c r="AB444" s="1873">
        <f t="shared" si="164"/>
        <v>0</v>
      </c>
      <c r="AC444" s="1418">
        <f t="shared" si="149"/>
        <v>0</v>
      </c>
      <c r="AD444" s="1418">
        <f t="shared" si="150"/>
        <v>0</v>
      </c>
      <c r="AE444" s="1418">
        <v>11457</v>
      </c>
      <c r="AF444" s="1418">
        <f t="shared" si="151"/>
        <v>0</v>
      </c>
      <c r="AG444" s="1418">
        <v>254.6</v>
      </c>
      <c r="AH444" s="1418">
        <f t="shared" si="152"/>
        <v>0</v>
      </c>
      <c r="AI444" s="1428"/>
      <c r="AO444" s="2504">
        <v>8401.7999999999993</v>
      </c>
      <c r="AP444" s="1418">
        <f t="shared" si="160"/>
        <v>-3055.2000000000007</v>
      </c>
    </row>
    <row r="445" spans="1:42" s="1410" customFormat="1" ht="15.75">
      <c r="A445" s="2102"/>
      <c r="B445" s="1268" t="s">
        <v>2510</v>
      </c>
      <c r="C445" s="1241" t="s">
        <v>3229</v>
      </c>
      <c r="D445" s="1245" t="s">
        <v>36</v>
      </c>
      <c r="E445" s="1413">
        <v>2</v>
      </c>
      <c r="F445" s="1555">
        <v>198.5</v>
      </c>
      <c r="G445" s="1480">
        <v>198.5</v>
      </c>
      <c r="H445" s="1414">
        <v>198.5</v>
      </c>
      <c r="I445" s="1477">
        <f t="shared" si="147"/>
        <v>397</v>
      </c>
      <c r="J445" s="1477">
        <f t="shared" si="148"/>
        <v>397</v>
      </c>
      <c r="K445" s="1477">
        <v>0</v>
      </c>
      <c r="L445" s="1477">
        <f t="shared" si="153"/>
        <v>0</v>
      </c>
      <c r="M445" s="1477">
        <v>2</v>
      </c>
      <c r="N445" s="1477">
        <f t="shared" si="154"/>
        <v>2</v>
      </c>
      <c r="O445" s="1477">
        <f t="shared" si="155"/>
        <v>0</v>
      </c>
      <c r="P445" s="1477">
        <f t="shared" si="156"/>
        <v>397</v>
      </c>
      <c r="Q445" s="1477">
        <f t="shared" si="157"/>
        <v>397</v>
      </c>
      <c r="R445" s="1576">
        <f t="shared" si="158"/>
        <v>397</v>
      </c>
      <c r="S445" s="1869">
        <v>0</v>
      </c>
      <c r="T445" s="1866">
        <v>0</v>
      </c>
      <c r="U445" s="2442">
        <v>2</v>
      </c>
      <c r="V445" s="1866">
        <f t="shared" si="161"/>
        <v>397</v>
      </c>
      <c r="W445" s="1869">
        <f t="shared" si="169"/>
        <v>2</v>
      </c>
      <c r="X445" s="1870">
        <f t="shared" si="159"/>
        <v>397</v>
      </c>
      <c r="Y445" s="1871">
        <f t="shared" si="162"/>
        <v>1</v>
      </c>
      <c r="Z445" s="1694">
        <f t="shared" si="170"/>
        <v>0</v>
      </c>
      <c r="AA445" s="1872">
        <f t="shared" si="163"/>
        <v>0</v>
      </c>
      <c r="AB445" s="1873">
        <f t="shared" si="164"/>
        <v>0</v>
      </c>
      <c r="AC445" s="1418">
        <f t="shared" si="149"/>
        <v>0</v>
      </c>
      <c r="AD445" s="1418">
        <f t="shared" si="150"/>
        <v>0</v>
      </c>
      <c r="AE445" s="1418">
        <v>397</v>
      </c>
      <c r="AF445" s="1418">
        <f t="shared" si="151"/>
        <v>0</v>
      </c>
      <c r="AG445" s="1418">
        <v>198.5</v>
      </c>
      <c r="AH445" s="1418">
        <f t="shared" si="152"/>
        <v>0</v>
      </c>
      <c r="AI445" s="1428"/>
      <c r="AO445" s="2504">
        <v>0</v>
      </c>
      <c r="AP445" s="1418">
        <f t="shared" si="160"/>
        <v>-397</v>
      </c>
    </row>
    <row r="446" spans="1:42" s="1410" customFormat="1" ht="15.75">
      <c r="A446" s="2102"/>
      <c r="B446" s="1268" t="s">
        <v>2511</v>
      </c>
      <c r="C446" s="1241" t="s">
        <v>3230</v>
      </c>
      <c r="D446" s="1245" t="s">
        <v>36</v>
      </c>
      <c r="E446" s="1413">
        <v>11</v>
      </c>
      <c r="F446" s="1555">
        <v>106.79</v>
      </c>
      <c r="G446" s="1480">
        <v>106.79</v>
      </c>
      <c r="H446" s="1414">
        <v>106.79</v>
      </c>
      <c r="I446" s="1477">
        <f t="shared" si="147"/>
        <v>1174.69</v>
      </c>
      <c r="J446" s="1477">
        <f t="shared" si="148"/>
        <v>1174.69</v>
      </c>
      <c r="K446" s="1477">
        <v>0</v>
      </c>
      <c r="L446" s="1477">
        <f t="shared" si="153"/>
        <v>0</v>
      </c>
      <c r="M446" s="1477">
        <v>11</v>
      </c>
      <c r="N446" s="1477">
        <f t="shared" si="154"/>
        <v>11</v>
      </c>
      <c r="O446" s="1477">
        <f t="shared" si="155"/>
        <v>0</v>
      </c>
      <c r="P446" s="1477">
        <f t="shared" si="156"/>
        <v>1174.69</v>
      </c>
      <c r="Q446" s="1477">
        <f t="shared" si="157"/>
        <v>1174.69</v>
      </c>
      <c r="R446" s="1576">
        <f t="shared" si="158"/>
        <v>1174.69</v>
      </c>
      <c r="S446" s="1869">
        <v>0</v>
      </c>
      <c r="T446" s="1866">
        <v>0</v>
      </c>
      <c r="U446" s="2442">
        <v>7</v>
      </c>
      <c r="V446" s="1866">
        <f t="shared" si="161"/>
        <v>747.53000000000009</v>
      </c>
      <c r="W446" s="1869">
        <f t="shared" si="169"/>
        <v>7</v>
      </c>
      <c r="X446" s="1870">
        <f t="shared" si="159"/>
        <v>747.53000000000009</v>
      </c>
      <c r="Y446" s="1871">
        <f t="shared" si="162"/>
        <v>0.63636363636363635</v>
      </c>
      <c r="Z446" s="1694">
        <f t="shared" si="170"/>
        <v>4</v>
      </c>
      <c r="AA446" s="1872">
        <f t="shared" si="163"/>
        <v>427.16</v>
      </c>
      <c r="AB446" s="1873">
        <f t="shared" si="164"/>
        <v>0.36363636363636365</v>
      </c>
      <c r="AC446" s="1418">
        <f t="shared" si="149"/>
        <v>0</v>
      </c>
      <c r="AD446" s="1418">
        <f t="shared" si="150"/>
        <v>0</v>
      </c>
      <c r="AE446" s="1418">
        <v>1174.69</v>
      </c>
      <c r="AF446" s="1418">
        <f t="shared" si="151"/>
        <v>0</v>
      </c>
      <c r="AG446" s="1418">
        <v>106.79</v>
      </c>
      <c r="AH446" s="1418">
        <f t="shared" si="152"/>
        <v>0</v>
      </c>
      <c r="AI446" s="1428"/>
      <c r="AO446" s="2504">
        <v>0</v>
      </c>
      <c r="AP446" s="1418">
        <f t="shared" si="160"/>
        <v>-747.53000000000009</v>
      </c>
    </row>
    <row r="447" spans="1:42" s="1410" customFormat="1" ht="15.75">
      <c r="A447" s="2102"/>
      <c r="B447" s="1268" t="s">
        <v>2512</v>
      </c>
      <c r="C447" s="1241" t="s">
        <v>3231</v>
      </c>
      <c r="D447" s="1245" t="s">
        <v>36</v>
      </c>
      <c r="E447" s="1413">
        <v>54</v>
      </c>
      <c r="F447" s="1555">
        <v>143.5</v>
      </c>
      <c r="G447" s="1480">
        <v>143.5</v>
      </c>
      <c r="H447" s="1414">
        <v>143.5</v>
      </c>
      <c r="I447" s="1477">
        <f t="shared" si="147"/>
        <v>7749</v>
      </c>
      <c r="J447" s="1477">
        <f t="shared" si="148"/>
        <v>7749</v>
      </c>
      <c r="K447" s="1477">
        <v>0</v>
      </c>
      <c r="L447" s="1477">
        <f t="shared" si="153"/>
        <v>0</v>
      </c>
      <c r="M447" s="1477">
        <v>54</v>
      </c>
      <c r="N447" s="1477">
        <f t="shared" si="154"/>
        <v>54</v>
      </c>
      <c r="O447" s="1477">
        <f t="shared" si="155"/>
        <v>0</v>
      </c>
      <c r="P447" s="1477">
        <f t="shared" si="156"/>
        <v>7749</v>
      </c>
      <c r="Q447" s="1477">
        <f t="shared" si="157"/>
        <v>7749</v>
      </c>
      <c r="R447" s="1576">
        <f t="shared" si="158"/>
        <v>7749</v>
      </c>
      <c r="S447" s="1869">
        <v>20</v>
      </c>
      <c r="T447" s="1866">
        <v>2870</v>
      </c>
      <c r="U447" s="2442">
        <v>13</v>
      </c>
      <c r="V447" s="1866">
        <f t="shared" si="161"/>
        <v>1865.5</v>
      </c>
      <c r="W447" s="1869">
        <f t="shared" si="169"/>
        <v>33</v>
      </c>
      <c r="X447" s="1870">
        <f t="shared" si="159"/>
        <v>4735.5</v>
      </c>
      <c r="Y447" s="1871">
        <f t="shared" si="162"/>
        <v>0.61111111111111116</v>
      </c>
      <c r="Z447" s="1694">
        <f t="shared" si="170"/>
        <v>21</v>
      </c>
      <c r="AA447" s="1872">
        <f t="shared" si="163"/>
        <v>3013.5</v>
      </c>
      <c r="AB447" s="1873">
        <f t="shared" si="164"/>
        <v>0.3888888888888889</v>
      </c>
      <c r="AC447" s="1418">
        <f t="shared" si="149"/>
        <v>0</v>
      </c>
      <c r="AD447" s="1418">
        <f t="shared" si="150"/>
        <v>0</v>
      </c>
      <c r="AE447" s="1418">
        <v>7749</v>
      </c>
      <c r="AF447" s="1418">
        <f t="shared" si="151"/>
        <v>0</v>
      </c>
      <c r="AG447" s="1418">
        <v>143.5</v>
      </c>
      <c r="AH447" s="1418">
        <f t="shared" si="152"/>
        <v>0</v>
      </c>
      <c r="AI447" s="1428"/>
      <c r="AO447" s="2504">
        <v>0</v>
      </c>
      <c r="AP447" s="1418">
        <f t="shared" si="160"/>
        <v>-4735.5</v>
      </c>
    </row>
    <row r="448" spans="1:42" s="1410" customFormat="1" ht="15.75">
      <c r="A448" s="2102"/>
      <c r="B448" s="1268" t="s">
        <v>2513</v>
      </c>
      <c r="C448" s="1241" t="s">
        <v>3232</v>
      </c>
      <c r="D448" s="1245" t="s">
        <v>36</v>
      </c>
      <c r="E448" s="1413">
        <v>5</v>
      </c>
      <c r="F448" s="1555">
        <v>170</v>
      </c>
      <c r="G448" s="1480">
        <v>170</v>
      </c>
      <c r="H448" s="1414">
        <v>170</v>
      </c>
      <c r="I448" s="1477">
        <f t="shared" si="147"/>
        <v>850</v>
      </c>
      <c r="J448" s="1477">
        <f t="shared" si="148"/>
        <v>850</v>
      </c>
      <c r="K448" s="1477">
        <v>0</v>
      </c>
      <c r="L448" s="1477">
        <f t="shared" si="153"/>
        <v>0</v>
      </c>
      <c r="M448" s="1477">
        <v>5</v>
      </c>
      <c r="N448" s="1477">
        <f t="shared" si="154"/>
        <v>5</v>
      </c>
      <c r="O448" s="1477">
        <f t="shared" si="155"/>
        <v>0</v>
      </c>
      <c r="P448" s="1477">
        <f t="shared" si="156"/>
        <v>850</v>
      </c>
      <c r="Q448" s="1477">
        <f t="shared" si="157"/>
        <v>850</v>
      </c>
      <c r="R448" s="1576">
        <f t="shared" si="158"/>
        <v>850</v>
      </c>
      <c r="S448" s="1869">
        <v>4</v>
      </c>
      <c r="T448" s="1866">
        <v>680</v>
      </c>
      <c r="U448" s="2442"/>
      <c r="V448" s="1866">
        <f t="shared" si="161"/>
        <v>0</v>
      </c>
      <c r="W448" s="1869">
        <f t="shared" si="169"/>
        <v>4</v>
      </c>
      <c r="X448" s="1870">
        <f t="shared" si="159"/>
        <v>680</v>
      </c>
      <c r="Y448" s="1871">
        <f t="shared" si="162"/>
        <v>0.8</v>
      </c>
      <c r="Z448" s="1694">
        <f t="shared" si="170"/>
        <v>1</v>
      </c>
      <c r="AA448" s="1872">
        <f t="shared" si="163"/>
        <v>170</v>
      </c>
      <c r="AB448" s="1873">
        <f t="shared" si="164"/>
        <v>0.2</v>
      </c>
      <c r="AC448" s="1418">
        <f t="shared" si="149"/>
        <v>0</v>
      </c>
      <c r="AD448" s="1418">
        <f t="shared" si="150"/>
        <v>0</v>
      </c>
      <c r="AE448" s="1418">
        <v>850</v>
      </c>
      <c r="AF448" s="1418">
        <f t="shared" si="151"/>
        <v>0</v>
      </c>
      <c r="AG448" s="1418">
        <v>170</v>
      </c>
      <c r="AH448" s="1418">
        <f t="shared" si="152"/>
        <v>0</v>
      </c>
      <c r="AI448" s="1428"/>
      <c r="AO448" s="2504">
        <v>510</v>
      </c>
      <c r="AP448" s="1418">
        <f t="shared" si="160"/>
        <v>-170</v>
      </c>
    </row>
    <row r="449" spans="1:42" s="1410" customFormat="1" ht="15.75">
      <c r="A449" s="2102"/>
      <c r="B449" s="1268" t="s">
        <v>2514</v>
      </c>
      <c r="C449" s="1241" t="s">
        <v>3233</v>
      </c>
      <c r="D449" s="1245" t="s">
        <v>36</v>
      </c>
      <c r="E449" s="1413">
        <v>2</v>
      </c>
      <c r="F449" s="1555">
        <v>203.5</v>
      </c>
      <c r="G449" s="1480">
        <v>203.5</v>
      </c>
      <c r="H449" s="1414">
        <v>203.5</v>
      </c>
      <c r="I449" s="1477">
        <f t="shared" si="147"/>
        <v>407</v>
      </c>
      <c r="J449" s="1477">
        <f t="shared" si="148"/>
        <v>407</v>
      </c>
      <c r="K449" s="1477">
        <v>0</v>
      </c>
      <c r="L449" s="1477">
        <f t="shared" si="153"/>
        <v>0</v>
      </c>
      <c r="M449" s="1477">
        <v>2</v>
      </c>
      <c r="N449" s="1477">
        <f t="shared" si="154"/>
        <v>2</v>
      </c>
      <c r="O449" s="1477">
        <f t="shared" si="155"/>
        <v>0</v>
      </c>
      <c r="P449" s="1477">
        <f t="shared" si="156"/>
        <v>407</v>
      </c>
      <c r="Q449" s="1477">
        <f t="shared" si="157"/>
        <v>407</v>
      </c>
      <c r="R449" s="1576">
        <f t="shared" si="158"/>
        <v>407</v>
      </c>
      <c r="S449" s="1869">
        <v>0</v>
      </c>
      <c r="T449" s="1866">
        <v>0</v>
      </c>
      <c r="U449" s="2442">
        <v>1</v>
      </c>
      <c r="V449" s="1866">
        <f t="shared" si="161"/>
        <v>203.5</v>
      </c>
      <c r="W449" s="1869">
        <f t="shared" si="169"/>
        <v>1</v>
      </c>
      <c r="X449" s="1870">
        <f t="shared" si="159"/>
        <v>203.5</v>
      </c>
      <c r="Y449" s="1871">
        <f t="shared" si="162"/>
        <v>0.5</v>
      </c>
      <c r="Z449" s="1694">
        <f t="shared" si="170"/>
        <v>1</v>
      </c>
      <c r="AA449" s="1872">
        <f t="shared" si="163"/>
        <v>203.5</v>
      </c>
      <c r="AB449" s="1873">
        <f t="shared" si="164"/>
        <v>0.5</v>
      </c>
      <c r="AC449" s="1418">
        <f t="shared" si="149"/>
        <v>0</v>
      </c>
      <c r="AD449" s="1418">
        <f t="shared" si="150"/>
        <v>0</v>
      </c>
      <c r="AE449" s="1418">
        <v>407</v>
      </c>
      <c r="AF449" s="1418">
        <f t="shared" si="151"/>
        <v>0</v>
      </c>
      <c r="AG449" s="1418">
        <v>203.5</v>
      </c>
      <c r="AH449" s="1418">
        <f t="shared" si="152"/>
        <v>0</v>
      </c>
      <c r="AI449" s="1428"/>
      <c r="AO449" s="2504">
        <v>0</v>
      </c>
      <c r="AP449" s="1418">
        <f t="shared" si="160"/>
        <v>-203.5</v>
      </c>
    </row>
    <row r="450" spans="1:42" s="1410" customFormat="1" ht="15.75">
      <c r="A450" s="2102"/>
      <c r="B450" s="1268" t="s">
        <v>2515</v>
      </c>
      <c r="C450" s="1241" t="s">
        <v>3234</v>
      </c>
      <c r="D450" s="1245" t="s">
        <v>36</v>
      </c>
      <c r="E450" s="1413">
        <v>16</v>
      </c>
      <c r="F450" s="1555">
        <v>155</v>
      </c>
      <c r="G450" s="1480">
        <v>155</v>
      </c>
      <c r="H450" s="1414">
        <v>155</v>
      </c>
      <c r="I450" s="1477">
        <f t="shared" si="147"/>
        <v>2480</v>
      </c>
      <c r="J450" s="1477">
        <f t="shared" si="148"/>
        <v>2480</v>
      </c>
      <c r="K450" s="1477">
        <v>0</v>
      </c>
      <c r="L450" s="1477">
        <f t="shared" si="153"/>
        <v>0</v>
      </c>
      <c r="M450" s="1477">
        <v>16</v>
      </c>
      <c r="N450" s="1477">
        <f t="shared" si="154"/>
        <v>16</v>
      </c>
      <c r="O450" s="1477">
        <f t="shared" si="155"/>
        <v>0</v>
      </c>
      <c r="P450" s="1477">
        <f t="shared" si="156"/>
        <v>2480</v>
      </c>
      <c r="Q450" s="1477">
        <f t="shared" si="157"/>
        <v>2480</v>
      </c>
      <c r="R450" s="1576">
        <f t="shared" si="158"/>
        <v>2480</v>
      </c>
      <c r="S450" s="1869">
        <v>14</v>
      </c>
      <c r="T450" s="1866">
        <v>2170</v>
      </c>
      <c r="U450" s="2442"/>
      <c r="V450" s="1866">
        <f t="shared" si="161"/>
        <v>0</v>
      </c>
      <c r="W450" s="1869">
        <f t="shared" si="169"/>
        <v>14</v>
      </c>
      <c r="X450" s="1870">
        <f t="shared" si="159"/>
        <v>2170</v>
      </c>
      <c r="Y450" s="1871">
        <f t="shared" si="162"/>
        <v>0.875</v>
      </c>
      <c r="Z450" s="1694">
        <f t="shared" si="170"/>
        <v>2</v>
      </c>
      <c r="AA450" s="1872">
        <f t="shared" si="163"/>
        <v>310</v>
      </c>
      <c r="AB450" s="1873">
        <f t="shared" si="164"/>
        <v>0.125</v>
      </c>
      <c r="AC450" s="1418">
        <f t="shared" si="149"/>
        <v>0</v>
      </c>
      <c r="AD450" s="1418">
        <f t="shared" si="150"/>
        <v>0</v>
      </c>
      <c r="AE450" s="1418">
        <v>2480</v>
      </c>
      <c r="AF450" s="1418">
        <f t="shared" si="151"/>
        <v>0</v>
      </c>
      <c r="AG450" s="1418">
        <v>155</v>
      </c>
      <c r="AH450" s="1418">
        <f t="shared" si="152"/>
        <v>0</v>
      </c>
      <c r="AI450" s="1428"/>
      <c r="AO450" s="2504">
        <v>1705</v>
      </c>
      <c r="AP450" s="1418">
        <f t="shared" si="160"/>
        <v>-465</v>
      </c>
    </row>
    <row r="451" spans="1:42" s="1410" customFormat="1" ht="15.75">
      <c r="A451" s="2102"/>
      <c r="B451" s="1272" t="s">
        <v>490</v>
      </c>
      <c r="C451" s="1262" t="s">
        <v>3235</v>
      </c>
      <c r="D451" s="1273"/>
      <c r="E451" s="1415"/>
      <c r="F451" s="1267"/>
      <c r="G451" s="1480"/>
      <c r="H451" s="1416"/>
      <c r="I451" s="1477">
        <f t="shared" si="147"/>
        <v>0</v>
      </c>
      <c r="J451" s="1477">
        <f t="shared" si="148"/>
        <v>0</v>
      </c>
      <c r="K451" s="1477"/>
      <c r="L451" s="1477">
        <f t="shared" si="153"/>
        <v>0</v>
      </c>
      <c r="M451" s="1477"/>
      <c r="N451" s="1477">
        <f t="shared" si="154"/>
        <v>0</v>
      </c>
      <c r="O451" s="1477">
        <f t="shared" si="155"/>
        <v>0</v>
      </c>
      <c r="P451" s="1477">
        <f t="shared" si="156"/>
        <v>0</v>
      </c>
      <c r="Q451" s="1477">
        <f t="shared" si="157"/>
        <v>0</v>
      </c>
      <c r="R451" s="1576">
        <f t="shared" si="158"/>
        <v>0</v>
      </c>
      <c r="S451" s="1869"/>
      <c r="T451" s="1866"/>
      <c r="U451" s="2442"/>
      <c r="V451" s="1866">
        <f t="shared" si="161"/>
        <v>0</v>
      </c>
      <c r="W451" s="1869"/>
      <c r="X451" s="1870"/>
      <c r="Y451" s="1871" t="str">
        <f t="shared" si="162"/>
        <v/>
      </c>
      <c r="Z451" s="1694"/>
      <c r="AA451" s="1872">
        <f t="shared" si="163"/>
        <v>0</v>
      </c>
      <c r="AB451" s="1873" t="str">
        <f t="shared" si="164"/>
        <v/>
      </c>
      <c r="AC451" s="1418">
        <f t="shared" si="149"/>
        <v>0</v>
      </c>
      <c r="AD451" s="1418">
        <f t="shared" si="150"/>
        <v>0</v>
      </c>
      <c r="AE451" s="1418"/>
      <c r="AF451" s="1418">
        <f t="shared" si="151"/>
        <v>0</v>
      </c>
      <c r="AG451" s="1418"/>
      <c r="AH451" s="1418">
        <f t="shared" si="152"/>
        <v>0</v>
      </c>
      <c r="AI451" s="1428"/>
      <c r="AO451" s="2504"/>
      <c r="AP451" s="1418">
        <f t="shared" si="160"/>
        <v>0</v>
      </c>
    </row>
    <row r="452" spans="1:42" s="1410" customFormat="1" ht="15.75">
      <c r="A452" s="2102"/>
      <c r="B452" s="1268" t="s">
        <v>2516</v>
      </c>
      <c r="C452" s="1241" t="s">
        <v>3236</v>
      </c>
      <c r="D452" s="1245" t="s">
        <v>36</v>
      </c>
      <c r="E452" s="1413">
        <v>47</v>
      </c>
      <c r="F452" s="1555">
        <v>204.9</v>
      </c>
      <c r="G452" s="1480">
        <v>204.9</v>
      </c>
      <c r="H452" s="1414">
        <v>204.9</v>
      </c>
      <c r="I452" s="1477">
        <f t="shared" si="147"/>
        <v>9630.2999999999993</v>
      </c>
      <c r="J452" s="1477">
        <f t="shared" si="148"/>
        <v>9630.2999999999993</v>
      </c>
      <c r="K452" s="1477">
        <v>0</v>
      </c>
      <c r="L452" s="1477">
        <f t="shared" si="153"/>
        <v>0</v>
      </c>
      <c r="M452" s="1477">
        <v>47</v>
      </c>
      <c r="N452" s="1477">
        <f t="shared" si="154"/>
        <v>47</v>
      </c>
      <c r="O452" s="1477">
        <f t="shared" si="155"/>
        <v>0</v>
      </c>
      <c r="P452" s="1477">
        <f t="shared" si="156"/>
        <v>9630.2999999999993</v>
      </c>
      <c r="Q452" s="1477">
        <f t="shared" si="157"/>
        <v>9630.2999999999993</v>
      </c>
      <c r="R452" s="1576">
        <f t="shared" si="158"/>
        <v>9630.2999999999993</v>
      </c>
      <c r="S452" s="1869">
        <v>0</v>
      </c>
      <c r="T452" s="1866">
        <v>0</v>
      </c>
      <c r="U452" s="2442">
        <v>47</v>
      </c>
      <c r="V452" s="1866">
        <f t="shared" si="161"/>
        <v>9630.3000000000011</v>
      </c>
      <c r="W452" s="1869">
        <f t="shared" ref="W452:W472" si="171">S452+U452</f>
        <v>47</v>
      </c>
      <c r="X452" s="1870">
        <f t="shared" si="159"/>
        <v>9630.3000000000011</v>
      </c>
      <c r="Y452" s="1871">
        <f t="shared" si="162"/>
        <v>1.0000000000000002</v>
      </c>
      <c r="Z452" s="1694">
        <f t="shared" ref="Z452:Z472" si="172">+E452-W452</f>
        <v>0</v>
      </c>
      <c r="AA452" s="1872">
        <f t="shared" si="163"/>
        <v>0</v>
      </c>
      <c r="AB452" s="1873">
        <f t="shared" si="164"/>
        <v>0</v>
      </c>
      <c r="AC452" s="1418">
        <f t="shared" si="149"/>
        <v>-1.8189894035458565E-12</v>
      </c>
      <c r="AD452" s="1418">
        <f t="shared" si="150"/>
        <v>0</v>
      </c>
      <c r="AE452" s="1418">
        <v>9630.3000000000011</v>
      </c>
      <c r="AF452" s="1418">
        <f t="shared" si="151"/>
        <v>0</v>
      </c>
      <c r="AG452" s="1418">
        <v>204.9</v>
      </c>
      <c r="AH452" s="1418">
        <f t="shared" si="152"/>
        <v>0</v>
      </c>
      <c r="AI452" s="1428"/>
      <c r="AO452" s="2504">
        <v>0</v>
      </c>
      <c r="AP452" s="1418">
        <f t="shared" si="160"/>
        <v>-9630.3000000000011</v>
      </c>
    </row>
    <row r="453" spans="1:42" s="1410" customFormat="1" ht="15.75">
      <c r="A453" s="2102"/>
      <c r="B453" s="1268" t="s">
        <v>2517</v>
      </c>
      <c r="C453" s="1241" t="s">
        <v>3237</v>
      </c>
      <c r="D453" s="1245" t="s">
        <v>36</v>
      </c>
      <c r="E453" s="1413">
        <v>18</v>
      </c>
      <c r="F453" s="1555">
        <v>25.7</v>
      </c>
      <c r="G453" s="1480">
        <v>25.7</v>
      </c>
      <c r="H453" s="1414">
        <v>25.7</v>
      </c>
      <c r="I453" s="1477">
        <f t="shared" si="147"/>
        <v>462.6</v>
      </c>
      <c r="J453" s="1477">
        <f t="shared" si="148"/>
        <v>462.6</v>
      </c>
      <c r="K453" s="1477">
        <v>0</v>
      </c>
      <c r="L453" s="1477">
        <f t="shared" si="153"/>
        <v>0</v>
      </c>
      <c r="M453" s="1477">
        <v>18</v>
      </c>
      <c r="N453" s="1477">
        <f t="shared" si="154"/>
        <v>18</v>
      </c>
      <c r="O453" s="1477">
        <f t="shared" si="155"/>
        <v>0</v>
      </c>
      <c r="P453" s="1477">
        <f t="shared" si="156"/>
        <v>462.6</v>
      </c>
      <c r="Q453" s="1477">
        <f t="shared" si="157"/>
        <v>462.6</v>
      </c>
      <c r="R453" s="1576">
        <f t="shared" si="158"/>
        <v>462.6</v>
      </c>
      <c r="S453" s="1869">
        <v>0</v>
      </c>
      <c r="T453" s="1866">
        <v>0</v>
      </c>
      <c r="U453" s="2442"/>
      <c r="V453" s="1866">
        <f t="shared" si="161"/>
        <v>0</v>
      </c>
      <c r="W453" s="1869">
        <f t="shared" si="171"/>
        <v>0</v>
      </c>
      <c r="X453" s="1870">
        <f t="shared" si="159"/>
        <v>0</v>
      </c>
      <c r="Y453" s="1871">
        <f t="shared" si="162"/>
        <v>0</v>
      </c>
      <c r="Z453" s="1694">
        <f t="shared" si="172"/>
        <v>18</v>
      </c>
      <c r="AA453" s="1872">
        <f t="shared" si="163"/>
        <v>462.59999999999997</v>
      </c>
      <c r="AB453" s="1873">
        <f t="shared" si="164"/>
        <v>0.99999999999999989</v>
      </c>
      <c r="AC453" s="1418">
        <f t="shared" si="149"/>
        <v>0</v>
      </c>
      <c r="AD453" s="1418">
        <f t="shared" si="150"/>
        <v>0</v>
      </c>
      <c r="AE453" s="1418">
        <v>462.59999999999997</v>
      </c>
      <c r="AF453" s="1418">
        <f t="shared" si="151"/>
        <v>0</v>
      </c>
      <c r="AG453" s="1418">
        <v>25.7</v>
      </c>
      <c r="AH453" s="1418">
        <f t="shared" si="152"/>
        <v>0</v>
      </c>
      <c r="AI453" s="1428"/>
      <c r="AO453" s="2504">
        <v>0</v>
      </c>
      <c r="AP453" s="1418">
        <f t="shared" si="160"/>
        <v>0</v>
      </c>
    </row>
    <row r="454" spans="1:42" s="1410" customFormat="1" ht="15.75">
      <c r="A454" s="2102"/>
      <c r="B454" s="1268" t="s">
        <v>2518</v>
      </c>
      <c r="C454" s="1241" t="s">
        <v>3238</v>
      </c>
      <c r="D454" s="1245" t="s">
        <v>36</v>
      </c>
      <c r="E454" s="1413">
        <v>21</v>
      </c>
      <c r="F454" s="1555">
        <v>208.9</v>
      </c>
      <c r="G454" s="1480">
        <v>208.9</v>
      </c>
      <c r="H454" s="1414">
        <v>208.9</v>
      </c>
      <c r="I454" s="1477">
        <f t="shared" si="147"/>
        <v>4386.8999999999996</v>
      </c>
      <c r="J454" s="1477">
        <f t="shared" si="148"/>
        <v>4386.8999999999996</v>
      </c>
      <c r="K454" s="1477">
        <v>0</v>
      </c>
      <c r="L454" s="1477">
        <f t="shared" si="153"/>
        <v>0</v>
      </c>
      <c r="M454" s="1477">
        <v>21</v>
      </c>
      <c r="N454" s="1477">
        <f t="shared" si="154"/>
        <v>21</v>
      </c>
      <c r="O454" s="1477">
        <f t="shared" si="155"/>
        <v>0</v>
      </c>
      <c r="P454" s="1477">
        <f t="shared" si="156"/>
        <v>4386.8999999999996</v>
      </c>
      <c r="Q454" s="1477">
        <f t="shared" si="157"/>
        <v>4386.8999999999996</v>
      </c>
      <c r="R454" s="1576">
        <f t="shared" si="158"/>
        <v>4386.8999999999996</v>
      </c>
      <c r="S454" s="1869">
        <v>0</v>
      </c>
      <c r="T454" s="1866">
        <v>0</v>
      </c>
      <c r="U454" s="2442">
        <v>21</v>
      </c>
      <c r="V454" s="1866">
        <f t="shared" si="161"/>
        <v>4386.9000000000005</v>
      </c>
      <c r="W454" s="1869">
        <f t="shared" si="171"/>
        <v>21</v>
      </c>
      <c r="X454" s="1870">
        <f t="shared" si="159"/>
        <v>4386.9000000000005</v>
      </c>
      <c r="Y454" s="1871">
        <f t="shared" si="162"/>
        <v>1.0000000000000002</v>
      </c>
      <c r="Z454" s="1694">
        <f t="shared" si="172"/>
        <v>0</v>
      </c>
      <c r="AA454" s="1872">
        <f t="shared" si="163"/>
        <v>0</v>
      </c>
      <c r="AB454" s="1873">
        <f t="shared" si="164"/>
        <v>0</v>
      </c>
      <c r="AC454" s="1418">
        <f t="shared" si="149"/>
        <v>-9.0949470177292824E-13</v>
      </c>
      <c r="AD454" s="1418">
        <f t="shared" si="150"/>
        <v>0</v>
      </c>
      <c r="AE454" s="1418">
        <v>4386.9000000000005</v>
      </c>
      <c r="AF454" s="1418">
        <f t="shared" si="151"/>
        <v>0</v>
      </c>
      <c r="AG454" s="1418">
        <v>208.9</v>
      </c>
      <c r="AH454" s="1418">
        <f t="shared" si="152"/>
        <v>0</v>
      </c>
      <c r="AI454" s="1428"/>
      <c r="AO454" s="2504">
        <v>0</v>
      </c>
      <c r="AP454" s="1418">
        <f t="shared" si="160"/>
        <v>-4386.9000000000005</v>
      </c>
    </row>
    <row r="455" spans="1:42" s="1410" customFormat="1" ht="15.75">
      <c r="A455" s="2102"/>
      <c r="B455" s="1268" t="s">
        <v>2519</v>
      </c>
      <c r="C455" s="1241" t="s">
        <v>3239</v>
      </c>
      <c r="D455" s="1245" t="s">
        <v>36</v>
      </c>
      <c r="E455" s="1413">
        <v>2</v>
      </c>
      <c r="F455" s="1555">
        <v>344.19</v>
      </c>
      <c r="G455" s="1480">
        <v>344.19</v>
      </c>
      <c r="H455" s="1414">
        <v>344.19</v>
      </c>
      <c r="I455" s="1477">
        <f t="shared" si="147"/>
        <v>688.38</v>
      </c>
      <c r="J455" s="1477">
        <f t="shared" si="148"/>
        <v>688.38</v>
      </c>
      <c r="K455" s="1477">
        <v>0</v>
      </c>
      <c r="L455" s="1477">
        <f t="shared" si="153"/>
        <v>0</v>
      </c>
      <c r="M455" s="1477">
        <v>2</v>
      </c>
      <c r="N455" s="1477">
        <f t="shared" si="154"/>
        <v>2</v>
      </c>
      <c r="O455" s="1477">
        <f t="shared" si="155"/>
        <v>0</v>
      </c>
      <c r="P455" s="1477">
        <f t="shared" si="156"/>
        <v>688.38</v>
      </c>
      <c r="Q455" s="1477">
        <f t="shared" si="157"/>
        <v>688.38</v>
      </c>
      <c r="R455" s="1576">
        <f t="shared" si="158"/>
        <v>688.38</v>
      </c>
      <c r="S455" s="1869">
        <v>0</v>
      </c>
      <c r="T455" s="1866">
        <v>0</v>
      </c>
      <c r="U455" s="2442">
        <v>2</v>
      </c>
      <c r="V455" s="1866">
        <f t="shared" si="161"/>
        <v>688.38</v>
      </c>
      <c r="W455" s="1869">
        <f t="shared" si="171"/>
        <v>2</v>
      </c>
      <c r="X455" s="1870">
        <f t="shared" si="159"/>
        <v>688.38</v>
      </c>
      <c r="Y455" s="1871">
        <f t="shared" si="162"/>
        <v>1</v>
      </c>
      <c r="Z455" s="1694">
        <f t="shared" si="172"/>
        <v>0</v>
      </c>
      <c r="AA455" s="1872">
        <f t="shared" si="163"/>
        <v>0</v>
      </c>
      <c r="AB455" s="1873">
        <f t="shared" si="164"/>
        <v>0</v>
      </c>
      <c r="AC455" s="1418">
        <f t="shared" si="149"/>
        <v>0</v>
      </c>
      <c r="AD455" s="1418">
        <f t="shared" si="150"/>
        <v>0</v>
      </c>
      <c r="AE455" s="1418">
        <v>688.38</v>
      </c>
      <c r="AF455" s="1418">
        <f t="shared" si="151"/>
        <v>0</v>
      </c>
      <c r="AG455" s="1418">
        <v>344.19</v>
      </c>
      <c r="AH455" s="1418">
        <f t="shared" si="152"/>
        <v>0</v>
      </c>
      <c r="AI455" s="1428"/>
      <c r="AO455" s="2504">
        <v>0</v>
      </c>
      <c r="AP455" s="1418">
        <f t="shared" si="160"/>
        <v>-688.38</v>
      </c>
    </row>
    <row r="456" spans="1:42" s="1410" customFormat="1" ht="15.75">
      <c r="A456" s="2102"/>
      <c r="B456" s="1268" t="s">
        <v>2520</v>
      </c>
      <c r="C456" s="1241" t="s">
        <v>3240</v>
      </c>
      <c r="D456" s="1245" t="s">
        <v>36</v>
      </c>
      <c r="E456" s="1413">
        <v>35</v>
      </c>
      <c r="F456" s="1555">
        <v>204.9</v>
      </c>
      <c r="G456" s="1480">
        <v>204.9</v>
      </c>
      <c r="H456" s="1414">
        <v>204.9</v>
      </c>
      <c r="I456" s="1477">
        <f t="shared" si="147"/>
        <v>7171.5</v>
      </c>
      <c r="J456" s="1477">
        <f t="shared" si="148"/>
        <v>7171.5</v>
      </c>
      <c r="K456" s="1477">
        <v>0</v>
      </c>
      <c r="L456" s="1477">
        <f t="shared" si="153"/>
        <v>0</v>
      </c>
      <c r="M456" s="1477">
        <v>35</v>
      </c>
      <c r="N456" s="1477">
        <f t="shared" si="154"/>
        <v>35</v>
      </c>
      <c r="O456" s="1477">
        <f t="shared" si="155"/>
        <v>0</v>
      </c>
      <c r="P456" s="1477">
        <f t="shared" si="156"/>
        <v>7171.5</v>
      </c>
      <c r="Q456" s="1477">
        <f t="shared" si="157"/>
        <v>7171.5</v>
      </c>
      <c r="R456" s="1576">
        <f t="shared" si="158"/>
        <v>7171.5</v>
      </c>
      <c r="S456" s="1869">
        <v>0</v>
      </c>
      <c r="T456" s="1866">
        <v>0</v>
      </c>
      <c r="U456" s="2442">
        <v>15</v>
      </c>
      <c r="V456" s="1866">
        <f t="shared" si="161"/>
        <v>3073.5</v>
      </c>
      <c r="W456" s="1869">
        <f t="shared" si="171"/>
        <v>15</v>
      </c>
      <c r="X456" s="1870">
        <f t="shared" si="159"/>
        <v>3073.5</v>
      </c>
      <c r="Y456" s="1871">
        <f t="shared" si="162"/>
        <v>0.42857142857142855</v>
      </c>
      <c r="Z456" s="1694">
        <f t="shared" si="172"/>
        <v>20</v>
      </c>
      <c r="AA456" s="1872">
        <f t="shared" si="163"/>
        <v>4098</v>
      </c>
      <c r="AB456" s="1873">
        <f t="shared" si="164"/>
        <v>0.5714285714285714</v>
      </c>
      <c r="AC456" s="1418">
        <f t="shared" si="149"/>
        <v>0</v>
      </c>
      <c r="AD456" s="1418">
        <f t="shared" si="150"/>
        <v>0</v>
      </c>
      <c r="AE456" s="1418">
        <v>7171.5</v>
      </c>
      <c r="AF456" s="1418">
        <f t="shared" si="151"/>
        <v>0</v>
      </c>
      <c r="AG456" s="1418">
        <v>204.9</v>
      </c>
      <c r="AH456" s="1418">
        <f t="shared" si="152"/>
        <v>0</v>
      </c>
      <c r="AI456" s="1428"/>
      <c r="AO456" s="2504">
        <v>0</v>
      </c>
      <c r="AP456" s="1418">
        <f t="shared" si="160"/>
        <v>-3073.5</v>
      </c>
    </row>
    <row r="457" spans="1:42" s="1410" customFormat="1" ht="15.75">
      <c r="A457" s="2102"/>
      <c r="B457" s="1268" t="s">
        <v>2521</v>
      </c>
      <c r="C457" s="1241" t="s">
        <v>3241</v>
      </c>
      <c r="D457" s="1245" t="s">
        <v>36</v>
      </c>
      <c r="E457" s="1413">
        <v>10</v>
      </c>
      <c r="F457" s="1555">
        <v>83.49</v>
      </c>
      <c r="G457" s="1480">
        <v>83.49</v>
      </c>
      <c r="H457" s="1414">
        <v>83.49</v>
      </c>
      <c r="I457" s="1477">
        <f t="shared" si="147"/>
        <v>834.9</v>
      </c>
      <c r="J457" s="1477">
        <f t="shared" si="148"/>
        <v>834.9</v>
      </c>
      <c r="K457" s="1477">
        <v>0</v>
      </c>
      <c r="L457" s="1477">
        <f t="shared" si="153"/>
        <v>0</v>
      </c>
      <c r="M457" s="1477">
        <v>10</v>
      </c>
      <c r="N457" s="1477">
        <f t="shared" si="154"/>
        <v>10</v>
      </c>
      <c r="O457" s="1477">
        <f t="shared" si="155"/>
        <v>0</v>
      </c>
      <c r="P457" s="1477">
        <f t="shared" si="156"/>
        <v>834.9</v>
      </c>
      <c r="Q457" s="1477">
        <f t="shared" si="157"/>
        <v>834.9</v>
      </c>
      <c r="R457" s="1576">
        <f t="shared" si="158"/>
        <v>834.9</v>
      </c>
      <c r="S457" s="1869">
        <v>0</v>
      </c>
      <c r="T457" s="1866">
        <v>0</v>
      </c>
      <c r="U457" s="2442">
        <v>10</v>
      </c>
      <c r="V457" s="1866">
        <f t="shared" si="161"/>
        <v>834.9</v>
      </c>
      <c r="W457" s="1869">
        <f t="shared" si="171"/>
        <v>10</v>
      </c>
      <c r="X457" s="1870">
        <f t="shared" si="159"/>
        <v>834.9</v>
      </c>
      <c r="Y457" s="1871">
        <f t="shared" si="162"/>
        <v>1</v>
      </c>
      <c r="Z457" s="1694">
        <f t="shared" si="172"/>
        <v>0</v>
      </c>
      <c r="AA457" s="1872">
        <f t="shared" si="163"/>
        <v>0</v>
      </c>
      <c r="AB457" s="1873">
        <f t="shared" si="164"/>
        <v>0</v>
      </c>
      <c r="AC457" s="1418">
        <f t="shared" si="149"/>
        <v>0</v>
      </c>
      <c r="AD457" s="1418">
        <f t="shared" si="150"/>
        <v>0</v>
      </c>
      <c r="AE457" s="1418">
        <v>834.9</v>
      </c>
      <c r="AF457" s="1418">
        <f t="shared" si="151"/>
        <v>0</v>
      </c>
      <c r="AG457" s="1418">
        <v>83.49</v>
      </c>
      <c r="AH457" s="1418">
        <f t="shared" si="152"/>
        <v>0</v>
      </c>
      <c r="AI457" s="1428"/>
      <c r="AO457" s="2504">
        <v>0</v>
      </c>
      <c r="AP457" s="1418">
        <f t="shared" si="160"/>
        <v>-834.9</v>
      </c>
    </row>
    <row r="458" spans="1:42" s="1410" customFormat="1" ht="15.75">
      <c r="A458" s="2102"/>
      <c r="B458" s="1268" t="s">
        <v>2522</v>
      </c>
      <c r="C458" s="1241" t="s">
        <v>3242</v>
      </c>
      <c r="D458" s="1245" t="s">
        <v>36</v>
      </c>
      <c r="E458" s="1413">
        <v>2</v>
      </c>
      <c r="F458" s="1555">
        <v>218.9</v>
      </c>
      <c r="G458" s="1480">
        <v>218.9</v>
      </c>
      <c r="H458" s="1414">
        <v>218.9</v>
      </c>
      <c r="I458" s="1477">
        <f t="shared" si="147"/>
        <v>437.8</v>
      </c>
      <c r="J458" s="1477">
        <f t="shared" si="148"/>
        <v>437.8</v>
      </c>
      <c r="K458" s="1477">
        <v>0</v>
      </c>
      <c r="L458" s="1477">
        <f t="shared" si="153"/>
        <v>0</v>
      </c>
      <c r="M458" s="1477">
        <v>2</v>
      </c>
      <c r="N458" s="1477">
        <f t="shared" si="154"/>
        <v>2</v>
      </c>
      <c r="O458" s="1477">
        <f t="shared" si="155"/>
        <v>0</v>
      </c>
      <c r="P458" s="1477">
        <f t="shared" si="156"/>
        <v>437.8</v>
      </c>
      <c r="Q458" s="1477">
        <f t="shared" si="157"/>
        <v>437.8</v>
      </c>
      <c r="R458" s="1576">
        <f t="shared" si="158"/>
        <v>437.8</v>
      </c>
      <c r="S458" s="1869">
        <v>0</v>
      </c>
      <c r="T458" s="1866">
        <v>0</v>
      </c>
      <c r="U458" s="2442">
        <v>2</v>
      </c>
      <c r="V458" s="1866">
        <f t="shared" si="161"/>
        <v>437.8</v>
      </c>
      <c r="W458" s="1869">
        <f t="shared" si="171"/>
        <v>2</v>
      </c>
      <c r="X458" s="1870">
        <f t="shared" si="159"/>
        <v>437.8</v>
      </c>
      <c r="Y458" s="1871">
        <f t="shared" si="162"/>
        <v>1</v>
      </c>
      <c r="Z458" s="1694">
        <f t="shared" si="172"/>
        <v>0</v>
      </c>
      <c r="AA458" s="1872">
        <f t="shared" si="163"/>
        <v>0</v>
      </c>
      <c r="AB458" s="1873">
        <f t="shared" si="164"/>
        <v>0</v>
      </c>
      <c r="AC458" s="1418">
        <f t="shared" si="149"/>
        <v>0</v>
      </c>
      <c r="AD458" s="1418">
        <f t="shared" si="150"/>
        <v>0</v>
      </c>
      <c r="AE458" s="1418">
        <v>437.8</v>
      </c>
      <c r="AF458" s="1418">
        <f t="shared" si="151"/>
        <v>0</v>
      </c>
      <c r="AG458" s="1418">
        <v>218.9</v>
      </c>
      <c r="AH458" s="1418">
        <f t="shared" si="152"/>
        <v>0</v>
      </c>
      <c r="AI458" s="1428"/>
      <c r="AO458" s="2504">
        <v>0</v>
      </c>
      <c r="AP458" s="1418">
        <f t="shared" si="160"/>
        <v>-437.8</v>
      </c>
    </row>
    <row r="459" spans="1:42" s="1410" customFormat="1" ht="15.75">
      <c r="A459" s="2102"/>
      <c r="B459" s="1268" t="s">
        <v>2523</v>
      </c>
      <c r="C459" s="1241" t="s">
        <v>3243</v>
      </c>
      <c r="D459" s="1245" t="s">
        <v>36</v>
      </c>
      <c r="E459" s="1413">
        <v>2</v>
      </c>
      <c r="F459" s="1555">
        <v>218.9</v>
      </c>
      <c r="G459" s="1480">
        <v>218.9</v>
      </c>
      <c r="H459" s="1414">
        <v>218.9</v>
      </c>
      <c r="I459" s="1477">
        <f t="shared" si="147"/>
        <v>437.8</v>
      </c>
      <c r="J459" s="1477">
        <f t="shared" si="148"/>
        <v>437.8</v>
      </c>
      <c r="K459" s="1477">
        <v>0</v>
      </c>
      <c r="L459" s="1477">
        <f t="shared" si="153"/>
        <v>0</v>
      </c>
      <c r="M459" s="1477">
        <v>2</v>
      </c>
      <c r="N459" s="1477">
        <f t="shared" si="154"/>
        <v>2</v>
      </c>
      <c r="O459" s="1477">
        <f t="shared" si="155"/>
        <v>0</v>
      </c>
      <c r="P459" s="1477">
        <f t="shared" si="156"/>
        <v>437.8</v>
      </c>
      <c r="Q459" s="1477">
        <f t="shared" si="157"/>
        <v>437.8</v>
      </c>
      <c r="R459" s="1576">
        <f t="shared" si="158"/>
        <v>437.8</v>
      </c>
      <c r="S459" s="1869">
        <v>0</v>
      </c>
      <c r="T459" s="1866">
        <v>0</v>
      </c>
      <c r="U459" s="2442">
        <v>2</v>
      </c>
      <c r="V459" s="1866">
        <f t="shared" si="161"/>
        <v>437.8</v>
      </c>
      <c r="W459" s="1869">
        <f t="shared" si="171"/>
        <v>2</v>
      </c>
      <c r="X459" s="1870">
        <f t="shared" si="159"/>
        <v>437.8</v>
      </c>
      <c r="Y459" s="1871">
        <f t="shared" si="162"/>
        <v>1</v>
      </c>
      <c r="Z459" s="1694">
        <f t="shared" si="172"/>
        <v>0</v>
      </c>
      <c r="AA459" s="1872">
        <f t="shared" si="163"/>
        <v>0</v>
      </c>
      <c r="AB459" s="1873">
        <f t="shared" si="164"/>
        <v>0</v>
      </c>
      <c r="AC459" s="1418">
        <f t="shared" si="149"/>
        <v>0</v>
      </c>
      <c r="AD459" s="1418">
        <f t="shared" si="150"/>
        <v>0</v>
      </c>
      <c r="AE459" s="1418">
        <v>437.8</v>
      </c>
      <c r="AF459" s="1418">
        <f t="shared" si="151"/>
        <v>0</v>
      </c>
      <c r="AG459" s="1418">
        <v>218.9</v>
      </c>
      <c r="AH459" s="1418">
        <f t="shared" si="152"/>
        <v>0</v>
      </c>
      <c r="AI459" s="1428"/>
      <c r="AO459" s="2504">
        <v>0</v>
      </c>
      <c r="AP459" s="1418">
        <f t="shared" si="160"/>
        <v>-437.8</v>
      </c>
    </row>
    <row r="460" spans="1:42" s="1410" customFormat="1" ht="15.75">
      <c r="A460" s="2102"/>
      <c r="B460" s="1268" t="s">
        <v>2524</v>
      </c>
      <c r="C460" s="1241" t="s">
        <v>3244</v>
      </c>
      <c r="D460" s="1245" t="s">
        <v>36</v>
      </c>
      <c r="E460" s="1413">
        <v>45</v>
      </c>
      <c r="F460" s="1555">
        <v>60.39</v>
      </c>
      <c r="G460" s="1480">
        <v>60.39</v>
      </c>
      <c r="H460" s="1414">
        <v>60.39</v>
      </c>
      <c r="I460" s="1477">
        <f t="shared" si="147"/>
        <v>2717.55</v>
      </c>
      <c r="J460" s="1477">
        <f t="shared" si="148"/>
        <v>2717.55</v>
      </c>
      <c r="K460" s="1477">
        <v>0</v>
      </c>
      <c r="L460" s="1477">
        <f t="shared" si="153"/>
        <v>0</v>
      </c>
      <c r="M460" s="1477">
        <v>45</v>
      </c>
      <c r="N460" s="1477">
        <f t="shared" si="154"/>
        <v>45</v>
      </c>
      <c r="O460" s="1477">
        <f t="shared" si="155"/>
        <v>0</v>
      </c>
      <c r="P460" s="1477">
        <f t="shared" si="156"/>
        <v>2717.55</v>
      </c>
      <c r="Q460" s="1477">
        <f t="shared" si="157"/>
        <v>2717.55</v>
      </c>
      <c r="R460" s="1576">
        <f t="shared" si="158"/>
        <v>2717.55</v>
      </c>
      <c r="S460" s="1869">
        <v>0</v>
      </c>
      <c r="T460" s="1866">
        <v>0</v>
      </c>
      <c r="U460" s="2442">
        <v>45</v>
      </c>
      <c r="V460" s="1866">
        <f t="shared" si="161"/>
        <v>2717.55</v>
      </c>
      <c r="W460" s="1869">
        <f t="shared" si="171"/>
        <v>45</v>
      </c>
      <c r="X460" s="1870">
        <f t="shared" si="159"/>
        <v>2717.55</v>
      </c>
      <c r="Y460" s="1871">
        <f t="shared" si="162"/>
        <v>1</v>
      </c>
      <c r="Z460" s="1694">
        <f t="shared" si="172"/>
        <v>0</v>
      </c>
      <c r="AA460" s="1872">
        <f t="shared" si="163"/>
        <v>0</v>
      </c>
      <c r="AB460" s="1873">
        <f t="shared" si="164"/>
        <v>0</v>
      </c>
      <c r="AC460" s="1418">
        <f t="shared" si="149"/>
        <v>0</v>
      </c>
      <c r="AD460" s="1418">
        <f t="shared" si="150"/>
        <v>0</v>
      </c>
      <c r="AE460" s="1418">
        <v>2717.55</v>
      </c>
      <c r="AF460" s="1418">
        <f t="shared" si="151"/>
        <v>0</v>
      </c>
      <c r="AG460" s="1418">
        <v>60.39</v>
      </c>
      <c r="AH460" s="1418">
        <f t="shared" si="152"/>
        <v>0</v>
      </c>
      <c r="AI460" s="1428"/>
      <c r="AO460" s="2504">
        <v>0</v>
      </c>
      <c r="AP460" s="1418">
        <f t="shared" si="160"/>
        <v>-2717.55</v>
      </c>
    </row>
    <row r="461" spans="1:42" s="1410" customFormat="1" ht="15.75">
      <c r="A461" s="2102"/>
      <c r="B461" s="1268" t="s">
        <v>2525</v>
      </c>
      <c r="C461" s="1241" t="s">
        <v>3245</v>
      </c>
      <c r="D461" s="1245" t="s">
        <v>36</v>
      </c>
      <c r="E461" s="1413">
        <v>45</v>
      </c>
      <c r="F461" s="1555">
        <v>65.89</v>
      </c>
      <c r="G461" s="1480">
        <v>65.89</v>
      </c>
      <c r="H461" s="1414">
        <v>65.89</v>
      </c>
      <c r="I461" s="1477">
        <f t="shared" si="147"/>
        <v>2965.05</v>
      </c>
      <c r="J461" s="1477">
        <f t="shared" si="148"/>
        <v>2965.05</v>
      </c>
      <c r="K461" s="1477">
        <v>0</v>
      </c>
      <c r="L461" s="1477">
        <f t="shared" si="153"/>
        <v>0</v>
      </c>
      <c r="M461" s="1477">
        <v>45</v>
      </c>
      <c r="N461" s="1477">
        <f t="shared" si="154"/>
        <v>45</v>
      </c>
      <c r="O461" s="1477">
        <f t="shared" si="155"/>
        <v>0</v>
      </c>
      <c r="P461" s="1477">
        <f t="shared" si="156"/>
        <v>2965.05</v>
      </c>
      <c r="Q461" s="1477">
        <f t="shared" si="157"/>
        <v>2965.05</v>
      </c>
      <c r="R461" s="1576">
        <f t="shared" si="158"/>
        <v>2965.05</v>
      </c>
      <c r="S461" s="1869">
        <v>0</v>
      </c>
      <c r="T461" s="1866">
        <v>0</v>
      </c>
      <c r="U461" s="2442">
        <v>45</v>
      </c>
      <c r="V461" s="1866">
        <f t="shared" si="161"/>
        <v>2965.05</v>
      </c>
      <c r="W461" s="1869">
        <f t="shared" si="171"/>
        <v>45</v>
      </c>
      <c r="X461" s="1870">
        <f t="shared" si="159"/>
        <v>2965.05</v>
      </c>
      <c r="Y461" s="1871">
        <f t="shared" si="162"/>
        <v>1</v>
      </c>
      <c r="Z461" s="1694">
        <f t="shared" si="172"/>
        <v>0</v>
      </c>
      <c r="AA461" s="1872">
        <f t="shared" si="163"/>
        <v>0</v>
      </c>
      <c r="AB461" s="1873">
        <f t="shared" si="164"/>
        <v>0</v>
      </c>
      <c r="AC461" s="1418">
        <f t="shared" si="149"/>
        <v>0</v>
      </c>
      <c r="AD461" s="1418">
        <f t="shared" si="150"/>
        <v>0</v>
      </c>
      <c r="AE461" s="1418">
        <v>2965.05</v>
      </c>
      <c r="AF461" s="1418">
        <f t="shared" si="151"/>
        <v>0</v>
      </c>
      <c r="AG461" s="1418">
        <v>65.89</v>
      </c>
      <c r="AH461" s="1418">
        <f t="shared" si="152"/>
        <v>0</v>
      </c>
      <c r="AI461" s="1428"/>
      <c r="AO461" s="2504">
        <v>0</v>
      </c>
      <c r="AP461" s="1418">
        <f t="shared" si="160"/>
        <v>-2965.05</v>
      </c>
    </row>
    <row r="462" spans="1:42" s="1410" customFormat="1" ht="15.75">
      <c r="A462" s="2102"/>
      <c r="B462" s="1268" t="s">
        <v>2526</v>
      </c>
      <c r="C462" s="1241" t="s">
        <v>3246</v>
      </c>
      <c r="D462" s="1245" t="s">
        <v>36</v>
      </c>
      <c r="E462" s="1413">
        <v>36</v>
      </c>
      <c r="F462" s="1555">
        <v>163.9</v>
      </c>
      <c r="G462" s="1480">
        <v>163.9</v>
      </c>
      <c r="H462" s="1414">
        <v>163.9</v>
      </c>
      <c r="I462" s="1477">
        <f t="shared" si="147"/>
        <v>5900.4</v>
      </c>
      <c r="J462" s="1477">
        <f t="shared" si="148"/>
        <v>5900.4</v>
      </c>
      <c r="K462" s="1477">
        <v>0</v>
      </c>
      <c r="L462" s="1477">
        <f t="shared" si="153"/>
        <v>0</v>
      </c>
      <c r="M462" s="1477">
        <v>36</v>
      </c>
      <c r="N462" s="1477">
        <f t="shared" si="154"/>
        <v>36</v>
      </c>
      <c r="O462" s="1477">
        <f t="shared" si="155"/>
        <v>0</v>
      </c>
      <c r="P462" s="1477">
        <f t="shared" si="156"/>
        <v>5900.4</v>
      </c>
      <c r="Q462" s="1477">
        <f t="shared" si="157"/>
        <v>5900.4</v>
      </c>
      <c r="R462" s="1576">
        <f t="shared" si="158"/>
        <v>5900.4</v>
      </c>
      <c r="S462" s="1869">
        <v>0</v>
      </c>
      <c r="T462" s="1866">
        <v>0</v>
      </c>
      <c r="U462" s="2442">
        <v>36</v>
      </c>
      <c r="V462" s="1866">
        <f t="shared" si="161"/>
        <v>5900.4000000000005</v>
      </c>
      <c r="W462" s="1869">
        <f t="shared" si="171"/>
        <v>36</v>
      </c>
      <c r="X462" s="1870">
        <f t="shared" si="159"/>
        <v>5900.4000000000005</v>
      </c>
      <c r="Y462" s="1871">
        <f t="shared" si="162"/>
        <v>1.0000000000000002</v>
      </c>
      <c r="Z462" s="1694">
        <f t="shared" si="172"/>
        <v>0</v>
      </c>
      <c r="AA462" s="1872">
        <f t="shared" si="163"/>
        <v>0</v>
      </c>
      <c r="AB462" s="1873">
        <f t="shared" si="164"/>
        <v>0</v>
      </c>
      <c r="AC462" s="1418">
        <f t="shared" si="149"/>
        <v>-9.0949470177292824E-13</v>
      </c>
      <c r="AD462" s="1418">
        <f t="shared" si="150"/>
        <v>0</v>
      </c>
      <c r="AE462" s="1418">
        <v>5900.4000000000005</v>
      </c>
      <c r="AF462" s="1418">
        <f t="shared" si="151"/>
        <v>0</v>
      </c>
      <c r="AG462" s="1418">
        <v>163.9</v>
      </c>
      <c r="AH462" s="1418">
        <f t="shared" si="152"/>
        <v>0</v>
      </c>
      <c r="AI462" s="1428"/>
      <c r="AO462" s="2504">
        <v>0</v>
      </c>
      <c r="AP462" s="1418">
        <f t="shared" si="160"/>
        <v>-5900.4000000000005</v>
      </c>
    </row>
    <row r="463" spans="1:42" s="1410" customFormat="1" ht="15.75">
      <c r="A463" s="2102"/>
      <c r="B463" s="1268" t="s">
        <v>2527</v>
      </c>
      <c r="C463" s="1241" t="s">
        <v>3247</v>
      </c>
      <c r="D463" s="1245" t="s">
        <v>36</v>
      </c>
      <c r="E463" s="1413">
        <v>18</v>
      </c>
      <c r="F463" s="1555">
        <v>66.55</v>
      </c>
      <c r="G463" s="1480">
        <v>66.55</v>
      </c>
      <c r="H463" s="1414">
        <v>66.55</v>
      </c>
      <c r="I463" s="1477">
        <f t="shared" si="147"/>
        <v>1197.9000000000001</v>
      </c>
      <c r="J463" s="1477">
        <f t="shared" si="148"/>
        <v>1197.9000000000001</v>
      </c>
      <c r="K463" s="1477">
        <v>0</v>
      </c>
      <c r="L463" s="1477">
        <f t="shared" si="153"/>
        <v>0</v>
      </c>
      <c r="M463" s="1477">
        <v>18</v>
      </c>
      <c r="N463" s="1477">
        <f t="shared" si="154"/>
        <v>18</v>
      </c>
      <c r="O463" s="1477">
        <f t="shared" si="155"/>
        <v>0</v>
      </c>
      <c r="P463" s="1477">
        <f t="shared" si="156"/>
        <v>1197.9000000000001</v>
      </c>
      <c r="Q463" s="1477">
        <f t="shared" si="157"/>
        <v>1197.9000000000001</v>
      </c>
      <c r="R463" s="1576">
        <f t="shared" si="158"/>
        <v>1197.9000000000001</v>
      </c>
      <c r="S463" s="1869">
        <v>0</v>
      </c>
      <c r="T463" s="1866">
        <v>0</v>
      </c>
      <c r="U463" s="2442">
        <v>18</v>
      </c>
      <c r="V463" s="1866">
        <f t="shared" si="161"/>
        <v>1197.8999999999999</v>
      </c>
      <c r="W463" s="1869">
        <f t="shared" si="171"/>
        <v>18</v>
      </c>
      <c r="X463" s="1870">
        <f t="shared" si="159"/>
        <v>1197.8999999999999</v>
      </c>
      <c r="Y463" s="1871">
        <f t="shared" si="162"/>
        <v>0.99999999999999978</v>
      </c>
      <c r="Z463" s="1694">
        <f t="shared" si="172"/>
        <v>0</v>
      </c>
      <c r="AA463" s="1872">
        <f t="shared" si="163"/>
        <v>0</v>
      </c>
      <c r="AB463" s="1873">
        <f t="shared" si="164"/>
        <v>0</v>
      </c>
      <c r="AC463" s="1418">
        <f t="shared" si="149"/>
        <v>2.2737367544323206E-13</v>
      </c>
      <c r="AD463" s="1418">
        <f t="shared" si="150"/>
        <v>0</v>
      </c>
      <c r="AE463" s="1418">
        <v>1197.8999999999999</v>
      </c>
      <c r="AF463" s="1418">
        <f t="shared" si="151"/>
        <v>0</v>
      </c>
      <c r="AG463" s="1418">
        <v>66.55</v>
      </c>
      <c r="AH463" s="1418">
        <f t="shared" si="152"/>
        <v>0</v>
      </c>
      <c r="AI463" s="1428"/>
      <c r="AO463" s="2504">
        <v>0</v>
      </c>
      <c r="AP463" s="1418">
        <f t="shared" si="160"/>
        <v>-1197.8999999999999</v>
      </c>
    </row>
    <row r="464" spans="1:42" s="1410" customFormat="1" ht="15.75">
      <c r="A464" s="2102"/>
      <c r="B464" s="1268" t="s">
        <v>2528</v>
      </c>
      <c r="C464" s="1241" t="s">
        <v>3248</v>
      </c>
      <c r="D464" s="1245" t="s">
        <v>36</v>
      </c>
      <c r="E464" s="1413">
        <v>9</v>
      </c>
      <c r="F464" s="1555">
        <v>825.99</v>
      </c>
      <c r="G464" s="1480">
        <v>825.99</v>
      </c>
      <c r="H464" s="1414">
        <v>825.99</v>
      </c>
      <c r="I464" s="1477">
        <f t="shared" ref="I464:I527" si="173">ROUND(E464*F464,2)</f>
        <v>7433.91</v>
      </c>
      <c r="J464" s="1477">
        <f t="shared" ref="J464:J527" si="174">ROUND(E464*G464,2)</f>
        <v>7433.91</v>
      </c>
      <c r="K464" s="1477">
        <v>0</v>
      </c>
      <c r="L464" s="1477">
        <f t="shared" si="153"/>
        <v>0</v>
      </c>
      <c r="M464" s="1477">
        <v>9</v>
      </c>
      <c r="N464" s="1477">
        <f t="shared" si="154"/>
        <v>9</v>
      </c>
      <c r="O464" s="1477">
        <f t="shared" si="155"/>
        <v>0</v>
      </c>
      <c r="P464" s="1477">
        <f t="shared" si="156"/>
        <v>7433.91</v>
      </c>
      <c r="Q464" s="1477">
        <f t="shared" si="157"/>
        <v>7433.91</v>
      </c>
      <c r="R464" s="1576">
        <f t="shared" si="158"/>
        <v>7433.91</v>
      </c>
      <c r="S464" s="1869">
        <v>0</v>
      </c>
      <c r="T464" s="1866">
        <v>0</v>
      </c>
      <c r="U464" s="2442">
        <v>9</v>
      </c>
      <c r="V464" s="1866">
        <f t="shared" si="161"/>
        <v>7433.91</v>
      </c>
      <c r="W464" s="1869">
        <f t="shared" si="171"/>
        <v>9</v>
      </c>
      <c r="X464" s="1870">
        <f t="shared" si="159"/>
        <v>7433.91</v>
      </c>
      <c r="Y464" s="1871">
        <f t="shared" si="162"/>
        <v>1</v>
      </c>
      <c r="Z464" s="1694">
        <f t="shared" si="172"/>
        <v>0</v>
      </c>
      <c r="AA464" s="1872">
        <f t="shared" si="163"/>
        <v>0</v>
      </c>
      <c r="AB464" s="1873">
        <f t="shared" si="164"/>
        <v>0</v>
      </c>
      <c r="AC464" s="1418">
        <f t="shared" ref="AC464:AC527" si="175">+R464-X464-AA464</f>
        <v>0</v>
      </c>
      <c r="AD464" s="1418">
        <f t="shared" ref="AD464:AD527" si="176">+E464-W464-Z464</f>
        <v>0</v>
      </c>
      <c r="AE464" s="1418">
        <v>7433.91</v>
      </c>
      <c r="AF464" s="1418">
        <f t="shared" ref="AF464:AF527" si="177">+AE464-R464</f>
        <v>0</v>
      </c>
      <c r="AG464" s="1418">
        <v>825.99</v>
      </c>
      <c r="AH464" s="1418">
        <f t="shared" ref="AH464:AH527" si="178">+AG464-H464</f>
        <v>0</v>
      </c>
      <c r="AI464" s="1428"/>
      <c r="AO464" s="2504">
        <v>0</v>
      </c>
      <c r="AP464" s="1418">
        <f t="shared" si="160"/>
        <v>-7433.91</v>
      </c>
    </row>
    <row r="465" spans="1:42" s="1410" customFormat="1" ht="15.75">
      <c r="A465" s="2102"/>
      <c r="B465" s="1268" t="s">
        <v>2529</v>
      </c>
      <c r="C465" s="1241" t="s">
        <v>3249</v>
      </c>
      <c r="D465" s="1245" t="s">
        <v>36</v>
      </c>
      <c r="E465" s="1413">
        <v>43</v>
      </c>
      <c r="F465" s="1555">
        <v>89.94</v>
      </c>
      <c r="G465" s="1480">
        <v>89.94</v>
      </c>
      <c r="H465" s="1414">
        <v>89.94</v>
      </c>
      <c r="I465" s="1477">
        <f t="shared" si="173"/>
        <v>3867.42</v>
      </c>
      <c r="J465" s="1477">
        <f t="shared" si="174"/>
        <v>3867.42</v>
      </c>
      <c r="K465" s="1477">
        <v>0</v>
      </c>
      <c r="L465" s="1477">
        <f t="shared" ref="L465:L528" si="179">E465-N465</f>
        <v>0</v>
      </c>
      <c r="M465" s="1477">
        <v>43</v>
      </c>
      <c r="N465" s="1477">
        <f t="shared" ref="N465:N528" si="180">ROUND(M465,2)</f>
        <v>43</v>
      </c>
      <c r="O465" s="1477">
        <f t="shared" ref="O465:O528" si="181">ROUND(L465*G465,2)</f>
        <v>0</v>
      </c>
      <c r="P465" s="1477">
        <f t="shared" ref="P465:P528" si="182">ROUND(N465*G465,2)</f>
        <v>3867.42</v>
      </c>
      <c r="Q465" s="1477">
        <f t="shared" ref="Q465:Q528" si="183">ROUND(N465*H465,2)</f>
        <v>3867.42</v>
      </c>
      <c r="R465" s="1576">
        <f t="shared" ref="R465:R528" si="184">O465+Q465</f>
        <v>3867.42</v>
      </c>
      <c r="S465" s="1869">
        <v>0</v>
      </c>
      <c r="T465" s="1866">
        <v>0</v>
      </c>
      <c r="U465" s="2442"/>
      <c r="V465" s="1866">
        <f t="shared" si="161"/>
        <v>0</v>
      </c>
      <c r="W465" s="1869">
        <f t="shared" si="171"/>
        <v>0</v>
      </c>
      <c r="X465" s="1870">
        <f t="shared" ref="X465:X528" si="185">+V465+T465</f>
        <v>0</v>
      </c>
      <c r="Y465" s="1871">
        <f t="shared" si="162"/>
        <v>0</v>
      </c>
      <c r="Z465" s="1694">
        <f t="shared" si="172"/>
        <v>43</v>
      </c>
      <c r="AA465" s="1872">
        <f t="shared" si="163"/>
        <v>3867.42</v>
      </c>
      <c r="AB465" s="1873">
        <f t="shared" si="164"/>
        <v>1</v>
      </c>
      <c r="AC465" s="1418">
        <f t="shared" si="175"/>
        <v>0</v>
      </c>
      <c r="AD465" s="1418">
        <f t="shared" si="176"/>
        <v>0</v>
      </c>
      <c r="AE465" s="1418">
        <v>3867.42</v>
      </c>
      <c r="AF465" s="1418">
        <f t="shared" si="177"/>
        <v>0</v>
      </c>
      <c r="AG465" s="1418">
        <v>89.94</v>
      </c>
      <c r="AH465" s="1418">
        <f t="shared" si="178"/>
        <v>0</v>
      </c>
      <c r="AI465" s="1428"/>
      <c r="AO465" s="2504">
        <v>0</v>
      </c>
      <c r="AP465" s="1418">
        <f t="shared" ref="AP465:AP528" si="186">+AO465-X465</f>
        <v>0</v>
      </c>
    </row>
    <row r="466" spans="1:42" s="1410" customFormat="1" ht="15.75">
      <c r="A466" s="2102"/>
      <c r="B466" s="1268" t="s">
        <v>2530</v>
      </c>
      <c r="C466" s="1241" t="s">
        <v>3250</v>
      </c>
      <c r="D466" s="1245" t="s">
        <v>36</v>
      </c>
      <c r="E466" s="1413">
        <v>2</v>
      </c>
      <c r="F466" s="1555">
        <v>374</v>
      </c>
      <c r="G466" s="1480">
        <v>374</v>
      </c>
      <c r="H466" s="1414">
        <v>374</v>
      </c>
      <c r="I466" s="1477">
        <f t="shared" si="173"/>
        <v>748</v>
      </c>
      <c r="J466" s="1477">
        <f t="shared" si="174"/>
        <v>748</v>
      </c>
      <c r="K466" s="1477">
        <v>0</v>
      </c>
      <c r="L466" s="1477">
        <f t="shared" si="179"/>
        <v>0</v>
      </c>
      <c r="M466" s="1477">
        <v>2</v>
      </c>
      <c r="N466" s="1477">
        <f t="shared" si="180"/>
        <v>2</v>
      </c>
      <c r="O466" s="1477">
        <f t="shared" si="181"/>
        <v>0</v>
      </c>
      <c r="P466" s="1477">
        <f t="shared" si="182"/>
        <v>748</v>
      </c>
      <c r="Q466" s="1477">
        <f t="shared" si="183"/>
        <v>748</v>
      </c>
      <c r="R466" s="1576">
        <f t="shared" si="184"/>
        <v>748</v>
      </c>
      <c r="S466" s="1869">
        <v>0</v>
      </c>
      <c r="T466" s="1866">
        <v>0</v>
      </c>
      <c r="U466" s="2442">
        <v>2</v>
      </c>
      <c r="V466" s="1866">
        <f t="shared" ref="V466:V529" si="187">+U466*H466</f>
        <v>748</v>
      </c>
      <c r="W466" s="1869">
        <f t="shared" si="171"/>
        <v>2</v>
      </c>
      <c r="X466" s="1870">
        <f t="shared" si="185"/>
        <v>748</v>
      </c>
      <c r="Y466" s="1871">
        <f t="shared" ref="Y466:Y529" si="188">+IF(D466=0,"",X466/R466)</f>
        <v>1</v>
      </c>
      <c r="Z466" s="1694">
        <f t="shared" si="172"/>
        <v>0</v>
      </c>
      <c r="AA466" s="1872">
        <f t="shared" ref="AA466:AA529" si="189">+Z466*H466</f>
        <v>0</v>
      </c>
      <c r="AB466" s="1873">
        <f t="shared" ref="AB466:AB529" si="190">+IF(R466=0,"",AA466/R466)</f>
        <v>0</v>
      </c>
      <c r="AC466" s="1418">
        <f t="shared" si="175"/>
        <v>0</v>
      </c>
      <c r="AD466" s="1418">
        <f t="shared" si="176"/>
        <v>0</v>
      </c>
      <c r="AE466" s="1418">
        <v>748</v>
      </c>
      <c r="AF466" s="1418">
        <f t="shared" si="177"/>
        <v>0</v>
      </c>
      <c r="AG466" s="1418">
        <v>374</v>
      </c>
      <c r="AH466" s="1418">
        <f t="shared" si="178"/>
        <v>0</v>
      </c>
      <c r="AI466" s="1428"/>
      <c r="AO466" s="2504">
        <v>0</v>
      </c>
      <c r="AP466" s="1418">
        <f t="shared" si="186"/>
        <v>-748</v>
      </c>
    </row>
    <row r="467" spans="1:42" s="1410" customFormat="1" ht="15.75">
      <c r="A467" s="2102"/>
      <c r="B467" s="1268" t="s">
        <v>2531</v>
      </c>
      <c r="C467" s="1241" t="s">
        <v>3251</v>
      </c>
      <c r="D467" s="1245" t="s">
        <v>36</v>
      </c>
      <c r="E467" s="1413">
        <v>23</v>
      </c>
      <c r="F467" s="1555">
        <v>133.6</v>
      </c>
      <c r="G467" s="1480">
        <v>133.6</v>
      </c>
      <c r="H467" s="1414">
        <v>133.6</v>
      </c>
      <c r="I467" s="1477">
        <f t="shared" si="173"/>
        <v>3072.8</v>
      </c>
      <c r="J467" s="1477">
        <f t="shared" si="174"/>
        <v>3072.8</v>
      </c>
      <c r="K467" s="1477">
        <v>0</v>
      </c>
      <c r="L467" s="1477">
        <f t="shared" si="179"/>
        <v>0</v>
      </c>
      <c r="M467" s="1477">
        <v>23</v>
      </c>
      <c r="N467" s="1477">
        <f t="shared" si="180"/>
        <v>23</v>
      </c>
      <c r="O467" s="1477">
        <f t="shared" si="181"/>
        <v>0</v>
      </c>
      <c r="P467" s="1477">
        <f t="shared" si="182"/>
        <v>3072.8</v>
      </c>
      <c r="Q467" s="1477">
        <f t="shared" si="183"/>
        <v>3072.8</v>
      </c>
      <c r="R467" s="1576">
        <f t="shared" si="184"/>
        <v>3072.8</v>
      </c>
      <c r="S467" s="1869">
        <v>0</v>
      </c>
      <c r="T467" s="1866">
        <v>0</v>
      </c>
      <c r="U467" s="2442">
        <v>23</v>
      </c>
      <c r="V467" s="1866">
        <f t="shared" si="187"/>
        <v>3072.7999999999997</v>
      </c>
      <c r="W467" s="1869">
        <f t="shared" si="171"/>
        <v>23</v>
      </c>
      <c r="X467" s="1870">
        <f t="shared" si="185"/>
        <v>3072.7999999999997</v>
      </c>
      <c r="Y467" s="1871">
        <f t="shared" si="188"/>
        <v>0.99999999999999989</v>
      </c>
      <c r="Z467" s="1694">
        <f t="shared" si="172"/>
        <v>0</v>
      </c>
      <c r="AA467" s="1872">
        <f t="shared" si="189"/>
        <v>0</v>
      </c>
      <c r="AB467" s="1873">
        <f t="shared" si="190"/>
        <v>0</v>
      </c>
      <c r="AC467" s="1418">
        <f t="shared" si="175"/>
        <v>4.5474735088646412E-13</v>
      </c>
      <c r="AD467" s="1418">
        <f t="shared" si="176"/>
        <v>0</v>
      </c>
      <c r="AE467" s="1418">
        <v>3072.7999999999997</v>
      </c>
      <c r="AF467" s="1418">
        <f t="shared" si="177"/>
        <v>0</v>
      </c>
      <c r="AG467" s="1418">
        <v>133.6</v>
      </c>
      <c r="AH467" s="1418">
        <f t="shared" si="178"/>
        <v>0</v>
      </c>
      <c r="AI467" s="1428"/>
      <c r="AO467" s="2504">
        <v>0</v>
      </c>
      <c r="AP467" s="1418">
        <f t="shared" si="186"/>
        <v>-3072.7999999999997</v>
      </c>
    </row>
    <row r="468" spans="1:42" s="1410" customFormat="1" ht="15.75">
      <c r="A468" s="2102"/>
      <c r="B468" s="1268" t="s">
        <v>2532</v>
      </c>
      <c r="C468" s="1241" t="s">
        <v>3252</v>
      </c>
      <c r="D468" s="1245" t="s">
        <v>36</v>
      </c>
      <c r="E468" s="1413">
        <v>45</v>
      </c>
      <c r="F468" s="1555">
        <v>17.489999999999998</v>
      </c>
      <c r="G468" s="1480">
        <v>17.489999999999998</v>
      </c>
      <c r="H468" s="1414">
        <v>17.489999999999998</v>
      </c>
      <c r="I468" s="1477">
        <f t="shared" si="173"/>
        <v>787.05</v>
      </c>
      <c r="J468" s="1477">
        <f t="shared" si="174"/>
        <v>787.05</v>
      </c>
      <c r="K468" s="1477">
        <v>0</v>
      </c>
      <c r="L468" s="1477">
        <f t="shared" si="179"/>
        <v>0</v>
      </c>
      <c r="M468" s="1477">
        <v>45</v>
      </c>
      <c r="N468" s="1477">
        <f t="shared" si="180"/>
        <v>45</v>
      </c>
      <c r="O468" s="1477">
        <f t="shared" si="181"/>
        <v>0</v>
      </c>
      <c r="P468" s="1477">
        <f t="shared" si="182"/>
        <v>787.05</v>
      </c>
      <c r="Q468" s="1477">
        <f t="shared" si="183"/>
        <v>787.05</v>
      </c>
      <c r="R468" s="1576">
        <f t="shared" si="184"/>
        <v>787.05</v>
      </c>
      <c r="S468" s="1869">
        <v>0</v>
      </c>
      <c r="T468" s="1866">
        <v>0</v>
      </c>
      <c r="U468" s="2442">
        <v>45</v>
      </c>
      <c r="V468" s="1866">
        <f t="shared" si="187"/>
        <v>787.05</v>
      </c>
      <c r="W468" s="1869">
        <f t="shared" si="171"/>
        <v>45</v>
      </c>
      <c r="X468" s="1870">
        <f t="shared" si="185"/>
        <v>787.05</v>
      </c>
      <c r="Y468" s="1871">
        <f t="shared" si="188"/>
        <v>1</v>
      </c>
      <c r="Z468" s="1694">
        <f t="shared" si="172"/>
        <v>0</v>
      </c>
      <c r="AA468" s="1872">
        <f t="shared" si="189"/>
        <v>0</v>
      </c>
      <c r="AB468" s="1873">
        <f t="shared" si="190"/>
        <v>0</v>
      </c>
      <c r="AC468" s="1418">
        <f t="shared" si="175"/>
        <v>0</v>
      </c>
      <c r="AD468" s="1418">
        <f t="shared" si="176"/>
        <v>0</v>
      </c>
      <c r="AE468" s="1418">
        <v>787.05</v>
      </c>
      <c r="AF468" s="1418">
        <f t="shared" si="177"/>
        <v>0</v>
      </c>
      <c r="AG468" s="1418">
        <v>17.489999999999998</v>
      </c>
      <c r="AH468" s="1418">
        <f t="shared" si="178"/>
        <v>0</v>
      </c>
      <c r="AI468" s="1428"/>
      <c r="AO468" s="2504">
        <v>0</v>
      </c>
      <c r="AP468" s="1418">
        <f t="shared" si="186"/>
        <v>-787.05</v>
      </c>
    </row>
    <row r="469" spans="1:42" s="1410" customFormat="1" ht="15.75">
      <c r="A469" s="2102"/>
      <c r="B469" s="1268" t="s">
        <v>2533</v>
      </c>
      <c r="C469" s="1241" t="s">
        <v>3253</v>
      </c>
      <c r="D469" s="1245" t="s">
        <v>36</v>
      </c>
      <c r="E469" s="1413">
        <v>32</v>
      </c>
      <c r="F469" s="1555">
        <v>55</v>
      </c>
      <c r="G469" s="1480">
        <v>55</v>
      </c>
      <c r="H469" s="1414">
        <v>55</v>
      </c>
      <c r="I469" s="1477">
        <f t="shared" si="173"/>
        <v>1760</v>
      </c>
      <c r="J469" s="1477">
        <f t="shared" si="174"/>
        <v>1760</v>
      </c>
      <c r="K469" s="1477">
        <v>0</v>
      </c>
      <c r="L469" s="1477">
        <f t="shared" si="179"/>
        <v>0</v>
      </c>
      <c r="M469" s="1477">
        <v>32</v>
      </c>
      <c r="N469" s="1477">
        <f t="shared" si="180"/>
        <v>32</v>
      </c>
      <c r="O469" s="1477">
        <f t="shared" si="181"/>
        <v>0</v>
      </c>
      <c r="P469" s="1477">
        <f t="shared" si="182"/>
        <v>1760</v>
      </c>
      <c r="Q469" s="1477">
        <f t="shared" si="183"/>
        <v>1760</v>
      </c>
      <c r="R469" s="1576">
        <f t="shared" si="184"/>
        <v>1760</v>
      </c>
      <c r="S469" s="1869">
        <v>0</v>
      </c>
      <c r="T469" s="1866">
        <v>0</v>
      </c>
      <c r="U469" s="2442">
        <v>32</v>
      </c>
      <c r="V469" s="1866">
        <f t="shared" si="187"/>
        <v>1760</v>
      </c>
      <c r="W469" s="1869">
        <f t="shared" si="171"/>
        <v>32</v>
      </c>
      <c r="X469" s="1870">
        <f t="shared" si="185"/>
        <v>1760</v>
      </c>
      <c r="Y469" s="1871">
        <f t="shared" si="188"/>
        <v>1</v>
      </c>
      <c r="Z469" s="1694">
        <f t="shared" si="172"/>
        <v>0</v>
      </c>
      <c r="AA469" s="1872">
        <f t="shared" si="189"/>
        <v>0</v>
      </c>
      <c r="AB469" s="1873">
        <f t="shared" si="190"/>
        <v>0</v>
      </c>
      <c r="AC469" s="1418">
        <f t="shared" si="175"/>
        <v>0</v>
      </c>
      <c r="AD469" s="1418">
        <f t="shared" si="176"/>
        <v>0</v>
      </c>
      <c r="AE469" s="1418">
        <v>1760</v>
      </c>
      <c r="AF469" s="1418">
        <f t="shared" si="177"/>
        <v>0</v>
      </c>
      <c r="AG469" s="1418">
        <v>55</v>
      </c>
      <c r="AH469" s="1418">
        <f t="shared" si="178"/>
        <v>0</v>
      </c>
      <c r="AI469" s="1428"/>
      <c r="AO469" s="2504">
        <v>0</v>
      </c>
      <c r="AP469" s="1418">
        <f t="shared" si="186"/>
        <v>-1760</v>
      </c>
    </row>
    <row r="470" spans="1:42" s="1410" customFormat="1" ht="15.75">
      <c r="A470" s="2102"/>
      <c r="B470" s="1268" t="s">
        <v>2534</v>
      </c>
      <c r="C470" s="1241" t="s">
        <v>3254</v>
      </c>
      <c r="D470" s="1245" t="s">
        <v>36</v>
      </c>
      <c r="E470" s="1413">
        <v>11</v>
      </c>
      <c r="F470" s="1555">
        <v>43.88</v>
      </c>
      <c r="G470" s="1480">
        <v>43.88</v>
      </c>
      <c r="H470" s="1414">
        <v>43.88</v>
      </c>
      <c r="I470" s="1477">
        <f t="shared" si="173"/>
        <v>482.68</v>
      </c>
      <c r="J470" s="1477">
        <f t="shared" si="174"/>
        <v>482.68</v>
      </c>
      <c r="K470" s="1477">
        <v>0</v>
      </c>
      <c r="L470" s="1477">
        <f t="shared" si="179"/>
        <v>0</v>
      </c>
      <c r="M470" s="1477">
        <v>11</v>
      </c>
      <c r="N470" s="1477">
        <f t="shared" si="180"/>
        <v>11</v>
      </c>
      <c r="O470" s="1477">
        <f t="shared" si="181"/>
        <v>0</v>
      </c>
      <c r="P470" s="1477">
        <f t="shared" si="182"/>
        <v>482.68</v>
      </c>
      <c r="Q470" s="1477">
        <f t="shared" si="183"/>
        <v>482.68</v>
      </c>
      <c r="R470" s="1576">
        <f t="shared" si="184"/>
        <v>482.68</v>
      </c>
      <c r="S470" s="1869">
        <v>0</v>
      </c>
      <c r="T470" s="1866">
        <v>0</v>
      </c>
      <c r="U470" s="2442">
        <v>11</v>
      </c>
      <c r="V470" s="1866">
        <f t="shared" si="187"/>
        <v>482.68</v>
      </c>
      <c r="W470" s="1869">
        <f t="shared" si="171"/>
        <v>11</v>
      </c>
      <c r="X470" s="1870">
        <f t="shared" si="185"/>
        <v>482.68</v>
      </c>
      <c r="Y470" s="1871">
        <f t="shared" si="188"/>
        <v>1</v>
      </c>
      <c r="Z470" s="1694">
        <f t="shared" si="172"/>
        <v>0</v>
      </c>
      <c r="AA470" s="1872">
        <f t="shared" si="189"/>
        <v>0</v>
      </c>
      <c r="AB470" s="1873">
        <f t="shared" si="190"/>
        <v>0</v>
      </c>
      <c r="AC470" s="1418">
        <f t="shared" si="175"/>
        <v>0</v>
      </c>
      <c r="AD470" s="1418">
        <f t="shared" si="176"/>
        <v>0</v>
      </c>
      <c r="AE470" s="1418">
        <v>482.68</v>
      </c>
      <c r="AF470" s="1418">
        <f t="shared" si="177"/>
        <v>0</v>
      </c>
      <c r="AG470" s="1418">
        <v>43.88</v>
      </c>
      <c r="AH470" s="1418">
        <f t="shared" si="178"/>
        <v>0</v>
      </c>
      <c r="AI470" s="1428"/>
      <c r="AO470" s="2504">
        <v>0</v>
      </c>
      <c r="AP470" s="1418">
        <f t="shared" si="186"/>
        <v>-482.68</v>
      </c>
    </row>
    <row r="471" spans="1:42" s="1410" customFormat="1" ht="15.75">
      <c r="A471" s="2102"/>
      <c r="B471" s="1268" t="s">
        <v>2535</v>
      </c>
      <c r="C471" s="1241" t="s">
        <v>3255</v>
      </c>
      <c r="D471" s="1245" t="s">
        <v>36</v>
      </c>
      <c r="E471" s="1413">
        <v>2</v>
      </c>
      <c r="F471" s="1555">
        <v>630</v>
      </c>
      <c r="G471" s="1480">
        <v>630</v>
      </c>
      <c r="H471" s="1414">
        <v>630</v>
      </c>
      <c r="I471" s="1477">
        <f t="shared" si="173"/>
        <v>1260</v>
      </c>
      <c r="J471" s="1477">
        <f t="shared" si="174"/>
        <v>1260</v>
      </c>
      <c r="K471" s="1477">
        <v>0</v>
      </c>
      <c r="L471" s="1477">
        <f t="shared" si="179"/>
        <v>0</v>
      </c>
      <c r="M471" s="1477">
        <v>2</v>
      </c>
      <c r="N471" s="1477">
        <f t="shared" si="180"/>
        <v>2</v>
      </c>
      <c r="O471" s="1477">
        <f t="shared" si="181"/>
        <v>0</v>
      </c>
      <c r="P471" s="1477">
        <f t="shared" si="182"/>
        <v>1260</v>
      </c>
      <c r="Q471" s="1477">
        <f t="shared" si="183"/>
        <v>1260</v>
      </c>
      <c r="R471" s="1576">
        <f t="shared" si="184"/>
        <v>1260</v>
      </c>
      <c r="S471" s="1869">
        <v>0</v>
      </c>
      <c r="T471" s="1866">
        <v>0</v>
      </c>
      <c r="U471" s="2442">
        <v>2</v>
      </c>
      <c r="V471" s="1866">
        <f t="shared" si="187"/>
        <v>1260</v>
      </c>
      <c r="W471" s="1869">
        <f t="shared" si="171"/>
        <v>2</v>
      </c>
      <c r="X471" s="1870">
        <f t="shared" si="185"/>
        <v>1260</v>
      </c>
      <c r="Y471" s="1871">
        <f t="shared" si="188"/>
        <v>1</v>
      </c>
      <c r="Z471" s="1694">
        <f t="shared" si="172"/>
        <v>0</v>
      </c>
      <c r="AA471" s="1872">
        <f t="shared" si="189"/>
        <v>0</v>
      </c>
      <c r="AB471" s="1873">
        <f t="shared" si="190"/>
        <v>0</v>
      </c>
      <c r="AC471" s="1418">
        <f t="shared" si="175"/>
        <v>0</v>
      </c>
      <c r="AD471" s="1418">
        <f t="shared" si="176"/>
        <v>0</v>
      </c>
      <c r="AE471" s="1418">
        <v>1260</v>
      </c>
      <c r="AF471" s="1418">
        <f t="shared" si="177"/>
        <v>0</v>
      </c>
      <c r="AG471" s="1418">
        <v>630</v>
      </c>
      <c r="AH471" s="1418">
        <f t="shared" si="178"/>
        <v>0</v>
      </c>
      <c r="AI471" s="1428"/>
      <c r="AO471" s="2504">
        <v>0</v>
      </c>
      <c r="AP471" s="1418">
        <f t="shared" si="186"/>
        <v>-1260</v>
      </c>
    </row>
    <row r="472" spans="1:42" s="1410" customFormat="1" ht="15.75">
      <c r="A472" s="2102"/>
      <c r="B472" s="1268" t="s">
        <v>2536</v>
      </c>
      <c r="C472" s="1241" t="s">
        <v>3256</v>
      </c>
      <c r="D472" s="1245" t="s">
        <v>36</v>
      </c>
      <c r="E472" s="1413">
        <v>18</v>
      </c>
      <c r="F472" s="1555">
        <v>1318.9</v>
      </c>
      <c r="G472" s="1480">
        <v>1318.9</v>
      </c>
      <c r="H472" s="1414">
        <v>1318.9</v>
      </c>
      <c r="I472" s="1477">
        <f t="shared" si="173"/>
        <v>23740.2</v>
      </c>
      <c r="J472" s="1477">
        <f t="shared" si="174"/>
        <v>23740.2</v>
      </c>
      <c r="K472" s="1477">
        <v>0</v>
      </c>
      <c r="L472" s="1477">
        <f t="shared" si="179"/>
        <v>0</v>
      </c>
      <c r="M472" s="1477">
        <v>18</v>
      </c>
      <c r="N472" s="1477">
        <f t="shared" si="180"/>
        <v>18</v>
      </c>
      <c r="O472" s="1477">
        <f t="shared" si="181"/>
        <v>0</v>
      </c>
      <c r="P472" s="1477">
        <f t="shared" si="182"/>
        <v>23740.2</v>
      </c>
      <c r="Q472" s="1477">
        <f t="shared" si="183"/>
        <v>23740.2</v>
      </c>
      <c r="R472" s="1576">
        <f t="shared" si="184"/>
        <v>23740.2</v>
      </c>
      <c r="S472" s="1869">
        <v>0</v>
      </c>
      <c r="T472" s="1866">
        <v>0</v>
      </c>
      <c r="U472" s="2442"/>
      <c r="V472" s="1866">
        <f t="shared" si="187"/>
        <v>0</v>
      </c>
      <c r="W472" s="1869">
        <f t="shared" si="171"/>
        <v>0</v>
      </c>
      <c r="X472" s="1870">
        <f t="shared" si="185"/>
        <v>0</v>
      </c>
      <c r="Y472" s="1871">
        <f t="shared" si="188"/>
        <v>0</v>
      </c>
      <c r="Z472" s="1694">
        <f t="shared" si="172"/>
        <v>18</v>
      </c>
      <c r="AA472" s="1872">
        <f t="shared" si="189"/>
        <v>23740.2</v>
      </c>
      <c r="AB472" s="1873">
        <f t="shared" si="190"/>
        <v>1</v>
      </c>
      <c r="AC472" s="1418">
        <f t="shared" si="175"/>
        <v>0</v>
      </c>
      <c r="AD472" s="1418">
        <f t="shared" si="176"/>
        <v>0</v>
      </c>
      <c r="AE472" s="1418">
        <v>23740.2</v>
      </c>
      <c r="AF472" s="1418">
        <f t="shared" si="177"/>
        <v>0</v>
      </c>
      <c r="AG472" s="1418">
        <v>1318.9</v>
      </c>
      <c r="AH472" s="1418">
        <f t="shared" si="178"/>
        <v>0</v>
      </c>
      <c r="AI472" s="1428"/>
      <c r="AO472" s="2504">
        <v>0</v>
      </c>
      <c r="AP472" s="1418">
        <f t="shared" si="186"/>
        <v>0</v>
      </c>
    </row>
    <row r="473" spans="1:42" s="1410" customFormat="1" ht="15.75">
      <c r="A473" s="2102"/>
      <c r="B473" s="1272" t="s">
        <v>491</v>
      </c>
      <c r="C473" s="1262" t="s">
        <v>3257</v>
      </c>
      <c r="D473" s="1273"/>
      <c r="E473" s="1415"/>
      <c r="F473" s="1267"/>
      <c r="G473" s="1480"/>
      <c r="H473" s="1416"/>
      <c r="I473" s="1477">
        <f t="shared" si="173"/>
        <v>0</v>
      </c>
      <c r="J473" s="1477">
        <f t="shared" si="174"/>
        <v>0</v>
      </c>
      <c r="K473" s="1477"/>
      <c r="L473" s="1477">
        <f t="shared" si="179"/>
        <v>0</v>
      </c>
      <c r="M473" s="1477"/>
      <c r="N473" s="1477">
        <f t="shared" si="180"/>
        <v>0</v>
      </c>
      <c r="O473" s="1477">
        <f t="shared" si="181"/>
        <v>0</v>
      </c>
      <c r="P473" s="1477">
        <f t="shared" si="182"/>
        <v>0</v>
      </c>
      <c r="Q473" s="1477">
        <f t="shared" si="183"/>
        <v>0</v>
      </c>
      <c r="R473" s="1576">
        <f t="shared" si="184"/>
        <v>0</v>
      </c>
      <c r="S473" s="1869"/>
      <c r="T473" s="1866"/>
      <c r="U473" s="2442"/>
      <c r="V473" s="1866">
        <f t="shared" si="187"/>
        <v>0</v>
      </c>
      <c r="W473" s="1869"/>
      <c r="X473" s="1870"/>
      <c r="Y473" s="1871" t="str">
        <f t="shared" si="188"/>
        <v/>
      </c>
      <c r="Z473" s="1694"/>
      <c r="AA473" s="1872">
        <f t="shared" si="189"/>
        <v>0</v>
      </c>
      <c r="AB473" s="1873" t="str">
        <f t="shared" si="190"/>
        <v/>
      </c>
      <c r="AC473" s="1418">
        <f t="shared" si="175"/>
        <v>0</v>
      </c>
      <c r="AD473" s="1418">
        <f t="shared" si="176"/>
        <v>0</v>
      </c>
      <c r="AE473" s="1418"/>
      <c r="AF473" s="1418">
        <f t="shared" si="177"/>
        <v>0</v>
      </c>
      <c r="AG473" s="1418"/>
      <c r="AH473" s="1418">
        <f t="shared" si="178"/>
        <v>0</v>
      </c>
      <c r="AI473" s="1428"/>
      <c r="AO473" s="2504"/>
      <c r="AP473" s="1418">
        <f t="shared" si="186"/>
        <v>0</v>
      </c>
    </row>
    <row r="474" spans="1:42" s="1410" customFormat="1" ht="15.75">
      <c r="A474" s="2102"/>
      <c r="B474" s="1268" t="s">
        <v>2537</v>
      </c>
      <c r="C474" s="1241" t="s">
        <v>3258</v>
      </c>
      <c r="D474" s="1245" t="s">
        <v>36</v>
      </c>
      <c r="E474" s="1413">
        <v>139</v>
      </c>
      <c r="F474" s="1555">
        <v>123.63</v>
      </c>
      <c r="G474" s="1480">
        <v>134.51</v>
      </c>
      <c r="H474" s="1414">
        <v>140.08000000000001</v>
      </c>
      <c r="I474" s="1477">
        <f t="shared" si="173"/>
        <v>17184.57</v>
      </c>
      <c r="J474" s="1477">
        <f t="shared" si="174"/>
        <v>18696.89</v>
      </c>
      <c r="K474" s="1477">
        <v>0</v>
      </c>
      <c r="L474" s="1477">
        <f t="shared" si="179"/>
        <v>0</v>
      </c>
      <c r="M474" s="1477">
        <v>139</v>
      </c>
      <c r="N474" s="1477">
        <f t="shared" si="180"/>
        <v>139</v>
      </c>
      <c r="O474" s="1477">
        <f t="shared" si="181"/>
        <v>0</v>
      </c>
      <c r="P474" s="1477">
        <f t="shared" si="182"/>
        <v>18696.89</v>
      </c>
      <c r="Q474" s="1477">
        <f t="shared" si="183"/>
        <v>19471.12</v>
      </c>
      <c r="R474" s="1576">
        <f t="shared" si="184"/>
        <v>19471.12</v>
      </c>
      <c r="S474" s="1869">
        <v>83</v>
      </c>
      <c r="T474" s="1866">
        <v>11626.64</v>
      </c>
      <c r="U474" s="2442">
        <v>32</v>
      </c>
      <c r="V474" s="1866">
        <f t="shared" si="187"/>
        <v>4482.5600000000004</v>
      </c>
      <c r="W474" s="1869">
        <f>S474+U474</f>
        <v>115</v>
      </c>
      <c r="X474" s="1870">
        <f t="shared" si="185"/>
        <v>16109.2</v>
      </c>
      <c r="Y474" s="1871">
        <f t="shared" si="188"/>
        <v>0.82733812949640295</v>
      </c>
      <c r="Z474" s="1694">
        <f>+E474-W474</f>
        <v>24</v>
      </c>
      <c r="AA474" s="1872">
        <f t="shared" si="189"/>
        <v>3361.92</v>
      </c>
      <c r="AB474" s="1873">
        <f t="shared" si="190"/>
        <v>0.17266187050359713</v>
      </c>
      <c r="AC474" s="1418">
        <f t="shared" si="175"/>
        <v>0</v>
      </c>
      <c r="AD474" s="1418">
        <f t="shared" si="176"/>
        <v>0</v>
      </c>
      <c r="AE474" s="1418">
        <v>19471.120000000003</v>
      </c>
      <c r="AF474" s="1418">
        <f t="shared" si="177"/>
        <v>0</v>
      </c>
      <c r="AG474" s="1418">
        <v>140.08000000000001</v>
      </c>
      <c r="AH474" s="1418">
        <f t="shared" si="178"/>
        <v>0</v>
      </c>
      <c r="AI474" s="1428"/>
      <c r="AO474" s="2504">
        <v>6583.76</v>
      </c>
      <c r="AP474" s="1418">
        <f t="shared" si="186"/>
        <v>-9525.44</v>
      </c>
    </row>
    <row r="475" spans="1:42" s="1410" customFormat="1" ht="15.75">
      <c r="A475" s="2102"/>
      <c r="B475" s="1272" t="s">
        <v>1016</v>
      </c>
      <c r="C475" s="1262" t="s">
        <v>3259</v>
      </c>
      <c r="D475" s="1273"/>
      <c r="E475" s="1415"/>
      <c r="F475" s="1267"/>
      <c r="G475" s="1480"/>
      <c r="H475" s="1416"/>
      <c r="I475" s="1477">
        <f t="shared" si="173"/>
        <v>0</v>
      </c>
      <c r="J475" s="1477">
        <f t="shared" si="174"/>
        <v>0</v>
      </c>
      <c r="K475" s="1477"/>
      <c r="L475" s="1477">
        <f t="shared" si="179"/>
        <v>0</v>
      </c>
      <c r="M475" s="1477"/>
      <c r="N475" s="1477">
        <f t="shared" si="180"/>
        <v>0</v>
      </c>
      <c r="O475" s="1477">
        <f t="shared" si="181"/>
        <v>0</v>
      </c>
      <c r="P475" s="1477">
        <f t="shared" si="182"/>
        <v>0</v>
      </c>
      <c r="Q475" s="1477">
        <f t="shared" si="183"/>
        <v>0</v>
      </c>
      <c r="R475" s="1576">
        <f t="shared" si="184"/>
        <v>0</v>
      </c>
      <c r="S475" s="1869"/>
      <c r="T475" s="1866"/>
      <c r="U475" s="2442"/>
      <c r="V475" s="1866">
        <f t="shared" si="187"/>
        <v>0</v>
      </c>
      <c r="W475" s="1869"/>
      <c r="X475" s="1870"/>
      <c r="Y475" s="1871" t="str">
        <f t="shared" si="188"/>
        <v/>
      </c>
      <c r="Z475" s="1694"/>
      <c r="AA475" s="1872">
        <f t="shared" si="189"/>
        <v>0</v>
      </c>
      <c r="AB475" s="1873" t="str">
        <f t="shared" si="190"/>
        <v/>
      </c>
      <c r="AC475" s="1418">
        <f t="shared" si="175"/>
        <v>0</v>
      </c>
      <c r="AD475" s="1418">
        <f t="shared" si="176"/>
        <v>0</v>
      </c>
      <c r="AE475" s="1418"/>
      <c r="AF475" s="1418">
        <f t="shared" si="177"/>
        <v>0</v>
      </c>
      <c r="AG475" s="1418"/>
      <c r="AH475" s="1418">
        <f t="shared" si="178"/>
        <v>0</v>
      </c>
      <c r="AI475" s="1428"/>
      <c r="AO475" s="2504"/>
      <c r="AP475" s="1418">
        <f t="shared" si="186"/>
        <v>0</v>
      </c>
    </row>
    <row r="476" spans="1:42" s="1410" customFormat="1" ht="15.75">
      <c r="A476" s="2102"/>
      <c r="B476" s="1268" t="s">
        <v>2538</v>
      </c>
      <c r="C476" s="1241" t="s">
        <v>3260</v>
      </c>
      <c r="D476" s="1245" t="s">
        <v>36</v>
      </c>
      <c r="E476" s="1413">
        <v>451</v>
      </c>
      <c r="F476" s="1555">
        <v>34.340000000000003</v>
      </c>
      <c r="G476" s="1480">
        <v>37.369999999999997</v>
      </c>
      <c r="H476" s="1414">
        <v>38.909999999999997</v>
      </c>
      <c r="I476" s="1477">
        <f t="shared" si="173"/>
        <v>15487.34</v>
      </c>
      <c r="J476" s="1477">
        <f t="shared" si="174"/>
        <v>16853.87</v>
      </c>
      <c r="K476" s="1477">
        <v>0</v>
      </c>
      <c r="L476" s="1477">
        <f t="shared" si="179"/>
        <v>0</v>
      </c>
      <c r="M476" s="1477">
        <v>451</v>
      </c>
      <c r="N476" s="1477">
        <f t="shared" si="180"/>
        <v>451</v>
      </c>
      <c r="O476" s="1477">
        <f t="shared" si="181"/>
        <v>0</v>
      </c>
      <c r="P476" s="1477">
        <f t="shared" si="182"/>
        <v>16853.87</v>
      </c>
      <c r="Q476" s="1477">
        <f t="shared" si="183"/>
        <v>17548.41</v>
      </c>
      <c r="R476" s="1576">
        <f t="shared" si="184"/>
        <v>17548.41</v>
      </c>
      <c r="S476" s="1869">
        <v>0</v>
      </c>
      <c r="T476" s="1866">
        <v>0</v>
      </c>
      <c r="U476" s="2442"/>
      <c r="V476" s="1866">
        <f t="shared" si="187"/>
        <v>0</v>
      </c>
      <c r="W476" s="1869">
        <f>S476+U476</f>
        <v>0</v>
      </c>
      <c r="X476" s="1870">
        <f t="shared" si="185"/>
        <v>0</v>
      </c>
      <c r="Y476" s="1871">
        <f t="shared" si="188"/>
        <v>0</v>
      </c>
      <c r="Z476" s="1694">
        <f>+E476-W476</f>
        <v>451</v>
      </c>
      <c r="AA476" s="1872">
        <f t="shared" si="189"/>
        <v>17548.41</v>
      </c>
      <c r="AB476" s="1873">
        <f t="shared" si="190"/>
        <v>1</v>
      </c>
      <c r="AC476" s="1418">
        <f t="shared" si="175"/>
        <v>0</v>
      </c>
      <c r="AD476" s="1418">
        <f t="shared" si="176"/>
        <v>0</v>
      </c>
      <c r="AE476" s="1418">
        <v>17548.41</v>
      </c>
      <c r="AF476" s="1418">
        <f t="shared" si="177"/>
        <v>0</v>
      </c>
      <c r="AG476" s="1418">
        <v>38.909999999999997</v>
      </c>
      <c r="AH476" s="1418">
        <f t="shared" si="178"/>
        <v>0</v>
      </c>
      <c r="AI476" s="1428"/>
      <c r="AO476" s="2504">
        <v>0</v>
      </c>
      <c r="AP476" s="1418">
        <f t="shared" si="186"/>
        <v>0</v>
      </c>
    </row>
    <row r="477" spans="1:42" s="1231" customFormat="1" ht="15.75">
      <c r="A477" s="2103" t="s">
        <v>3619</v>
      </c>
      <c r="B477" s="1263" t="s">
        <v>492</v>
      </c>
      <c r="C477" s="1264" t="s">
        <v>3261</v>
      </c>
      <c r="D477" s="1265"/>
      <c r="E477" s="1266"/>
      <c r="F477" s="1267"/>
      <c r="G477" s="1480"/>
      <c r="H477" s="1267"/>
      <c r="I477" s="1477">
        <f t="shared" si="173"/>
        <v>0</v>
      </c>
      <c r="J477" s="1477">
        <f t="shared" si="174"/>
        <v>0</v>
      </c>
      <c r="K477" s="1477"/>
      <c r="L477" s="1477">
        <f t="shared" si="179"/>
        <v>0</v>
      </c>
      <c r="M477" s="1477"/>
      <c r="N477" s="1477">
        <f t="shared" si="180"/>
        <v>0</v>
      </c>
      <c r="O477" s="1477">
        <f t="shared" si="181"/>
        <v>0</v>
      </c>
      <c r="P477" s="1477">
        <f t="shared" si="182"/>
        <v>0</v>
      </c>
      <c r="Q477" s="1477">
        <f t="shared" si="183"/>
        <v>0</v>
      </c>
      <c r="R477" s="1576">
        <f t="shared" si="184"/>
        <v>0</v>
      </c>
      <c r="S477" s="2452"/>
      <c r="T477" s="1866"/>
      <c r="U477" s="2442"/>
      <c r="V477" s="1866">
        <f t="shared" si="187"/>
        <v>0</v>
      </c>
      <c r="W477" s="2452"/>
      <c r="X477" s="1870"/>
      <c r="Y477" s="1871" t="str">
        <f t="shared" si="188"/>
        <v/>
      </c>
      <c r="Z477" s="1694"/>
      <c r="AA477" s="1872">
        <f t="shared" si="189"/>
        <v>0</v>
      </c>
      <c r="AB477" s="1873" t="str">
        <f t="shared" si="190"/>
        <v/>
      </c>
      <c r="AC477" s="1418">
        <f t="shared" si="175"/>
        <v>0</v>
      </c>
      <c r="AD477" s="1418">
        <f t="shared" si="176"/>
        <v>0</v>
      </c>
      <c r="AE477" s="1230"/>
      <c r="AF477" s="1230">
        <f t="shared" si="177"/>
        <v>0</v>
      </c>
      <c r="AG477" s="1230"/>
      <c r="AH477" s="1418">
        <f t="shared" si="178"/>
        <v>0</v>
      </c>
      <c r="AI477" s="1346"/>
      <c r="AO477" s="1736"/>
      <c r="AP477" s="1418">
        <f t="shared" si="186"/>
        <v>0</v>
      </c>
    </row>
    <row r="478" spans="1:42" s="1410" customFormat="1" ht="15.75">
      <c r="A478" s="2102" t="s">
        <v>3619</v>
      </c>
      <c r="B478" s="1272" t="s">
        <v>493</v>
      </c>
      <c r="C478" s="1262" t="s">
        <v>3262</v>
      </c>
      <c r="D478" s="1273"/>
      <c r="E478" s="1415"/>
      <c r="F478" s="1267"/>
      <c r="G478" s="1480"/>
      <c r="H478" s="1416"/>
      <c r="I478" s="1477">
        <f t="shared" si="173"/>
        <v>0</v>
      </c>
      <c r="J478" s="1477">
        <f t="shared" si="174"/>
        <v>0</v>
      </c>
      <c r="K478" s="1477"/>
      <c r="L478" s="1477">
        <f t="shared" si="179"/>
        <v>0</v>
      </c>
      <c r="M478" s="1477"/>
      <c r="N478" s="1477">
        <f t="shared" si="180"/>
        <v>0</v>
      </c>
      <c r="O478" s="1477">
        <f t="shared" si="181"/>
        <v>0</v>
      </c>
      <c r="P478" s="1477">
        <f t="shared" si="182"/>
        <v>0</v>
      </c>
      <c r="Q478" s="1477">
        <f t="shared" si="183"/>
        <v>0</v>
      </c>
      <c r="R478" s="1576">
        <f t="shared" si="184"/>
        <v>0</v>
      </c>
      <c r="S478" s="1869"/>
      <c r="T478" s="1866"/>
      <c r="U478" s="2442"/>
      <c r="V478" s="1866">
        <f t="shared" si="187"/>
        <v>0</v>
      </c>
      <c r="W478" s="1869"/>
      <c r="X478" s="1870"/>
      <c r="Y478" s="1871" t="str">
        <f t="shared" si="188"/>
        <v/>
      </c>
      <c r="Z478" s="1694"/>
      <c r="AA478" s="1872">
        <f t="shared" si="189"/>
        <v>0</v>
      </c>
      <c r="AB478" s="1873" t="str">
        <f t="shared" si="190"/>
        <v/>
      </c>
      <c r="AC478" s="1418">
        <f t="shared" si="175"/>
        <v>0</v>
      </c>
      <c r="AD478" s="1418">
        <f t="shared" si="176"/>
        <v>0</v>
      </c>
      <c r="AE478" s="1418"/>
      <c r="AF478" s="1418">
        <f t="shared" si="177"/>
        <v>0</v>
      </c>
      <c r="AG478" s="1418"/>
      <c r="AH478" s="1418">
        <f t="shared" si="178"/>
        <v>0</v>
      </c>
      <c r="AI478" s="1428"/>
      <c r="AO478" s="2504"/>
      <c r="AP478" s="1418">
        <f t="shared" si="186"/>
        <v>0</v>
      </c>
    </row>
    <row r="479" spans="1:42" s="1410" customFormat="1" ht="15.75">
      <c r="A479" s="2102" t="s">
        <v>3619</v>
      </c>
      <c r="B479" s="1268" t="s">
        <v>2539</v>
      </c>
      <c r="C479" s="1241" t="s">
        <v>3263</v>
      </c>
      <c r="D479" s="1245" t="s">
        <v>1451</v>
      </c>
      <c r="E479" s="1413">
        <v>183</v>
      </c>
      <c r="F479" s="1555">
        <v>85.94</v>
      </c>
      <c r="G479" s="1480">
        <v>92.74</v>
      </c>
      <c r="H479" s="1414">
        <v>96.22</v>
      </c>
      <c r="I479" s="1477">
        <f t="shared" si="173"/>
        <v>15727.02</v>
      </c>
      <c r="J479" s="1477">
        <f t="shared" si="174"/>
        <v>16971.419999999998</v>
      </c>
      <c r="K479" s="1477">
        <v>33</v>
      </c>
      <c r="L479" s="1477">
        <f t="shared" si="179"/>
        <v>33</v>
      </c>
      <c r="M479" s="1477">
        <v>150</v>
      </c>
      <c r="N479" s="1477">
        <f t="shared" si="180"/>
        <v>150</v>
      </c>
      <c r="O479" s="1477">
        <f t="shared" si="181"/>
        <v>3060.42</v>
      </c>
      <c r="P479" s="1477">
        <f t="shared" si="182"/>
        <v>13911</v>
      </c>
      <c r="Q479" s="1477">
        <f t="shared" si="183"/>
        <v>14433</v>
      </c>
      <c r="R479" s="1576">
        <f t="shared" si="184"/>
        <v>17493.419999999998</v>
      </c>
      <c r="S479" s="1869">
        <v>183</v>
      </c>
      <c r="T479" s="1866">
        <v>17493.419999999998</v>
      </c>
      <c r="U479" s="2442"/>
      <c r="V479" s="1866">
        <f t="shared" si="187"/>
        <v>0</v>
      </c>
      <c r="W479" s="1869">
        <f>S479+U479</f>
        <v>183</v>
      </c>
      <c r="X479" s="1870">
        <f t="shared" si="185"/>
        <v>17493.419999999998</v>
      </c>
      <c r="Y479" s="1871">
        <f t="shared" si="188"/>
        <v>1</v>
      </c>
      <c r="Z479" s="1694">
        <f>+E479-W479</f>
        <v>0</v>
      </c>
      <c r="AA479" s="1872">
        <f t="shared" si="189"/>
        <v>0</v>
      </c>
      <c r="AB479" s="1873">
        <f t="shared" si="190"/>
        <v>0</v>
      </c>
      <c r="AC479" s="1418">
        <f t="shared" si="175"/>
        <v>0</v>
      </c>
      <c r="AD479" s="1418">
        <f t="shared" si="176"/>
        <v>0</v>
      </c>
      <c r="AE479" s="1418">
        <v>17493.419999999998</v>
      </c>
      <c r="AF479" s="1418">
        <f t="shared" si="177"/>
        <v>0</v>
      </c>
      <c r="AG479" s="1418">
        <v>96.22</v>
      </c>
      <c r="AH479" s="1418">
        <f t="shared" si="178"/>
        <v>0</v>
      </c>
      <c r="AI479" s="1428"/>
      <c r="AO479" s="2504">
        <v>17493.419999999998</v>
      </c>
      <c r="AP479" s="1418">
        <f t="shared" si="186"/>
        <v>0</v>
      </c>
    </row>
    <row r="480" spans="1:42" s="1410" customFormat="1" ht="15.75">
      <c r="A480" s="2102"/>
      <c r="B480" s="1268" t="s">
        <v>2540</v>
      </c>
      <c r="C480" s="1241" t="s">
        <v>3264</v>
      </c>
      <c r="D480" s="1245" t="s">
        <v>1451</v>
      </c>
      <c r="E480" s="1413">
        <v>2</v>
      </c>
      <c r="F480" s="1555">
        <v>90.12</v>
      </c>
      <c r="G480" s="1480">
        <v>96.92</v>
      </c>
      <c r="H480" s="1414">
        <v>100.4</v>
      </c>
      <c r="I480" s="1477">
        <f t="shared" si="173"/>
        <v>180.24</v>
      </c>
      <c r="J480" s="1477">
        <f t="shared" si="174"/>
        <v>193.84</v>
      </c>
      <c r="K480" s="1477">
        <v>2</v>
      </c>
      <c r="L480" s="1477">
        <f t="shared" si="179"/>
        <v>2</v>
      </c>
      <c r="M480" s="1477">
        <v>0</v>
      </c>
      <c r="N480" s="1477">
        <f t="shared" si="180"/>
        <v>0</v>
      </c>
      <c r="O480" s="1477">
        <f t="shared" si="181"/>
        <v>193.84</v>
      </c>
      <c r="P480" s="1477">
        <f t="shared" si="182"/>
        <v>0</v>
      </c>
      <c r="Q480" s="1477">
        <f t="shared" si="183"/>
        <v>0</v>
      </c>
      <c r="R480" s="1576">
        <f t="shared" si="184"/>
        <v>193.84</v>
      </c>
      <c r="S480" s="1869">
        <v>2</v>
      </c>
      <c r="T480" s="1866">
        <v>193.84</v>
      </c>
      <c r="U480" s="2442"/>
      <c r="V480" s="1866">
        <f t="shared" si="187"/>
        <v>0</v>
      </c>
      <c r="W480" s="1869">
        <f>S480+U480</f>
        <v>2</v>
      </c>
      <c r="X480" s="1870">
        <f t="shared" si="185"/>
        <v>193.84</v>
      </c>
      <c r="Y480" s="1871">
        <f t="shared" si="188"/>
        <v>1</v>
      </c>
      <c r="Z480" s="1694">
        <f>+E480-W480</f>
        <v>0</v>
      </c>
      <c r="AA480" s="1872">
        <f t="shared" si="189"/>
        <v>0</v>
      </c>
      <c r="AB480" s="1873">
        <f t="shared" si="190"/>
        <v>0</v>
      </c>
      <c r="AC480" s="1418">
        <f t="shared" si="175"/>
        <v>0</v>
      </c>
      <c r="AD480" s="1418">
        <f t="shared" si="176"/>
        <v>0</v>
      </c>
      <c r="AE480" s="1418">
        <v>193.84</v>
      </c>
      <c r="AF480" s="1418">
        <f t="shared" si="177"/>
        <v>0</v>
      </c>
      <c r="AG480" s="1418">
        <v>90.12</v>
      </c>
      <c r="AH480" s="1418">
        <f t="shared" si="178"/>
        <v>-10.280000000000001</v>
      </c>
      <c r="AI480" s="1428"/>
      <c r="AO480" s="2504">
        <v>193.84</v>
      </c>
      <c r="AP480" s="1418">
        <f t="shared" si="186"/>
        <v>0</v>
      </c>
    </row>
    <row r="481" spans="1:42" s="1410" customFormat="1" ht="15.75">
      <c r="A481" s="2102" t="s">
        <v>3619</v>
      </c>
      <c r="B481" s="1272" t="s">
        <v>494</v>
      </c>
      <c r="C481" s="1262" t="s">
        <v>3265</v>
      </c>
      <c r="D481" s="1273"/>
      <c r="E481" s="1415"/>
      <c r="F481" s="1267"/>
      <c r="G481" s="1480"/>
      <c r="H481" s="1416"/>
      <c r="I481" s="1477">
        <f t="shared" si="173"/>
        <v>0</v>
      </c>
      <c r="J481" s="1477">
        <f t="shared" si="174"/>
        <v>0</v>
      </c>
      <c r="K481" s="1477"/>
      <c r="L481" s="1477">
        <f t="shared" si="179"/>
        <v>0</v>
      </c>
      <c r="M481" s="1477"/>
      <c r="N481" s="1477">
        <f t="shared" si="180"/>
        <v>0</v>
      </c>
      <c r="O481" s="1477">
        <f t="shared" si="181"/>
        <v>0</v>
      </c>
      <c r="P481" s="1477">
        <f t="shared" si="182"/>
        <v>0</v>
      </c>
      <c r="Q481" s="1477">
        <f t="shared" si="183"/>
        <v>0</v>
      </c>
      <c r="R481" s="1576">
        <f t="shared" si="184"/>
        <v>0</v>
      </c>
      <c r="S481" s="1869"/>
      <c r="T481" s="1866"/>
      <c r="U481" s="2442"/>
      <c r="V481" s="1866">
        <f t="shared" si="187"/>
        <v>0</v>
      </c>
      <c r="W481" s="1869"/>
      <c r="X481" s="1870"/>
      <c r="Y481" s="1871" t="str">
        <f t="shared" si="188"/>
        <v/>
      </c>
      <c r="Z481" s="1694"/>
      <c r="AA481" s="1872">
        <f t="shared" si="189"/>
        <v>0</v>
      </c>
      <c r="AB481" s="1873" t="str">
        <f t="shared" si="190"/>
        <v/>
      </c>
      <c r="AC481" s="1418">
        <f t="shared" si="175"/>
        <v>0</v>
      </c>
      <c r="AD481" s="1418">
        <f t="shared" si="176"/>
        <v>0</v>
      </c>
      <c r="AE481" s="1418"/>
      <c r="AF481" s="1418">
        <f t="shared" si="177"/>
        <v>0</v>
      </c>
      <c r="AG481" s="1418"/>
      <c r="AH481" s="1418">
        <f t="shared" si="178"/>
        <v>0</v>
      </c>
      <c r="AI481" s="1428"/>
      <c r="AO481" s="2504"/>
      <c r="AP481" s="1418">
        <f t="shared" si="186"/>
        <v>0</v>
      </c>
    </row>
    <row r="482" spans="1:42" s="1410" customFormat="1" ht="15.75">
      <c r="A482" s="2102" t="s">
        <v>3619</v>
      </c>
      <c r="B482" s="1268" t="s">
        <v>2541</v>
      </c>
      <c r="C482" s="1241" t="s">
        <v>3266</v>
      </c>
      <c r="D482" s="1245" t="s">
        <v>38</v>
      </c>
      <c r="E482" s="1413">
        <v>401.99</v>
      </c>
      <c r="F482" s="1555">
        <v>13.26</v>
      </c>
      <c r="G482" s="1480">
        <v>14.11</v>
      </c>
      <c r="H482" s="1414">
        <v>14.55</v>
      </c>
      <c r="I482" s="1477">
        <f t="shared" si="173"/>
        <v>5330.39</v>
      </c>
      <c r="J482" s="1477">
        <f t="shared" si="174"/>
        <v>5672.08</v>
      </c>
      <c r="K482" s="1477">
        <v>93.449999999999989</v>
      </c>
      <c r="L482" s="1477">
        <f t="shared" si="179"/>
        <v>93.449999999999989</v>
      </c>
      <c r="M482" s="1477">
        <v>308.54000000000002</v>
      </c>
      <c r="N482" s="1477">
        <f t="shared" si="180"/>
        <v>308.54000000000002</v>
      </c>
      <c r="O482" s="1477">
        <f t="shared" si="181"/>
        <v>1318.58</v>
      </c>
      <c r="P482" s="1477">
        <f t="shared" si="182"/>
        <v>4353.5</v>
      </c>
      <c r="Q482" s="1477">
        <f t="shared" si="183"/>
        <v>4489.26</v>
      </c>
      <c r="R482" s="1576">
        <f t="shared" si="184"/>
        <v>5807.84</v>
      </c>
      <c r="S482" s="1869">
        <v>401.99</v>
      </c>
      <c r="T482" s="1866">
        <v>5807.8365000000003</v>
      </c>
      <c r="U482" s="2442"/>
      <c r="V482" s="1866">
        <f t="shared" si="187"/>
        <v>0</v>
      </c>
      <c r="W482" s="1869">
        <f t="shared" ref="W482:W487" si="191">S482+U482</f>
        <v>401.99</v>
      </c>
      <c r="X482" s="1870">
        <f t="shared" si="185"/>
        <v>5807.8365000000003</v>
      </c>
      <c r="Y482" s="1871">
        <f t="shared" si="188"/>
        <v>0.99999939736631871</v>
      </c>
      <c r="Z482" s="1694">
        <f t="shared" ref="Z482:Z487" si="192">+E482-W482</f>
        <v>0</v>
      </c>
      <c r="AA482" s="1872">
        <f t="shared" si="189"/>
        <v>0</v>
      </c>
      <c r="AB482" s="1873">
        <f t="shared" si="190"/>
        <v>0</v>
      </c>
      <c r="AC482" s="1418">
        <f t="shared" si="175"/>
        <v>3.4999999998035491E-3</v>
      </c>
      <c r="AD482" s="1418">
        <f t="shared" si="176"/>
        <v>0</v>
      </c>
      <c r="AE482" s="1418">
        <v>5807.8365000000003</v>
      </c>
      <c r="AF482" s="1418">
        <f t="shared" si="177"/>
        <v>-3.4999999998035491E-3</v>
      </c>
      <c r="AG482" s="1418">
        <v>14.55</v>
      </c>
      <c r="AH482" s="1418">
        <f t="shared" si="178"/>
        <v>0</v>
      </c>
      <c r="AI482" s="1428"/>
      <c r="AO482" s="2504">
        <v>5807.8365000000003</v>
      </c>
      <c r="AP482" s="1418">
        <f t="shared" si="186"/>
        <v>0</v>
      </c>
    </row>
    <row r="483" spans="1:42" s="1410" customFormat="1" ht="15.75">
      <c r="A483" s="2102" t="s">
        <v>3619</v>
      </c>
      <c r="B483" s="1268" t="s">
        <v>2542</v>
      </c>
      <c r="C483" s="1241" t="s">
        <v>3267</v>
      </c>
      <c r="D483" s="1245" t="s">
        <v>38</v>
      </c>
      <c r="E483" s="1413">
        <v>186.21</v>
      </c>
      <c r="F483" s="1555">
        <v>14.23</v>
      </c>
      <c r="G483" s="1480">
        <v>15.08</v>
      </c>
      <c r="H483" s="1414">
        <v>15.52</v>
      </c>
      <c r="I483" s="1477">
        <f t="shared" si="173"/>
        <v>2649.77</v>
      </c>
      <c r="J483" s="1477">
        <f t="shared" si="174"/>
        <v>2808.05</v>
      </c>
      <c r="K483" s="1477">
        <v>59.489999999999995</v>
      </c>
      <c r="L483" s="1477">
        <f t="shared" si="179"/>
        <v>59.490000000000009</v>
      </c>
      <c r="M483" s="1477">
        <v>126.72000000000001</v>
      </c>
      <c r="N483" s="1477">
        <f t="shared" si="180"/>
        <v>126.72</v>
      </c>
      <c r="O483" s="1477">
        <f t="shared" si="181"/>
        <v>897.11</v>
      </c>
      <c r="P483" s="1477">
        <f t="shared" si="182"/>
        <v>1910.94</v>
      </c>
      <c r="Q483" s="1477">
        <f t="shared" si="183"/>
        <v>1966.69</v>
      </c>
      <c r="R483" s="1576">
        <f t="shared" si="184"/>
        <v>2863.8</v>
      </c>
      <c r="S483" s="1869">
        <v>186.21</v>
      </c>
      <c r="T483" s="1866">
        <v>2863.8036000000002</v>
      </c>
      <c r="U483" s="2442"/>
      <c r="V483" s="1866">
        <f t="shared" si="187"/>
        <v>0</v>
      </c>
      <c r="W483" s="1869">
        <f t="shared" si="191"/>
        <v>186.21</v>
      </c>
      <c r="X483" s="1870">
        <f t="shared" si="185"/>
        <v>2863.8036000000002</v>
      </c>
      <c r="Y483" s="1871">
        <f t="shared" si="188"/>
        <v>1.0000012570710246</v>
      </c>
      <c r="Z483" s="1694">
        <f t="shared" si="192"/>
        <v>0</v>
      </c>
      <c r="AA483" s="1872">
        <f t="shared" si="189"/>
        <v>0</v>
      </c>
      <c r="AB483" s="1873">
        <f t="shared" si="190"/>
        <v>0</v>
      </c>
      <c r="AC483" s="1418">
        <f t="shared" si="175"/>
        <v>-3.6000000000058208E-3</v>
      </c>
      <c r="AD483" s="1418">
        <f t="shared" si="176"/>
        <v>0</v>
      </c>
      <c r="AE483" s="1418">
        <v>2863.8036000000002</v>
      </c>
      <c r="AF483" s="1418">
        <f t="shared" si="177"/>
        <v>3.6000000000058208E-3</v>
      </c>
      <c r="AG483" s="1418">
        <v>15.52</v>
      </c>
      <c r="AH483" s="1418">
        <f t="shared" si="178"/>
        <v>0</v>
      </c>
      <c r="AI483" s="1428"/>
      <c r="AO483" s="2504">
        <v>2863.8036000000002</v>
      </c>
      <c r="AP483" s="1418">
        <f t="shared" si="186"/>
        <v>0</v>
      </c>
    </row>
    <row r="484" spans="1:42" s="1410" customFormat="1" ht="15.75">
      <c r="A484" s="2102" t="s">
        <v>3619</v>
      </c>
      <c r="B484" s="1268" t="s">
        <v>2543</v>
      </c>
      <c r="C484" s="1241" t="s">
        <v>3268</v>
      </c>
      <c r="D484" s="1245" t="s">
        <v>38</v>
      </c>
      <c r="E484" s="1413">
        <v>346.06</v>
      </c>
      <c r="F484" s="1555">
        <v>15.4</v>
      </c>
      <c r="G484" s="1480">
        <v>16.25</v>
      </c>
      <c r="H484" s="1414">
        <v>16.690000000000001</v>
      </c>
      <c r="I484" s="1477">
        <f t="shared" si="173"/>
        <v>5329.32</v>
      </c>
      <c r="J484" s="1477">
        <f t="shared" si="174"/>
        <v>5623.48</v>
      </c>
      <c r="K484" s="1477">
        <v>28.2</v>
      </c>
      <c r="L484" s="1477">
        <f t="shared" si="179"/>
        <v>28.199999999999989</v>
      </c>
      <c r="M484" s="1477">
        <v>317.86</v>
      </c>
      <c r="N484" s="1477">
        <f t="shared" si="180"/>
        <v>317.86</v>
      </c>
      <c r="O484" s="1477">
        <f t="shared" si="181"/>
        <v>458.25</v>
      </c>
      <c r="P484" s="1477">
        <f t="shared" si="182"/>
        <v>5165.2299999999996</v>
      </c>
      <c r="Q484" s="1477">
        <f t="shared" si="183"/>
        <v>5305.08</v>
      </c>
      <c r="R484" s="1576">
        <f t="shared" si="184"/>
        <v>5763.33</v>
      </c>
      <c r="S484" s="1869">
        <v>346.06</v>
      </c>
      <c r="T484" s="1866">
        <v>5763.3334000000004</v>
      </c>
      <c r="U484" s="2442"/>
      <c r="V484" s="1866">
        <f t="shared" si="187"/>
        <v>0</v>
      </c>
      <c r="W484" s="1869">
        <f t="shared" si="191"/>
        <v>346.06</v>
      </c>
      <c r="X484" s="1870">
        <f>+V484+T484</f>
        <v>5763.3334000000004</v>
      </c>
      <c r="Y484" s="1871">
        <f t="shared" si="188"/>
        <v>1.0000005899367208</v>
      </c>
      <c r="Z484" s="1694">
        <f t="shared" si="192"/>
        <v>0</v>
      </c>
      <c r="AA484" s="1872">
        <f t="shared" si="189"/>
        <v>0</v>
      </c>
      <c r="AB484" s="1873">
        <f t="shared" si="190"/>
        <v>0</v>
      </c>
      <c r="AC484" s="1418">
        <f t="shared" si="175"/>
        <v>-3.4000000005107722E-3</v>
      </c>
      <c r="AD484" s="1418">
        <f t="shared" si="176"/>
        <v>0</v>
      </c>
      <c r="AE484" s="1418">
        <v>5763.3334000000004</v>
      </c>
      <c r="AF484" s="1418">
        <f t="shared" si="177"/>
        <v>3.4000000005107722E-3</v>
      </c>
      <c r="AG484" s="1418">
        <v>16.690000000000001</v>
      </c>
      <c r="AH484" s="1418">
        <f t="shared" si="178"/>
        <v>0</v>
      </c>
      <c r="AI484" s="1428"/>
      <c r="AO484" s="2504">
        <v>5763.3334000000004</v>
      </c>
      <c r="AP484" s="1418">
        <f t="shared" si="186"/>
        <v>0</v>
      </c>
    </row>
    <row r="485" spans="1:42" s="1410" customFormat="1" ht="15.75">
      <c r="A485" s="2102"/>
      <c r="B485" s="1268" t="s">
        <v>2544</v>
      </c>
      <c r="C485" s="1241" t="s">
        <v>3269</v>
      </c>
      <c r="D485" s="1245" t="s">
        <v>38</v>
      </c>
      <c r="E485" s="1413">
        <v>81.650000000000006</v>
      </c>
      <c r="F485" s="1555">
        <v>18.04</v>
      </c>
      <c r="G485" s="1480">
        <v>18.89</v>
      </c>
      <c r="H485" s="1414">
        <v>19.329999999999998</v>
      </c>
      <c r="I485" s="1477">
        <f t="shared" si="173"/>
        <v>1472.97</v>
      </c>
      <c r="J485" s="1477">
        <f t="shared" si="174"/>
        <v>1542.37</v>
      </c>
      <c r="K485" s="1477">
        <v>0</v>
      </c>
      <c r="L485" s="1477">
        <f t="shared" si="179"/>
        <v>0</v>
      </c>
      <c r="M485" s="1477">
        <v>81.650000000000006</v>
      </c>
      <c r="N485" s="1477">
        <f t="shared" si="180"/>
        <v>81.650000000000006</v>
      </c>
      <c r="O485" s="1477">
        <f t="shared" si="181"/>
        <v>0</v>
      </c>
      <c r="P485" s="1477">
        <f t="shared" si="182"/>
        <v>1542.37</v>
      </c>
      <c r="Q485" s="1477">
        <f t="shared" si="183"/>
        <v>1578.29</v>
      </c>
      <c r="R485" s="1576">
        <f t="shared" si="184"/>
        <v>1578.29</v>
      </c>
      <c r="S485" s="1869">
        <v>81.650000000000006</v>
      </c>
      <c r="T485" s="1866">
        <v>1578.2945000000002</v>
      </c>
      <c r="U485" s="2442"/>
      <c r="V485" s="1866">
        <f t="shared" si="187"/>
        <v>0</v>
      </c>
      <c r="W485" s="1869">
        <f t="shared" si="191"/>
        <v>81.650000000000006</v>
      </c>
      <c r="X485" s="1870">
        <f t="shared" si="185"/>
        <v>1578.2945000000002</v>
      </c>
      <c r="Y485" s="1871">
        <f t="shared" si="188"/>
        <v>1.0000028511870445</v>
      </c>
      <c r="Z485" s="1694">
        <f t="shared" si="192"/>
        <v>0</v>
      </c>
      <c r="AA485" s="1872">
        <f t="shared" si="189"/>
        <v>0</v>
      </c>
      <c r="AB485" s="1873">
        <f t="shared" si="190"/>
        <v>0</v>
      </c>
      <c r="AC485" s="1418">
        <f t="shared" si="175"/>
        <v>-4.5000000002346496E-3</v>
      </c>
      <c r="AD485" s="1418">
        <f t="shared" si="176"/>
        <v>0</v>
      </c>
      <c r="AE485" s="1418">
        <v>1578.2945</v>
      </c>
      <c r="AF485" s="1418">
        <f t="shared" si="177"/>
        <v>4.500000000007276E-3</v>
      </c>
      <c r="AG485" s="1418">
        <v>19.329999999999998</v>
      </c>
      <c r="AH485" s="1418">
        <f t="shared" si="178"/>
        <v>0</v>
      </c>
      <c r="AI485" s="1428"/>
      <c r="AO485" s="2504">
        <v>1578.2945000000002</v>
      </c>
      <c r="AP485" s="1418">
        <f t="shared" si="186"/>
        <v>0</v>
      </c>
    </row>
    <row r="486" spans="1:42" s="1410" customFormat="1" ht="15.75">
      <c r="A486" s="2102"/>
      <c r="B486" s="1268" t="s">
        <v>2545</v>
      </c>
      <c r="C486" s="1241" t="s">
        <v>3270</v>
      </c>
      <c r="D486" s="1245" t="s">
        <v>38</v>
      </c>
      <c r="E486" s="1413">
        <v>16.25</v>
      </c>
      <c r="F486" s="1555">
        <v>21.78</v>
      </c>
      <c r="G486" s="1480">
        <v>22.63</v>
      </c>
      <c r="H486" s="1414">
        <v>23.07</v>
      </c>
      <c r="I486" s="1477">
        <f t="shared" si="173"/>
        <v>353.93</v>
      </c>
      <c r="J486" s="1477">
        <f t="shared" si="174"/>
        <v>367.74</v>
      </c>
      <c r="K486" s="1477">
        <v>0</v>
      </c>
      <c r="L486" s="1477">
        <f t="shared" si="179"/>
        <v>0</v>
      </c>
      <c r="M486" s="1477">
        <v>16.25</v>
      </c>
      <c r="N486" s="1477">
        <f t="shared" si="180"/>
        <v>16.25</v>
      </c>
      <c r="O486" s="1477">
        <f t="shared" si="181"/>
        <v>0</v>
      </c>
      <c r="P486" s="1477">
        <f t="shared" si="182"/>
        <v>367.74</v>
      </c>
      <c r="Q486" s="1477">
        <f t="shared" si="183"/>
        <v>374.89</v>
      </c>
      <c r="R486" s="1576">
        <f t="shared" si="184"/>
        <v>374.89</v>
      </c>
      <c r="S486" s="1869">
        <v>16.25</v>
      </c>
      <c r="T486" s="1866">
        <v>374.88749999999999</v>
      </c>
      <c r="U486" s="2442"/>
      <c r="V486" s="1866">
        <f t="shared" si="187"/>
        <v>0</v>
      </c>
      <c r="W486" s="1869">
        <f t="shared" si="191"/>
        <v>16.25</v>
      </c>
      <c r="X486" s="1870">
        <f t="shared" si="185"/>
        <v>374.88749999999999</v>
      </c>
      <c r="Y486" s="1871">
        <f t="shared" si="188"/>
        <v>0.99999333137720403</v>
      </c>
      <c r="Z486" s="1694">
        <f t="shared" si="192"/>
        <v>0</v>
      </c>
      <c r="AA486" s="1872">
        <f t="shared" si="189"/>
        <v>0</v>
      </c>
      <c r="AB486" s="1873">
        <f t="shared" si="190"/>
        <v>0</v>
      </c>
      <c r="AC486" s="1418">
        <f t="shared" si="175"/>
        <v>2.4999999999977263E-3</v>
      </c>
      <c r="AD486" s="1418">
        <f t="shared" si="176"/>
        <v>0</v>
      </c>
      <c r="AE486" s="1418">
        <v>374.88749999999999</v>
      </c>
      <c r="AF486" s="1418">
        <f t="shared" si="177"/>
        <v>-2.4999999999977263E-3</v>
      </c>
      <c r="AG486" s="1418">
        <v>23.07</v>
      </c>
      <c r="AH486" s="1418">
        <f t="shared" si="178"/>
        <v>0</v>
      </c>
      <c r="AI486" s="1428"/>
      <c r="AO486" s="2504">
        <v>374.88749999999999</v>
      </c>
      <c r="AP486" s="1418">
        <f t="shared" si="186"/>
        <v>0</v>
      </c>
    </row>
    <row r="487" spans="1:42" s="1410" customFormat="1" ht="15.75">
      <c r="A487" s="2102"/>
      <c r="B487" s="1268" t="s">
        <v>2546</v>
      </c>
      <c r="C487" s="1241" t="s">
        <v>3271</v>
      </c>
      <c r="D487" s="1245" t="s">
        <v>38</v>
      </c>
      <c r="E487" s="1413">
        <v>273.04000000000002</v>
      </c>
      <c r="F487" s="1555">
        <v>39.44</v>
      </c>
      <c r="G487" s="1480">
        <v>40.29</v>
      </c>
      <c r="H487" s="1414">
        <v>40.729999999999997</v>
      </c>
      <c r="I487" s="1477">
        <f t="shared" si="173"/>
        <v>10768.7</v>
      </c>
      <c r="J487" s="1477">
        <f t="shared" si="174"/>
        <v>11000.78</v>
      </c>
      <c r="K487" s="1477">
        <v>0</v>
      </c>
      <c r="L487" s="1477">
        <f t="shared" si="179"/>
        <v>0</v>
      </c>
      <c r="M487" s="1477">
        <v>273.04000000000002</v>
      </c>
      <c r="N487" s="1477">
        <f t="shared" si="180"/>
        <v>273.04000000000002</v>
      </c>
      <c r="O487" s="1477">
        <f t="shared" si="181"/>
        <v>0</v>
      </c>
      <c r="P487" s="1477">
        <f t="shared" si="182"/>
        <v>11000.78</v>
      </c>
      <c r="Q487" s="1477">
        <f t="shared" si="183"/>
        <v>11120.92</v>
      </c>
      <c r="R487" s="1576">
        <f t="shared" si="184"/>
        <v>11120.92</v>
      </c>
      <c r="S487" s="1869">
        <v>0</v>
      </c>
      <c r="T487" s="1866">
        <v>0</v>
      </c>
      <c r="U487" s="2442">
        <v>2.2000000000000002</v>
      </c>
      <c r="V487" s="1866">
        <f t="shared" si="187"/>
        <v>89.605999999999995</v>
      </c>
      <c r="W487" s="1869">
        <f t="shared" si="191"/>
        <v>2.2000000000000002</v>
      </c>
      <c r="X487" s="1870">
        <f t="shared" si="185"/>
        <v>89.605999999999995</v>
      </c>
      <c r="Y487" s="1871">
        <f t="shared" si="188"/>
        <v>8.0574269035295631E-3</v>
      </c>
      <c r="Z487" s="1694">
        <f t="shared" si="192"/>
        <v>270.84000000000003</v>
      </c>
      <c r="AA487" s="1872">
        <f t="shared" si="189"/>
        <v>11031.313200000001</v>
      </c>
      <c r="AB487" s="1873">
        <f t="shared" si="190"/>
        <v>0.99194250115997606</v>
      </c>
      <c r="AC487" s="1418">
        <f t="shared" si="175"/>
        <v>7.9999999979918357E-4</v>
      </c>
      <c r="AD487" s="1418">
        <f t="shared" si="176"/>
        <v>0</v>
      </c>
      <c r="AE487" s="1418">
        <v>11120.9192</v>
      </c>
      <c r="AF487" s="1418">
        <f t="shared" si="177"/>
        <v>-7.9999999979918357E-4</v>
      </c>
      <c r="AG487" s="1418">
        <v>40.729999999999997</v>
      </c>
      <c r="AH487" s="1418">
        <f t="shared" si="178"/>
        <v>0</v>
      </c>
      <c r="AI487" s="1428"/>
      <c r="AO487" s="2504">
        <v>0</v>
      </c>
      <c r="AP487" s="1418">
        <f t="shared" si="186"/>
        <v>-89.605999999999995</v>
      </c>
    </row>
    <row r="488" spans="1:42" s="1410" customFormat="1" ht="15.75">
      <c r="A488" s="2102"/>
      <c r="B488" s="1272" t="s">
        <v>495</v>
      </c>
      <c r="C488" s="1262" t="s">
        <v>3272</v>
      </c>
      <c r="D488" s="1273"/>
      <c r="E488" s="1415"/>
      <c r="F488" s="1267"/>
      <c r="G488" s="1480"/>
      <c r="H488" s="1416"/>
      <c r="I488" s="1477">
        <f t="shared" si="173"/>
        <v>0</v>
      </c>
      <c r="J488" s="1477">
        <f t="shared" si="174"/>
        <v>0</v>
      </c>
      <c r="K488" s="1477"/>
      <c r="L488" s="1477">
        <f t="shared" si="179"/>
        <v>0</v>
      </c>
      <c r="M488" s="1477"/>
      <c r="N488" s="1477">
        <f t="shared" si="180"/>
        <v>0</v>
      </c>
      <c r="O488" s="1477">
        <f t="shared" si="181"/>
        <v>0</v>
      </c>
      <c r="P488" s="1477">
        <f t="shared" si="182"/>
        <v>0</v>
      </c>
      <c r="Q488" s="1477">
        <f t="shared" si="183"/>
        <v>0</v>
      </c>
      <c r="R488" s="1576">
        <f t="shared" si="184"/>
        <v>0</v>
      </c>
      <c r="S488" s="1869"/>
      <c r="T488" s="1866"/>
      <c r="U488" s="2442"/>
      <c r="V488" s="1866">
        <f t="shared" si="187"/>
        <v>0</v>
      </c>
      <c r="W488" s="1869"/>
      <c r="X488" s="1870"/>
      <c r="Y488" s="1871" t="str">
        <f t="shared" si="188"/>
        <v/>
      </c>
      <c r="Z488" s="1694"/>
      <c r="AA488" s="1872">
        <f t="shared" si="189"/>
        <v>0</v>
      </c>
      <c r="AB488" s="1873" t="str">
        <f t="shared" si="190"/>
        <v/>
      </c>
      <c r="AC488" s="1418">
        <f t="shared" si="175"/>
        <v>0</v>
      </c>
      <c r="AD488" s="1418">
        <f t="shared" si="176"/>
        <v>0</v>
      </c>
      <c r="AE488" s="1418"/>
      <c r="AF488" s="1418">
        <f t="shared" si="177"/>
        <v>0</v>
      </c>
      <c r="AG488" s="1418"/>
      <c r="AH488" s="1418">
        <f t="shared" si="178"/>
        <v>0</v>
      </c>
      <c r="AI488" s="1428"/>
      <c r="AO488" s="2504"/>
      <c r="AP488" s="1418">
        <f t="shared" si="186"/>
        <v>0</v>
      </c>
    </row>
    <row r="489" spans="1:42" s="1410" customFormat="1" ht="15.75">
      <c r="A489" s="2102"/>
      <c r="B489" s="1268" t="s">
        <v>2547</v>
      </c>
      <c r="C489" s="1241" t="s">
        <v>3269</v>
      </c>
      <c r="D489" s="1245" t="s">
        <v>38</v>
      </c>
      <c r="E489" s="1413">
        <v>10</v>
      </c>
      <c r="F489" s="1555">
        <v>18.04</v>
      </c>
      <c r="G489" s="1480">
        <v>18.89</v>
      </c>
      <c r="H489" s="1414">
        <v>19.329999999999998</v>
      </c>
      <c r="I489" s="1477">
        <f t="shared" si="173"/>
        <v>180.4</v>
      </c>
      <c r="J489" s="1477">
        <f t="shared" si="174"/>
        <v>188.9</v>
      </c>
      <c r="K489" s="1477">
        <v>0</v>
      </c>
      <c r="L489" s="1477">
        <f t="shared" si="179"/>
        <v>0</v>
      </c>
      <c r="M489" s="1477">
        <v>10</v>
      </c>
      <c r="N489" s="1477">
        <f t="shared" si="180"/>
        <v>10</v>
      </c>
      <c r="O489" s="1477">
        <f t="shared" si="181"/>
        <v>0</v>
      </c>
      <c r="P489" s="1477">
        <f t="shared" si="182"/>
        <v>188.9</v>
      </c>
      <c r="Q489" s="1477">
        <f t="shared" si="183"/>
        <v>193.3</v>
      </c>
      <c r="R489" s="1576">
        <f t="shared" si="184"/>
        <v>193.3</v>
      </c>
      <c r="S489" s="1869">
        <v>0</v>
      </c>
      <c r="T489" s="1866">
        <v>0</v>
      </c>
      <c r="U489" s="2442">
        <v>10</v>
      </c>
      <c r="V489" s="1866">
        <f t="shared" si="187"/>
        <v>193.29999999999998</v>
      </c>
      <c r="W489" s="1869">
        <f>S489+U489</f>
        <v>10</v>
      </c>
      <c r="X489" s="1870">
        <f t="shared" si="185"/>
        <v>193.29999999999998</v>
      </c>
      <c r="Y489" s="1871">
        <f t="shared" si="188"/>
        <v>0.99999999999999989</v>
      </c>
      <c r="Z489" s="1694">
        <f>+E489-W489</f>
        <v>0</v>
      </c>
      <c r="AA489" s="1872">
        <f t="shared" si="189"/>
        <v>0</v>
      </c>
      <c r="AB489" s="1873">
        <f t="shared" si="190"/>
        <v>0</v>
      </c>
      <c r="AC489" s="1418">
        <f t="shared" si="175"/>
        <v>2.8421709430404007E-14</v>
      </c>
      <c r="AD489" s="1418">
        <f t="shared" si="176"/>
        <v>0</v>
      </c>
      <c r="AE489" s="1418">
        <v>193.29999999999998</v>
      </c>
      <c r="AF489" s="1418">
        <f t="shared" si="177"/>
        <v>0</v>
      </c>
      <c r="AG489" s="1418">
        <v>19.329999999999998</v>
      </c>
      <c r="AH489" s="1418">
        <f t="shared" si="178"/>
        <v>0</v>
      </c>
      <c r="AI489" s="1428"/>
      <c r="AO489" s="2504">
        <v>0</v>
      </c>
      <c r="AP489" s="1418">
        <f t="shared" si="186"/>
        <v>-193.29999999999998</v>
      </c>
    </row>
    <row r="490" spans="1:42" s="1410" customFormat="1" ht="15.75">
      <c r="A490" s="2102"/>
      <c r="B490" s="1268" t="s">
        <v>2548</v>
      </c>
      <c r="C490" s="1241" t="s">
        <v>3270</v>
      </c>
      <c r="D490" s="1245" t="s">
        <v>38</v>
      </c>
      <c r="E490" s="1413">
        <v>242.4</v>
      </c>
      <c r="F490" s="1555">
        <v>21.78</v>
      </c>
      <c r="G490" s="1480">
        <v>22.63</v>
      </c>
      <c r="H490" s="1414">
        <v>23.07</v>
      </c>
      <c r="I490" s="1477">
        <f t="shared" si="173"/>
        <v>5279.47</v>
      </c>
      <c r="J490" s="1477">
        <f t="shared" si="174"/>
        <v>5485.51</v>
      </c>
      <c r="K490" s="1477">
        <v>0</v>
      </c>
      <c r="L490" s="1477">
        <f t="shared" si="179"/>
        <v>0</v>
      </c>
      <c r="M490" s="1477">
        <v>242.4</v>
      </c>
      <c r="N490" s="1477">
        <f t="shared" si="180"/>
        <v>242.4</v>
      </c>
      <c r="O490" s="1477">
        <f t="shared" si="181"/>
        <v>0</v>
      </c>
      <c r="P490" s="1477">
        <f t="shared" si="182"/>
        <v>5485.51</v>
      </c>
      <c r="Q490" s="1477">
        <f t="shared" si="183"/>
        <v>5592.17</v>
      </c>
      <c r="R490" s="1576">
        <f t="shared" si="184"/>
        <v>5592.17</v>
      </c>
      <c r="S490" s="1869">
        <v>202.4</v>
      </c>
      <c r="T490" s="1866">
        <v>4669.3680000000004</v>
      </c>
      <c r="U490" s="2442">
        <v>40</v>
      </c>
      <c r="V490" s="1866">
        <f t="shared" si="187"/>
        <v>922.8</v>
      </c>
      <c r="W490" s="1869">
        <f>S490+U490</f>
        <v>242.4</v>
      </c>
      <c r="X490" s="1870">
        <f t="shared" si="185"/>
        <v>5592.1680000000006</v>
      </c>
      <c r="Y490" s="1871">
        <f t="shared" si="188"/>
        <v>0.9999996423570815</v>
      </c>
      <c r="Z490" s="1694">
        <f>+E490-W490</f>
        <v>0</v>
      </c>
      <c r="AA490" s="1872">
        <f t="shared" si="189"/>
        <v>0</v>
      </c>
      <c r="AB490" s="1873">
        <f t="shared" si="190"/>
        <v>0</v>
      </c>
      <c r="AC490" s="1418">
        <f t="shared" si="175"/>
        <v>1.9999999994979589E-3</v>
      </c>
      <c r="AD490" s="1418">
        <f t="shared" si="176"/>
        <v>0</v>
      </c>
      <c r="AE490" s="1418">
        <v>5592.1680000000006</v>
      </c>
      <c r="AF490" s="1418">
        <f t="shared" si="177"/>
        <v>-1.9999999994979589E-3</v>
      </c>
      <c r="AG490" s="1418">
        <v>23.07</v>
      </c>
      <c r="AH490" s="1418">
        <f t="shared" si="178"/>
        <v>0</v>
      </c>
      <c r="AI490" s="1428"/>
      <c r="AO490" s="2504">
        <v>888.19499999999994</v>
      </c>
      <c r="AP490" s="1418">
        <f t="shared" si="186"/>
        <v>-4703.9730000000009</v>
      </c>
    </row>
    <row r="491" spans="1:42" s="1410" customFormat="1" ht="15.75">
      <c r="A491" s="2102"/>
      <c r="B491" s="1272" t="s">
        <v>1024</v>
      </c>
      <c r="C491" s="1262" t="s">
        <v>3273</v>
      </c>
      <c r="D491" s="1273"/>
      <c r="E491" s="1415"/>
      <c r="F491" s="1267"/>
      <c r="G491" s="1480"/>
      <c r="H491" s="1416"/>
      <c r="I491" s="1477">
        <f t="shared" si="173"/>
        <v>0</v>
      </c>
      <c r="J491" s="1477">
        <f t="shared" si="174"/>
        <v>0</v>
      </c>
      <c r="K491" s="1477"/>
      <c r="L491" s="1477">
        <f t="shared" si="179"/>
        <v>0</v>
      </c>
      <c r="M491" s="1477"/>
      <c r="N491" s="1477">
        <f t="shared" si="180"/>
        <v>0</v>
      </c>
      <c r="O491" s="1477">
        <f t="shared" si="181"/>
        <v>0</v>
      </c>
      <c r="P491" s="1477">
        <f t="shared" si="182"/>
        <v>0</v>
      </c>
      <c r="Q491" s="1477">
        <f t="shared" si="183"/>
        <v>0</v>
      </c>
      <c r="R491" s="1576">
        <f t="shared" si="184"/>
        <v>0</v>
      </c>
      <c r="S491" s="1869"/>
      <c r="T491" s="1866"/>
      <c r="U491" s="2442"/>
      <c r="V491" s="1866">
        <f t="shared" si="187"/>
        <v>0</v>
      </c>
      <c r="W491" s="1869"/>
      <c r="X491" s="1870"/>
      <c r="Y491" s="1871" t="str">
        <f t="shared" si="188"/>
        <v/>
      </c>
      <c r="Z491" s="1694"/>
      <c r="AA491" s="1872">
        <f t="shared" si="189"/>
        <v>0</v>
      </c>
      <c r="AB491" s="1873" t="str">
        <f t="shared" si="190"/>
        <v/>
      </c>
      <c r="AC491" s="1418">
        <f t="shared" si="175"/>
        <v>0</v>
      </c>
      <c r="AD491" s="1418">
        <f t="shared" si="176"/>
        <v>0</v>
      </c>
      <c r="AE491" s="1418"/>
      <c r="AF491" s="1418">
        <f t="shared" si="177"/>
        <v>0</v>
      </c>
      <c r="AG491" s="1418"/>
      <c r="AH491" s="1418">
        <f t="shared" si="178"/>
        <v>0</v>
      </c>
      <c r="AI491" s="1428"/>
      <c r="AO491" s="2504"/>
      <c r="AP491" s="1418">
        <f t="shared" si="186"/>
        <v>0</v>
      </c>
    </row>
    <row r="492" spans="1:42" s="1410" customFormat="1" ht="15.75">
      <c r="A492" s="2102"/>
      <c r="B492" s="1268" t="s">
        <v>2549</v>
      </c>
      <c r="C492" s="1241" t="s">
        <v>3274</v>
      </c>
      <c r="D492" s="1245" t="s">
        <v>36</v>
      </c>
      <c r="E492" s="1413">
        <v>163</v>
      </c>
      <c r="F492" s="1555">
        <v>14.26</v>
      </c>
      <c r="G492" s="1480">
        <v>15.18</v>
      </c>
      <c r="H492" s="1414">
        <v>15.63</v>
      </c>
      <c r="I492" s="1477">
        <f t="shared" si="173"/>
        <v>2324.38</v>
      </c>
      <c r="J492" s="1477">
        <f t="shared" si="174"/>
        <v>2474.34</v>
      </c>
      <c r="K492" s="1477">
        <v>61</v>
      </c>
      <c r="L492" s="1477">
        <f t="shared" si="179"/>
        <v>61</v>
      </c>
      <c r="M492" s="1477">
        <v>102</v>
      </c>
      <c r="N492" s="1477">
        <f t="shared" si="180"/>
        <v>102</v>
      </c>
      <c r="O492" s="1477">
        <f t="shared" si="181"/>
        <v>925.98</v>
      </c>
      <c r="P492" s="1477">
        <f t="shared" si="182"/>
        <v>1548.36</v>
      </c>
      <c r="Q492" s="1477">
        <f t="shared" si="183"/>
        <v>1594.26</v>
      </c>
      <c r="R492" s="1576">
        <f t="shared" si="184"/>
        <v>2520.2399999999998</v>
      </c>
      <c r="S492" s="1869">
        <v>163</v>
      </c>
      <c r="T492" s="1866">
        <v>2520.2399999999998</v>
      </c>
      <c r="U492" s="2442"/>
      <c r="V492" s="1866">
        <f t="shared" si="187"/>
        <v>0</v>
      </c>
      <c r="W492" s="1869">
        <f t="shared" ref="W492:W512" si="193">S492+U492</f>
        <v>163</v>
      </c>
      <c r="X492" s="1870">
        <f t="shared" si="185"/>
        <v>2520.2399999999998</v>
      </c>
      <c r="Y492" s="1871">
        <f t="shared" si="188"/>
        <v>1</v>
      </c>
      <c r="Z492" s="1694">
        <f t="shared" ref="Z492:Z512" si="194">+E492-W492</f>
        <v>0</v>
      </c>
      <c r="AA492" s="1872">
        <f t="shared" si="189"/>
        <v>0</v>
      </c>
      <c r="AB492" s="1873">
        <f t="shared" si="190"/>
        <v>0</v>
      </c>
      <c r="AC492" s="1418">
        <f t="shared" si="175"/>
        <v>0</v>
      </c>
      <c r="AD492" s="1418">
        <f t="shared" si="176"/>
        <v>0</v>
      </c>
      <c r="AE492" s="1418">
        <v>2520.2399999999998</v>
      </c>
      <c r="AF492" s="1418">
        <f t="shared" si="177"/>
        <v>0</v>
      </c>
      <c r="AG492" s="1418">
        <v>15.63</v>
      </c>
      <c r="AH492" s="1418">
        <f t="shared" si="178"/>
        <v>0</v>
      </c>
      <c r="AI492" s="1428"/>
      <c r="AO492" s="2504">
        <v>2520.2399999999998</v>
      </c>
      <c r="AP492" s="1418">
        <f t="shared" si="186"/>
        <v>0</v>
      </c>
    </row>
    <row r="493" spans="1:42" s="1410" customFormat="1" ht="15.75">
      <c r="A493" s="2102"/>
      <c r="B493" s="1268" t="s">
        <v>2550</v>
      </c>
      <c r="C493" s="1241" t="s">
        <v>3275</v>
      </c>
      <c r="D493" s="1245" t="s">
        <v>36</v>
      </c>
      <c r="E493" s="1413">
        <v>60</v>
      </c>
      <c r="F493" s="1555">
        <v>15.06</v>
      </c>
      <c r="G493" s="1480">
        <v>15.98</v>
      </c>
      <c r="H493" s="1414">
        <v>16.43</v>
      </c>
      <c r="I493" s="1477">
        <f t="shared" si="173"/>
        <v>903.6</v>
      </c>
      <c r="J493" s="1477">
        <f t="shared" si="174"/>
        <v>958.8</v>
      </c>
      <c r="K493" s="1477">
        <v>12</v>
      </c>
      <c r="L493" s="1477">
        <f t="shared" si="179"/>
        <v>12</v>
      </c>
      <c r="M493" s="1477">
        <v>48</v>
      </c>
      <c r="N493" s="1477">
        <f t="shared" si="180"/>
        <v>48</v>
      </c>
      <c r="O493" s="1477">
        <f t="shared" si="181"/>
        <v>191.76</v>
      </c>
      <c r="P493" s="1477">
        <f t="shared" si="182"/>
        <v>767.04</v>
      </c>
      <c r="Q493" s="1477">
        <f t="shared" si="183"/>
        <v>788.64</v>
      </c>
      <c r="R493" s="1576">
        <f t="shared" si="184"/>
        <v>980.4</v>
      </c>
      <c r="S493" s="1869">
        <v>60</v>
      </c>
      <c r="T493" s="1866">
        <v>980.40000000000009</v>
      </c>
      <c r="U493" s="2442"/>
      <c r="V493" s="1866">
        <f t="shared" si="187"/>
        <v>0</v>
      </c>
      <c r="W493" s="1869">
        <f t="shared" si="193"/>
        <v>60</v>
      </c>
      <c r="X493" s="1870">
        <f t="shared" si="185"/>
        <v>980.40000000000009</v>
      </c>
      <c r="Y493" s="1871">
        <f t="shared" si="188"/>
        <v>1.0000000000000002</v>
      </c>
      <c r="Z493" s="1694">
        <f t="shared" si="194"/>
        <v>0</v>
      </c>
      <c r="AA493" s="1872">
        <f t="shared" si="189"/>
        <v>0</v>
      </c>
      <c r="AB493" s="1873">
        <f t="shared" si="190"/>
        <v>0</v>
      </c>
      <c r="AC493" s="1418">
        <f t="shared" si="175"/>
        <v>-1.1368683772161603E-13</v>
      </c>
      <c r="AD493" s="1418">
        <f t="shared" si="176"/>
        <v>0</v>
      </c>
      <c r="AE493" s="1418">
        <v>980.4</v>
      </c>
      <c r="AF493" s="1418">
        <f t="shared" si="177"/>
        <v>0</v>
      </c>
      <c r="AG493" s="1418">
        <v>16.43</v>
      </c>
      <c r="AH493" s="1418">
        <f t="shared" si="178"/>
        <v>0</v>
      </c>
      <c r="AI493" s="1428"/>
      <c r="AO493" s="2504">
        <v>980.40000000000009</v>
      </c>
      <c r="AP493" s="1418">
        <f t="shared" si="186"/>
        <v>0</v>
      </c>
    </row>
    <row r="494" spans="1:42" s="1410" customFormat="1" ht="15.75">
      <c r="A494" s="2102"/>
      <c r="B494" s="1268" t="s">
        <v>2551</v>
      </c>
      <c r="C494" s="1241" t="s">
        <v>3276</v>
      </c>
      <c r="D494" s="1245" t="s">
        <v>36</v>
      </c>
      <c r="E494" s="1413">
        <v>41</v>
      </c>
      <c r="F494" s="1555">
        <v>16.36</v>
      </c>
      <c r="G494" s="1480">
        <v>17.28</v>
      </c>
      <c r="H494" s="1414">
        <v>17.73</v>
      </c>
      <c r="I494" s="1477">
        <f t="shared" si="173"/>
        <v>670.76</v>
      </c>
      <c r="J494" s="1477">
        <f t="shared" si="174"/>
        <v>708.48</v>
      </c>
      <c r="K494" s="1477">
        <v>7</v>
      </c>
      <c r="L494" s="1477">
        <f t="shared" si="179"/>
        <v>7</v>
      </c>
      <c r="M494" s="1477">
        <v>34</v>
      </c>
      <c r="N494" s="1477">
        <f t="shared" si="180"/>
        <v>34</v>
      </c>
      <c r="O494" s="1477">
        <f t="shared" si="181"/>
        <v>120.96</v>
      </c>
      <c r="P494" s="1477">
        <f t="shared" si="182"/>
        <v>587.52</v>
      </c>
      <c r="Q494" s="1477">
        <f t="shared" si="183"/>
        <v>602.82000000000005</v>
      </c>
      <c r="R494" s="1576">
        <f t="shared" si="184"/>
        <v>723.78000000000009</v>
      </c>
      <c r="S494" s="1869">
        <v>41</v>
      </c>
      <c r="T494" s="1866">
        <v>723.78000000000009</v>
      </c>
      <c r="U494" s="2442"/>
      <c r="V494" s="1866">
        <f t="shared" si="187"/>
        <v>0</v>
      </c>
      <c r="W494" s="1869">
        <f t="shared" si="193"/>
        <v>41</v>
      </c>
      <c r="X494" s="1870">
        <f t="shared" si="185"/>
        <v>723.78000000000009</v>
      </c>
      <c r="Y494" s="1871">
        <f t="shared" si="188"/>
        <v>1</v>
      </c>
      <c r="Z494" s="1694">
        <f t="shared" si="194"/>
        <v>0</v>
      </c>
      <c r="AA494" s="1872">
        <f t="shared" si="189"/>
        <v>0</v>
      </c>
      <c r="AB494" s="1873">
        <f t="shared" si="190"/>
        <v>0</v>
      </c>
      <c r="AC494" s="1418">
        <f t="shared" si="175"/>
        <v>0</v>
      </c>
      <c r="AD494" s="1418">
        <f t="shared" si="176"/>
        <v>0</v>
      </c>
      <c r="AE494" s="1418">
        <v>723.78000000000009</v>
      </c>
      <c r="AF494" s="1418">
        <f t="shared" si="177"/>
        <v>0</v>
      </c>
      <c r="AG494" s="1418">
        <v>17.73</v>
      </c>
      <c r="AH494" s="1418">
        <f t="shared" si="178"/>
        <v>0</v>
      </c>
      <c r="AI494" s="1428"/>
      <c r="AO494" s="2504">
        <v>723.78000000000009</v>
      </c>
      <c r="AP494" s="1418">
        <f t="shared" si="186"/>
        <v>0</v>
      </c>
    </row>
    <row r="495" spans="1:42" s="1410" customFormat="1" ht="15.75">
      <c r="A495" s="2102"/>
      <c r="B495" s="1268" t="s">
        <v>2552</v>
      </c>
      <c r="C495" s="1241" t="s">
        <v>3277</v>
      </c>
      <c r="D495" s="1245" t="s">
        <v>36</v>
      </c>
      <c r="E495" s="1413">
        <v>26</v>
      </c>
      <c r="F495" s="1555">
        <v>18.66</v>
      </c>
      <c r="G495" s="1480">
        <v>19.579999999999998</v>
      </c>
      <c r="H495" s="1414">
        <v>20.03</v>
      </c>
      <c r="I495" s="1477">
        <f t="shared" si="173"/>
        <v>485.16</v>
      </c>
      <c r="J495" s="1477">
        <f t="shared" si="174"/>
        <v>509.08</v>
      </c>
      <c r="K495" s="1477">
        <v>8</v>
      </c>
      <c r="L495" s="1477">
        <f t="shared" si="179"/>
        <v>8</v>
      </c>
      <c r="M495" s="1477">
        <v>18</v>
      </c>
      <c r="N495" s="1477">
        <f t="shared" si="180"/>
        <v>18</v>
      </c>
      <c r="O495" s="1477">
        <f t="shared" si="181"/>
        <v>156.63999999999999</v>
      </c>
      <c r="P495" s="1477">
        <f t="shared" si="182"/>
        <v>352.44</v>
      </c>
      <c r="Q495" s="1477">
        <f t="shared" si="183"/>
        <v>360.54</v>
      </c>
      <c r="R495" s="1576">
        <f t="shared" si="184"/>
        <v>517.18000000000006</v>
      </c>
      <c r="S495" s="1869">
        <v>26</v>
      </c>
      <c r="T495" s="1866">
        <v>517.18000000000006</v>
      </c>
      <c r="U495" s="2442"/>
      <c r="V495" s="1866">
        <f t="shared" si="187"/>
        <v>0</v>
      </c>
      <c r="W495" s="1869">
        <f t="shared" si="193"/>
        <v>26</v>
      </c>
      <c r="X495" s="1870">
        <f t="shared" si="185"/>
        <v>517.18000000000006</v>
      </c>
      <c r="Y495" s="1871">
        <f t="shared" si="188"/>
        <v>1</v>
      </c>
      <c r="Z495" s="1694">
        <f t="shared" si="194"/>
        <v>0</v>
      </c>
      <c r="AA495" s="1872">
        <f t="shared" si="189"/>
        <v>0</v>
      </c>
      <c r="AB495" s="1873">
        <f t="shared" si="190"/>
        <v>0</v>
      </c>
      <c r="AC495" s="1418">
        <f t="shared" si="175"/>
        <v>0</v>
      </c>
      <c r="AD495" s="1418">
        <f t="shared" si="176"/>
        <v>0</v>
      </c>
      <c r="AE495" s="1418">
        <v>517.18000000000006</v>
      </c>
      <c r="AF495" s="1418">
        <f t="shared" si="177"/>
        <v>0</v>
      </c>
      <c r="AG495" s="1418">
        <v>20.03</v>
      </c>
      <c r="AH495" s="1418">
        <f t="shared" si="178"/>
        <v>0</v>
      </c>
      <c r="AI495" s="1428"/>
      <c r="AO495" s="2504">
        <v>397</v>
      </c>
      <c r="AP495" s="1418">
        <f t="shared" si="186"/>
        <v>-120.18000000000006</v>
      </c>
    </row>
    <row r="496" spans="1:42" s="1410" customFormat="1" ht="15.75">
      <c r="A496" s="2102"/>
      <c r="B496" s="1268" t="s">
        <v>2553</v>
      </c>
      <c r="C496" s="1241" t="s">
        <v>3278</v>
      </c>
      <c r="D496" s="1245" t="s">
        <v>36</v>
      </c>
      <c r="E496" s="1413">
        <v>2</v>
      </c>
      <c r="F496" s="1555">
        <v>22.16</v>
      </c>
      <c r="G496" s="1480">
        <v>23.08</v>
      </c>
      <c r="H496" s="1414">
        <v>23.53</v>
      </c>
      <c r="I496" s="1477">
        <f t="shared" si="173"/>
        <v>44.32</v>
      </c>
      <c r="J496" s="1477">
        <f t="shared" si="174"/>
        <v>46.16</v>
      </c>
      <c r="K496" s="1477">
        <v>0</v>
      </c>
      <c r="L496" s="1477">
        <f t="shared" si="179"/>
        <v>0</v>
      </c>
      <c r="M496" s="1477">
        <v>2</v>
      </c>
      <c r="N496" s="1477">
        <f t="shared" si="180"/>
        <v>2</v>
      </c>
      <c r="O496" s="1477">
        <f t="shared" si="181"/>
        <v>0</v>
      </c>
      <c r="P496" s="1477">
        <f t="shared" si="182"/>
        <v>46.16</v>
      </c>
      <c r="Q496" s="1477">
        <f t="shared" si="183"/>
        <v>47.06</v>
      </c>
      <c r="R496" s="1576">
        <f t="shared" si="184"/>
        <v>47.06</v>
      </c>
      <c r="S496" s="1869">
        <v>2</v>
      </c>
      <c r="T496" s="1866">
        <v>47.06</v>
      </c>
      <c r="U496" s="2442"/>
      <c r="V496" s="1866">
        <f t="shared" si="187"/>
        <v>0</v>
      </c>
      <c r="W496" s="1869">
        <f t="shared" si="193"/>
        <v>2</v>
      </c>
      <c r="X496" s="1870">
        <f t="shared" si="185"/>
        <v>47.06</v>
      </c>
      <c r="Y496" s="1871">
        <f t="shared" si="188"/>
        <v>1</v>
      </c>
      <c r="Z496" s="1694">
        <f t="shared" si="194"/>
        <v>0</v>
      </c>
      <c r="AA496" s="1872">
        <f t="shared" si="189"/>
        <v>0</v>
      </c>
      <c r="AB496" s="1873">
        <f t="shared" si="190"/>
        <v>0</v>
      </c>
      <c r="AC496" s="1418">
        <f t="shared" si="175"/>
        <v>0</v>
      </c>
      <c r="AD496" s="1418">
        <f t="shared" si="176"/>
        <v>0</v>
      </c>
      <c r="AE496" s="1418">
        <v>47.06</v>
      </c>
      <c r="AF496" s="1418">
        <f t="shared" si="177"/>
        <v>0</v>
      </c>
      <c r="AG496" s="1418">
        <v>23.53</v>
      </c>
      <c r="AH496" s="1418">
        <f t="shared" si="178"/>
        <v>0</v>
      </c>
      <c r="AI496" s="1428"/>
      <c r="AO496" s="2504">
        <v>47.06</v>
      </c>
      <c r="AP496" s="1418">
        <f t="shared" si="186"/>
        <v>0</v>
      </c>
    </row>
    <row r="497" spans="1:42" s="1410" customFormat="1" ht="15.75">
      <c r="A497" s="2102"/>
      <c r="B497" s="1268" t="s">
        <v>2554</v>
      </c>
      <c r="C497" s="1241" t="s">
        <v>3279</v>
      </c>
      <c r="D497" s="1245" t="s">
        <v>36</v>
      </c>
      <c r="E497" s="1413">
        <v>46</v>
      </c>
      <c r="F497" s="1555">
        <v>18.100000000000001</v>
      </c>
      <c r="G497" s="1480">
        <v>19.02</v>
      </c>
      <c r="H497" s="1414">
        <v>19.47</v>
      </c>
      <c r="I497" s="1477">
        <f t="shared" si="173"/>
        <v>832.6</v>
      </c>
      <c r="J497" s="1477">
        <f t="shared" si="174"/>
        <v>874.92</v>
      </c>
      <c r="K497" s="1477">
        <v>0</v>
      </c>
      <c r="L497" s="1477">
        <f t="shared" si="179"/>
        <v>0</v>
      </c>
      <c r="M497" s="1477">
        <v>46</v>
      </c>
      <c r="N497" s="1477">
        <f t="shared" si="180"/>
        <v>46</v>
      </c>
      <c r="O497" s="1477">
        <f t="shared" si="181"/>
        <v>0</v>
      </c>
      <c r="P497" s="1477">
        <f t="shared" si="182"/>
        <v>874.92</v>
      </c>
      <c r="Q497" s="1477">
        <f t="shared" si="183"/>
        <v>895.62</v>
      </c>
      <c r="R497" s="1576">
        <f t="shared" si="184"/>
        <v>895.62</v>
      </c>
      <c r="S497" s="1869">
        <v>14</v>
      </c>
      <c r="T497" s="1866">
        <v>272.58</v>
      </c>
      <c r="U497" s="2442">
        <v>2</v>
      </c>
      <c r="V497" s="1866">
        <f t="shared" si="187"/>
        <v>38.94</v>
      </c>
      <c r="W497" s="1869">
        <f t="shared" si="193"/>
        <v>16</v>
      </c>
      <c r="X497" s="1870">
        <f t="shared" si="185"/>
        <v>311.52</v>
      </c>
      <c r="Y497" s="1871">
        <f t="shared" si="188"/>
        <v>0.34782608695652173</v>
      </c>
      <c r="Z497" s="1694">
        <f t="shared" si="194"/>
        <v>30</v>
      </c>
      <c r="AA497" s="1872">
        <f t="shared" si="189"/>
        <v>584.09999999999991</v>
      </c>
      <c r="AB497" s="1873">
        <f t="shared" si="190"/>
        <v>0.65217391304347816</v>
      </c>
      <c r="AC497" s="1418">
        <f t="shared" si="175"/>
        <v>0</v>
      </c>
      <c r="AD497" s="1418">
        <f t="shared" si="176"/>
        <v>0</v>
      </c>
      <c r="AE497" s="1418">
        <v>895.61999999999989</v>
      </c>
      <c r="AF497" s="1418">
        <f t="shared" si="177"/>
        <v>0</v>
      </c>
      <c r="AG497" s="1418">
        <v>19.47</v>
      </c>
      <c r="AH497" s="1418">
        <f t="shared" si="178"/>
        <v>0</v>
      </c>
      <c r="AI497" s="1428"/>
      <c r="AO497" s="2504">
        <v>272.58</v>
      </c>
      <c r="AP497" s="1418">
        <f t="shared" si="186"/>
        <v>-38.94</v>
      </c>
    </row>
    <row r="498" spans="1:42" s="1410" customFormat="1" ht="15.75">
      <c r="A498" s="2102"/>
      <c r="B498" s="1268" t="s">
        <v>2555</v>
      </c>
      <c r="C498" s="1241" t="s">
        <v>3280</v>
      </c>
      <c r="D498" s="1245" t="s">
        <v>36</v>
      </c>
      <c r="E498" s="1413">
        <v>24</v>
      </c>
      <c r="F498" s="1555">
        <v>14.76</v>
      </c>
      <c r="G498" s="1480">
        <v>15.68</v>
      </c>
      <c r="H498" s="1414">
        <v>16.13</v>
      </c>
      <c r="I498" s="1477">
        <f t="shared" si="173"/>
        <v>354.24</v>
      </c>
      <c r="J498" s="1477">
        <f t="shared" si="174"/>
        <v>376.32</v>
      </c>
      <c r="K498" s="1477">
        <v>4</v>
      </c>
      <c r="L498" s="1477">
        <f t="shared" si="179"/>
        <v>4</v>
      </c>
      <c r="M498" s="1477">
        <v>20</v>
      </c>
      <c r="N498" s="1477">
        <f t="shared" si="180"/>
        <v>20</v>
      </c>
      <c r="O498" s="1477">
        <f t="shared" si="181"/>
        <v>62.72</v>
      </c>
      <c r="P498" s="1477">
        <f t="shared" si="182"/>
        <v>313.60000000000002</v>
      </c>
      <c r="Q498" s="1477">
        <f t="shared" si="183"/>
        <v>322.60000000000002</v>
      </c>
      <c r="R498" s="1576">
        <f t="shared" si="184"/>
        <v>385.32000000000005</v>
      </c>
      <c r="S498" s="1869">
        <v>24</v>
      </c>
      <c r="T498" s="1866">
        <v>385.31999999999994</v>
      </c>
      <c r="U498" s="2442"/>
      <c r="V498" s="1866">
        <f t="shared" si="187"/>
        <v>0</v>
      </c>
      <c r="W498" s="1869">
        <f t="shared" si="193"/>
        <v>24</v>
      </c>
      <c r="X498" s="1870">
        <f t="shared" si="185"/>
        <v>385.31999999999994</v>
      </c>
      <c r="Y498" s="1871">
        <f t="shared" si="188"/>
        <v>0.99999999999999967</v>
      </c>
      <c r="Z498" s="1694">
        <f t="shared" si="194"/>
        <v>0</v>
      </c>
      <c r="AA498" s="1872">
        <f t="shared" si="189"/>
        <v>0</v>
      </c>
      <c r="AB498" s="1873">
        <f t="shared" si="190"/>
        <v>0</v>
      </c>
      <c r="AC498" s="1418">
        <f t="shared" si="175"/>
        <v>1.1368683772161603E-13</v>
      </c>
      <c r="AD498" s="1418">
        <f t="shared" si="176"/>
        <v>0</v>
      </c>
      <c r="AE498" s="1418">
        <v>385.31999999999994</v>
      </c>
      <c r="AF498" s="1418">
        <f t="shared" si="177"/>
        <v>0</v>
      </c>
      <c r="AG498" s="1418">
        <v>16.13</v>
      </c>
      <c r="AH498" s="1418">
        <f t="shared" si="178"/>
        <v>0</v>
      </c>
      <c r="AI498" s="1428"/>
      <c r="AO498" s="2504">
        <v>385.31999999999994</v>
      </c>
      <c r="AP498" s="1418">
        <f t="shared" si="186"/>
        <v>0</v>
      </c>
    </row>
    <row r="499" spans="1:42" s="1410" customFormat="1" ht="15.75">
      <c r="A499" s="2102"/>
      <c r="B499" s="1268" t="s">
        <v>2556</v>
      </c>
      <c r="C499" s="1241" t="s">
        <v>3281</v>
      </c>
      <c r="D499" s="1245" t="s">
        <v>36</v>
      </c>
      <c r="E499" s="1413">
        <v>66</v>
      </c>
      <c r="F499" s="1555">
        <v>15.66</v>
      </c>
      <c r="G499" s="1480">
        <v>16.579999999999998</v>
      </c>
      <c r="H499" s="1414">
        <v>17.03</v>
      </c>
      <c r="I499" s="1477">
        <f t="shared" si="173"/>
        <v>1033.56</v>
      </c>
      <c r="J499" s="1477">
        <f t="shared" si="174"/>
        <v>1094.28</v>
      </c>
      <c r="K499" s="1477">
        <v>0</v>
      </c>
      <c r="L499" s="1477">
        <f t="shared" si="179"/>
        <v>0</v>
      </c>
      <c r="M499" s="1477">
        <v>66</v>
      </c>
      <c r="N499" s="1477">
        <f t="shared" si="180"/>
        <v>66</v>
      </c>
      <c r="O499" s="1477">
        <f t="shared" si="181"/>
        <v>0</v>
      </c>
      <c r="P499" s="1477">
        <f t="shared" si="182"/>
        <v>1094.28</v>
      </c>
      <c r="Q499" s="1477">
        <f t="shared" si="183"/>
        <v>1123.98</v>
      </c>
      <c r="R499" s="1576">
        <f t="shared" si="184"/>
        <v>1123.98</v>
      </c>
      <c r="S499" s="1869">
        <v>66</v>
      </c>
      <c r="T499" s="1866">
        <v>1123.98</v>
      </c>
      <c r="U499" s="2442"/>
      <c r="V499" s="1866">
        <f t="shared" si="187"/>
        <v>0</v>
      </c>
      <c r="W499" s="1869">
        <f t="shared" si="193"/>
        <v>66</v>
      </c>
      <c r="X499" s="1870">
        <f t="shared" si="185"/>
        <v>1123.98</v>
      </c>
      <c r="Y499" s="1871">
        <f t="shared" si="188"/>
        <v>1</v>
      </c>
      <c r="Z499" s="1694">
        <f t="shared" si="194"/>
        <v>0</v>
      </c>
      <c r="AA499" s="1872">
        <f t="shared" si="189"/>
        <v>0</v>
      </c>
      <c r="AB499" s="1873">
        <f t="shared" si="190"/>
        <v>0</v>
      </c>
      <c r="AC499" s="1418">
        <f t="shared" si="175"/>
        <v>0</v>
      </c>
      <c r="AD499" s="1418">
        <f t="shared" si="176"/>
        <v>0</v>
      </c>
      <c r="AE499" s="1418">
        <v>1123.98</v>
      </c>
      <c r="AF499" s="1418">
        <f t="shared" si="177"/>
        <v>0</v>
      </c>
      <c r="AG499" s="1418">
        <v>17.03</v>
      </c>
      <c r="AH499" s="1418">
        <f t="shared" si="178"/>
        <v>0</v>
      </c>
      <c r="AI499" s="1428"/>
      <c r="AO499" s="2504">
        <v>1123.98</v>
      </c>
      <c r="AP499" s="1418">
        <f t="shared" si="186"/>
        <v>0</v>
      </c>
    </row>
    <row r="500" spans="1:42" s="1410" customFormat="1" ht="15.75">
      <c r="A500" s="2102"/>
      <c r="B500" s="1268" t="s">
        <v>2557</v>
      </c>
      <c r="C500" s="1241" t="s">
        <v>3282</v>
      </c>
      <c r="D500" s="1245" t="s">
        <v>36</v>
      </c>
      <c r="E500" s="1413">
        <v>84</v>
      </c>
      <c r="F500" s="1555">
        <v>17.46</v>
      </c>
      <c r="G500" s="1480">
        <v>18.38</v>
      </c>
      <c r="H500" s="1414">
        <v>18.829999999999998</v>
      </c>
      <c r="I500" s="1477">
        <f t="shared" si="173"/>
        <v>1466.64</v>
      </c>
      <c r="J500" s="1477">
        <f t="shared" si="174"/>
        <v>1543.92</v>
      </c>
      <c r="K500" s="1477">
        <v>4</v>
      </c>
      <c r="L500" s="1477">
        <f t="shared" si="179"/>
        <v>4</v>
      </c>
      <c r="M500" s="1477">
        <v>80</v>
      </c>
      <c r="N500" s="1477">
        <f t="shared" si="180"/>
        <v>80</v>
      </c>
      <c r="O500" s="1477">
        <f t="shared" si="181"/>
        <v>73.52</v>
      </c>
      <c r="P500" s="1477">
        <f t="shared" si="182"/>
        <v>1470.4</v>
      </c>
      <c r="Q500" s="1477">
        <f t="shared" si="183"/>
        <v>1506.4</v>
      </c>
      <c r="R500" s="1576">
        <f t="shared" si="184"/>
        <v>1579.92</v>
      </c>
      <c r="S500" s="1869">
        <v>84</v>
      </c>
      <c r="T500" s="1866">
        <v>1579.9199999999998</v>
      </c>
      <c r="U500" s="2442"/>
      <c r="V500" s="1866">
        <f t="shared" si="187"/>
        <v>0</v>
      </c>
      <c r="W500" s="1869">
        <f t="shared" si="193"/>
        <v>84</v>
      </c>
      <c r="X500" s="1870">
        <f t="shared" si="185"/>
        <v>1579.9199999999998</v>
      </c>
      <c r="Y500" s="1871">
        <f t="shared" si="188"/>
        <v>0.99999999999999989</v>
      </c>
      <c r="Z500" s="1694">
        <f t="shared" si="194"/>
        <v>0</v>
      </c>
      <c r="AA500" s="1872">
        <f t="shared" si="189"/>
        <v>0</v>
      </c>
      <c r="AB500" s="1873">
        <f t="shared" si="190"/>
        <v>0</v>
      </c>
      <c r="AC500" s="1418">
        <f t="shared" si="175"/>
        <v>2.2737367544323206E-13</v>
      </c>
      <c r="AD500" s="1418">
        <f t="shared" si="176"/>
        <v>0</v>
      </c>
      <c r="AE500" s="1418">
        <v>1579.9199999999998</v>
      </c>
      <c r="AF500" s="1418">
        <f t="shared" si="177"/>
        <v>0</v>
      </c>
      <c r="AG500" s="1418">
        <v>18.829999999999998</v>
      </c>
      <c r="AH500" s="1418">
        <f t="shared" si="178"/>
        <v>0</v>
      </c>
      <c r="AI500" s="1428"/>
      <c r="AO500" s="2504">
        <v>1579.9199999999998</v>
      </c>
      <c r="AP500" s="1418">
        <f t="shared" si="186"/>
        <v>0</v>
      </c>
    </row>
    <row r="501" spans="1:42" s="1410" customFormat="1" ht="15.75">
      <c r="A501" s="2102"/>
      <c r="B501" s="1268" t="s">
        <v>2558</v>
      </c>
      <c r="C501" s="1241" t="s">
        <v>3283</v>
      </c>
      <c r="D501" s="1245" t="s">
        <v>36</v>
      </c>
      <c r="E501" s="1413">
        <v>15</v>
      </c>
      <c r="F501" s="1555">
        <v>20.76</v>
      </c>
      <c r="G501" s="1480">
        <v>21.68</v>
      </c>
      <c r="H501" s="1414">
        <v>22.13</v>
      </c>
      <c r="I501" s="1477">
        <f t="shared" si="173"/>
        <v>311.39999999999998</v>
      </c>
      <c r="J501" s="1477">
        <f t="shared" si="174"/>
        <v>325.2</v>
      </c>
      <c r="K501" s="1477">
        <v>3</v>
      </c>
      <c r="L501" s="1477">
        <f t="shared" si="179"/>
        <v>3</v>
      </c>
      <c r="M501" s="1477">
        <v>12</v>
      </c>
      <c r="N501" s="1477">
        <f t="shared" si="180"/>
        <v>12</v>
      </c>
      <c r="O501" s="1477">
        <f t="shared" si="181"/>
        <v>65.040000000000006</v>
      </c>
      <c r="P501" s="1477">
        <f t="shared" si="182"/>
        <v>260.16000000000003</v>
      </c>
      <c r="Q501" s="1477">
        <f t="shared" si="183"/>
        <v>265.56</v>
      </c>
      <c r="R501" s="1576">
        <f t="shared" si="184"/>
        <v>330.6</v>
      </c>
      <c r="S501" s="1869">
        <v>15</v>
      </c>
      <c r="T501" s="1866">
        <v>330.59999999999997</v>
      </c>
      <c r="U501" s="2442"/>
      <c r="V501" s="1866">
        <f t="shared" si="187"/>
        <v>0</v>
      </c>
      <c r="W501" s="1869">
        <f t="shared" si="193"/>
        <v>15</v>
      </c>
      <c r="X501" s="1870">
        <f t="shared" si="185"/>
        <v>330.59999999999997</v>
      </c>
      <c r="Y501" s="1871">
        <f t="shared" si="188"/>
        <v>0.99999999999999978</v>
      </c>
      <c r="Z501" s="1694">
        <f t="shared" si="194"/>
        <v>0</v>
      </c>
      <c r="AA501" s="1872">
        <f t="shared" si="189"/>
        <v>0</v>
      </c>
      <c r="AB501" s="1873">
        <f t="shared" si="190"/>
        <v>0</v>
      </c>
      <c r="AC501" s="1418">
        <f t="shared" si="175"/>
        <v>5.6843418860808015E-14</v>
      </c>
      <c r="AD501" s="1418">
        <f t="shared" si="176"/>
        <v>0</v>
      </c>
      <c r="AE501" s="1418">
        <v>330.6</v>
      </c>
      <c r="AF501" s="1418">
        <f t="shared" si="177"/>
        <v>0</v>
      </c>
      <c r="AG501" s="1418">
        <v>22.13</v>
      </c>
      <c r="AH501" s="1418">
        <f t="shared" si="178"/>
        <v>0</v>
      </c>
      <c r="AI501" s="1428"/>
      <c r="AO501" s="2504">
        <v>330.59999999999997</v>
      </c>
      <c r="AP501" s="1418">
        <f t="shared" si="186"/>
        <v>0</v>
      </c>
    </row>
    <row r="502" spans="1:42" s="1410" customFormat="1" ht="15.75">
      <c r="A502" s="2102"/>
      <c r="B502" s="1268" t="s">
        <v>2559</v>
      </c>
      <c r="C502" s="1241" t="s">
        <v>3284</v>
      </c>
      <c r="D502" s="1245" t="s">
        <v>36</v>
      </c>
      <c r="E502" s="1413">
        <v>6</v>
      </c>
      <c r="F502" s="1555">
        <v>25.56</v>
      </c>
      <c r="G502" s="1480">
        <v>26.48</v>
      </c>
      <c r="H502" s="1414">
        <v>26.93</v>
      </c>
      <c r="I502" s="1477">
        <f t="shared" si="173"/>
        <v>153.36000000000001</v>
      </c>
      <c r="J502" s="1477">
        <f t="shared" si="174"/>
        <v>158.88</v>
      </c>
      <c r="K502" s="1477">
        <v>0</v>
      </c>
      <c r="L502" s="1477">
        <f t="shared" si="179"/>
        <v>0</v>
      </c>
      <c r="M502" s="1477">
        <v>6</v>
      </c>
      <c r="N502" s="1477">
        <f t="shared" si="180"/>
        <v>6</v>
      </c>
      <c r="O502" s="1477">
        <f t="shared" si="181"/>
        <v>0</v>
      </c>
      <c r="P502" s="1477">
        <f t="shared" si="182"/>
        <v>158.88</v>
      </c>
      <c r="Q502" s="1477">
        <f t="shared" si="183"/>
        <v>161.58000000000001</v>
      </c>
      <c r="R502" s="1576">
        <f t="shared" si="184"/>
        <v>161.58000000000001</v>
      </c>
      <c r="S502" s="1869">
        <v>6</v>
      </c>
      <c r="T502" s="1866">
        <v>161.57999999999998</v>
      </c>
      <c r="U502" s="2442"/>
      <c r="V502" s="1866">
        <f t="shared" si="187"/>
        <v>0</v>
      </c>
      <c r="W502" s="1869">
        <f t="shared" si="193"/>
        <v>6</v>
      </c>
      <c r="X502" s="1870">
        <f t="shared" si="185"/>
        <v>161.57999999999998</v>
      </c>
      <c r="Y502" s="1871">
        <f t="shared" si="188"/>
        <v>0.99999999999999978</v>
      </c>
      <c r="Z502" s="1694">
        <f t="shared" si="194"/>
        <v>0</v>
      </c>
      <c r="AA502" s="1872">
        <f t="shared" si="189"/>
        <v>0</v>
      </c>
      <c r="AB502" s="1873">
        <f t="shared" si="190"/>
        <v>0</v>
      </c>
      <c r="AC502" s="1418">
        <f t="shared" si="175"/>
        <v>2.8421709430404007E-14</v>
      </c>
      <c r="AD502" s="1418">
        <f t="shared" si="176"/>
        <v>0</v>
      </c>
      <c r="AE502" s="1418">
        <v>161.57999999999998</v>
      </c>
      <c r="AF502" s="1418">
        <f t="shared" si="177"/>
        <v>0</v>
      </c>
      <c r="AG502" s="1418">
        <v>26.93</v>
      </c>
      <c r="AH502" s="1418">
        <f t="shared" si="178"/>
        <v>0</v>
      </c>
      <c r="AI502" s="1428"/>
      <c r="AO502" s="2504">
        <v>0</v>
      </c>
      <c r="AP502" s="1418">
        <f t="shared" si="186"/>
        <v>-161.57999999999998</v>
      </c>
    </row>
    <row r="503" spans="1:42" s="1410" customFormat="1" ht="15.75">
      <c r="A503" s="2102"/>
      <c r="B503" s="1268" t="s">
        <v>2560</v>
      </c>
      <c r="C503" s="1241" t="s">
        <v>3285</v>
      </c>
      <c r="D503" s="1245" t="s">
        <v>36</v>
      </c>
      <c r="E503" s="1413">
        <v>63</v>
      </c>
      <c r="F503" s="1555">
        <v>14.46</v>
      </c>
      <c r="G503" s="1480">
        <v>15.38</v>
      </c>
      <c r="H503" s="1414">
        <v>15.83</v>
      </c>
      <c r="I503" s="1477">
        <f t="shared" si="173"/>
        <v>910.98</v>
      </c>
      <c r="J503" s="1477">
        <f t="shared" si="174"/>
        <v>968.94</v>
      </c>
      <c r="K503" s="1477">
        <v>7</v>
      </c>
      <c r="L503" s="1477">
        <f t="shared" si="179"/>
        <v>7</v>
      </c>
      <c r="M503" s="1477">
        <v>56</v>
      </c>
      <c r="N503" s="1477">
        <f t="shared" si="180"/>
        <v>56</v>
      </c>
      <c r="O503" s="1477">
        <f t="shared" si="181"/>
        <v>107.66</v>
      </c>
      <c r="P503" s="1477">
        <f t="shared" si="182"/>
        <v>861.28</v>
      </c>
      <c r="Q503" s="1477">
        <f t="shared" si="183"/>
        <v>886.48</v>
      </c>
      <c r="R503" s="1576">
        <f t="shared" si="184"/>
        <v>994.14</v>
      </c>
      <c r="S503" s="1869">
        <v>63</v>
      </c>
      <c r="T503" s="1866">
        <v>994.14</v>
      </c>
      <c r="U503" s="2442"/>
      <c r="V503" s="1866">
        <f t="shared" si="187"/>
        <v>0</v>
      </c>
      <c r="W503" s="1869">
        <f t="shared" si="193"/>
        <v>63</v>
      </c>
      <c r="X503" s="1870">
        <f t="shared" si="185"/>
        <v>994.14</v>
      </c>
      <c r="Y503" s="1871">
        <f t="shared" si="188"/>
        <v>1</v>
      </c>
      <c r="Z503" s="1694">
        <f t="shared" si="194"/>
        <v>0</v>
      </c>
      <c r="AA503" s="1872">
        <f t="shared" si="189"/>
        <v>0</v>
      </c>
      <c r="AB503" s="1873">
        <f t="shared" si="190"/>
        <v>0</v>
      </c>
      <c r="AC503" s="1418">
        <f t="shared" si="175"/>
        <v>0</v>
      </c>
      <c r="AD503" s="1418">
        <f t="shared" si="176"/>
        <v>0</v>
      </c>
      <c r="AE503" s="1418">
        <v>994.14</v>
      </c>
      <c r="AF503" s="1418">
        <f t="shared" si="177"/>
        <v>0</v>
      </c>
      <c r="AG503" s="1418">
        <v>15.83</v>
      </c>
      <c r="AH503" s="1418">
        <f t="shared" si="178"/>
        <v>0</v>
      </c>
      <c r="AI503" s="1428"/>
      <c r="AO503" s="2504">
        <v>994.14</v>
      </c>
      <c r="AP503" s="1418">
        <f t="shared" si="186"/>
        <v>0</v>
      </c>
    </row>
    <row r="504" spans="1:42" s="1410" customFormat="1" ht="15.75">
      <c r="A504" s="2102"/>
      <c r="B504" s="1268" t="s">
        <v>2561</v>
      </c>
      <c r="C504" s="1241" t="s">
        <v>3286</v>
      </c>
      <c r="D504" s="1245" t="s">
        <v>36</v>
      </c>
      <c r="E504" s="1413">
        <v>77</v>
      </c>
      <c r="F504" s="1555">
        <v>14.66</v>
      </c>
      <c r="G504" s="1480">
        <v>15.58</v>
      </c>
      <c r="H504" s="1414">
        <v>16.03</v>
      </c>
      <c r="I504" s="1477">
        <f t="shared" si="173"/>
        <v>1128.82</v>
      </c>
      <c r="J504" s="1477">
        <f t="shared" si="174"/>
        <v>1199.6600000000001</v>
      </c>
      <c r="K504" s="1477">
        <v>7</v>
      </c>
      <c r="L504" s="1477">
        <f t="shared" si="179"/>
        <v>7</v>
      </c>
      <c r="M504" s="1477">
        <v>70</v>
      </c>
      <c r="N504" s="1477">
        <f t="shared" si="180"/>
        <v>70</v>
      </c>
      <c r="O504" s="1477">
        <f t="shared" si="181"/>
        <v>109.06</v>
      </c>
      <c r="P504" s="1477">
        <f t="shared" si="182"/>
        <v>1090.5999999999999</v>
      </c>
      <c r="Q504" s="1477">
        <f t="shared" si="183"/>
        <v>1122.0999999999999</v>
      </c>
      <c r="R504" s="1576">
        <f t="shared" si="184"/>
        <v>1231.1599999999999</v>
      </c>
      <c r="S504" s="1869">
        <v>77</v>
      </c>
      <c r="T504" s="1866">
        <v>1231.1600000000001</v>
      </c>
      <c r="U504" s="2442"/>
      <c r="V504" s="1866">
        <f t="shared" si="187"/>
        <v>0</v>
      </c>
      <c r="W504" s="1869">
        <f t="shared" si="193"/>
        <v>77</v>
      </c>
      <c r="X504" s="1870">
        <f t="shared" si="185"/>
        <v>1231.1600000000001</v>
      </c>
      <c r="Y504" s="1871">
        <f t="shared" si="188"/>
        <v>1.0000000000000002</v>
      </c>
      <c r="Z504" s="1694">
        <f t="shared" si="194"/>
        <v>0</v>
      </c>
      <c r="AA504" s="1872">
        <f t="shared" si="189"/>
        <v>0</v>
      </c>
      <c r="AB504" s="1873">
        <f t="shared" si="190"/>
        <v>0</v>
      </c>
      <c r="AC504" s="1418">
        <f t="shared" si="175"/>
        <v>-2.2737367544323206E-13</v>
      </c>
      <c r="AD504" s="1418">
        <f t="shared" si="176"/>
        <v>0</v>
      </c>
      <c r="AE504" s="1418">
        <v>1231.1600000000003</v>
      </c>
      <c r="AF504" s="1418">
        <f t="shared" si="177"/>
        <v>0</v>
      </c>
      <c r="AG504" s="1418">
        <v>16.03</v>
      </c>
      <c r="AH504" s="1418">
        <f t="shared" si="178"/>
        <v>0</v>
      </c>
      <c r="AI504" s="1428"/>
      <c r="AO504" s="2504">
        <v>1054.8300000000002</v>
      </c>
      <c r="AP504" s="1418">
        <f t="shared" si="186"/>
        <v>-176.32999999999993</v>
      </c>
    </row>
    <row r="505" spans="1:42" s="1410" customFormat="1" ht="15.75">
      <c r="A505" s="2102"/>
      <c r="B505" s="1268" t="s">
        <v>2562</v>
      </c>
      <c r="C505" s="1241" t="s">
        <v>3287</v>
      </c>
      <c r="D505" s="1245" t="s">
        <v>36</v>
      </c>
      <c r="E505" s="1413">
        <v>14</v>
      </c>
      <c r="F505" s="1555">
        <v>14.56</v>
      </c>
      <c r="G505" s="1480">
        <v>15.48</v>
      </c>
      <c r="H505" s="1414">
        <v>15.93</v>
      </c>
      <c r="I505" s="1477">
        <f t="shared" si="173"/>
        <v>203.84</v>
      </c>
      <c r="J505" s="1477">
        <f t="shared" si="174"/>
        <v>216.72</v>
      </c>
      <c r="K505" s="1477">
        <v>3</v>
      </c>
      <c r="L505" s="1477">
        <f t="shared" si="179"/>
        <v>3</v>
      </c>
      <c r="M505" s="1477">
        <v>11</v>
      </c>
      <c r="N505" s="1477">
        <f t="shared" si="180"/>
        <v>11</v>
      </c>
      <c r="O505" s="1477">
        <f t="shared" si="181"/>
        <v>46.44</v>
      </c>
      <c r="P505" s="1477">
        <f t="shared" si="182"/>
        <v>170.28</v>
      </c>
      <c r="Q505" s="1477">
        <f t="shared" si="183"/>
        <v>175.23</v>
      </c>
      <c r="R505" s="1576">
        <f t="shared" si="184"/>
        <v>221.67</v>
      </c>
      <c r="S505" s="1869">
        <v>14</v>
      </c>
      <c r="T505" s="1866">
        <v>221.67</v>
      </c>
      <c r="U505" s="2442"/>
      <c r="V505" s="1866">
        <f t="shared" si="187"/>
        <v>0</v>
      </c>
      <c r="W505" s="1869">
        <f t="shared" si="193"/>
        <v>14</v>
      </c>
      <c r="X505" s="1870">
        <f t="shared" si="185"/>
        <v>221.67</v>
      </c>
      <c r="Y505" s="1871">
        <f t="shared" si="188"/>
        <v>1</v>
      </c>
      <c r="Z505" s="1694">
        <f t="shared" si="194"/>
        <v>0</v>
      </c>
      <c r="AA505" s="1872">
        <f t="shared" si="189"/>
        <v>0</v>
      </c>
      <c r="AB505" s="1873">
        <f t="shared" si="190"/>
        <v>0</v>
      </c>
      <c r="AC505" s="1418">
        <f t="shared" si="175"/>
        <v>0</v>
      </c>
      <c r="AD505" s="1418">
        <f t="shared" si="176"/>
        <v>0</v>
      </c>
      <c r="AE505" s="1418">
        <v>221.67</v>
      </c>
      <c r="AF505" s="1418">
        <f t="shared" si="177"/>
        <v>0</v>
      </c>
      <c r="AG505" s="1418">
        <v>15.93</v>
      </c>
      <c r="AH505" s="1418">
        <f t="shared" si="178"/>
        <v>0</v>
      </c>
      <c r="AI505" s="1428"/>
      <c r="AO505" s="2504">
        <v>221.67</v>
      </c>
      <c r="AP505" s="1418">
        <f t="shared" si="186"/>
        <v>0</v>
      </c>
    </row>
    <row r="506" spans="1:42" s="1410" customFormat="1" ht="15.75">
      <c r="A506" s="2102"/>
      <c r="B506" s="1268" t="s">
        <v>2563</v>
      </c>
      <c r="C506" s="1241" t="s">
        <v>3288</v>
      </c>
      <c r="D506" s="1245" t="s">
        <v>36</v>
      </c>
      <c r="E506" s="1413">
        <v>9</v>
      </c>
      <c r="F506" s="1555">
        <v>14.66</v>
      </c>
      <c r="G506" s="1480">
        <v>15.58</v>
      </c>
      <c r="H506" s="1414">
        <v>16.03</v>
      </c>
      <c r="I506" s="1477">
        <f t="shared" si="173"/>
        <v>131.94</v>
      </c>
      <c r="J506" s="1477">
        <f t="shared" si="174"/>
        <v>140.22</v>
      </c>
      <c r="K506" s="1477">
        <v>0</v>
      </c>
      <c r="L506" s="1477">
        <f t="shared" si="179"/>
        <v>0</v>
      </c>
      <c r="M506" s="1477">
        <v>9</v>
      </c>
      <c r="N506" s="1477">
        <f t="shared" si="180"/>
        <v>9</v>
      </c>
      <c r="O506" s="1477">
        <f t="shared" si="181"/>
        <v>0</v>
      </c>
      <c r="P506" s="1477">
        <f t="shared" si="182"/>
        <v>140.22</v>
      </c>
      <c r="Q506" s="1477">
        <f t="shared" si="183"/>
        <v>144.27000000000001</v>
      </c>
      <c r="R506" s="1576">
        <f t="shared" si="184"/>
        <v>144.27000000000001</v>
      </c>
      <c r="S506" s="1869">
        <v>9</v>
      </c>
      <c r="T506" s="1866">
        <v>144.27000000000001</v>
      </c>
      <c r="U506" s="2442"/>
      <c r="V506" s="1866">
        <f t="shared" si="187"/>
        <v>0</v>
      </c>
      <c r="W506" s="1869">
        <f t="shared" si="193"/>
        <v>9</v>
      </c>
      <c r="X506" s="1870">
        <f t="shared" si="185"/>
        <v>144.27000000000001</v>
      </c>
      <c r="Y506" s="1871">
        <f t="shared" si="188"/>
        <v>1</v>
      </c>
      <c r="Z506" s="1694">
        <f t="shared" si="194"/>
        <v>0</v>
      </c>
      <c r="AA506" s="1872">
        <f t="shared" si="189"/>
        <v>0</v>
      </c>
      <c r="AB506" s="1873">
        <f t="shared" si="190"/>
        <v>0</v>
      </c>
      <c r="AC506" s="1418">
        <f t="shared" si="175"/>
        <v>0</v>
      </c>
      <c r="AD506" s="1418">
        <f t="shared" si="176"/>
        <v>0</v>
      </c>
      <c r="AE506" s="1418">
        <v>144.27000000000001</v>
      </c>
      <c r="AF506" s="1418">
        <f t="shared" si="177"/>
        <v>0</v>
      </c>
      <c r="AG506" s="1418">
        <v>16.03</v>
      </c>
      <c r="AH506" s="1418">
        <f t="shared" si="178"/>
        <v>0</v>
      </c>
      <c r="AI506" s="1428"/>
      <c r="AO506" s="2504">
        <v>80.150000000000006</v>
      </c>
      <c r="AP506" s="1418">
        <f t="shared" si="186"/>
        <v>-64.12</v>
      </c>
    </row>
    <row r="507" spans="1:42" s="1410" customFormat="1" ht="15.75">
      <c r="A507" s="2102"/>
      <c r="B507" s="1268" t="s">
        <v>2564</v>
      </c>
      <c r="C507" s="1241" t="s">
        <v>3289</v>
      </c>
      <c r="D507" s="1245" t="s">
        <v>36</v>
      </c>
      <c r="E507" s="1413">
        <v>13</v>
      </c>
      <c r="F507" s="1555">
        <v>14.66</v>
      </c>
      <c r="G507" s="1480">
        <v>15.58</v>
      </c>
      <c r="H507" s="1414">
        <v>16.03</v>
      </c>
      <c r="I507" s="1477">
        <f t="shared" si="173"/>
        <v>190.58</v>
      </c>
      <c r="J507" s="1477">
        <f t="shared" si="174"/>
        <v>202.54</v>
      </c>
      <c r="K507" s="1477">
        <v>0</v>
      </c>
      <c r="L507" s="1477">
        <f t="shared" si="179"/>
        <v>0</v>
      </c>
      <c r="M507" s="1477">
        <v>13</v>
      </c>
      <c r="N507" s="1477">
        <f t="shared" si="180"/>
        <v>13</v>
      </c>
      <c r="O507" s="1477">
        <f t="shared" si="181"/>
        <v>0</v>
      </c>
      <c r="P507" s="1477">
        <f t="shared" si="182"/>
        <v>202.54</v>
      </c>
      <c r="Q507" s="1477">
        <f t="shared" si="183"/>
        <v>208.39</v>
      </c>
      <c r="R507" s="1576">
        <f t="shared" si="184"/>
        <v>208.39</v>
      </c>
      <c r="S507" s="1869">
        <v>13</v>
      </c>
      <c r="T507" s="1866">
        <v>208.39000000000001</v>
      </c>
      <c r="U507" s="2442"/>
      <c r="V507" s="1866">
        <f t="shared" si="187"/>
        <v>0</v>
      </c>
      <c r="W507" s="1869">
        <f t="shared" si="193"/>
        <v>13</v>
      </c>
      <c r="X507" s="1870">
        <f t="shared" si="185"/>
        <v>208.39000000000001</v>
      </c>
      <c r="Y507" s="1871">
        <f t="shared" si="188"/>
        <v>1.0000000000000002</v>
      </c>
      <c r="Z507" s="1694">
        <f t="shared" si="194"/>
        <v>0</v>
      </c>
      <c r="AA507" s="1872">
        <f t="shared" si="189"/>
        <v>0</v>
      </c>
      <c r="AB507" s="1873">
        <f t="shared" si="190"/>
        <v>0</v>
      </c>
      <c r="AC507" s="1418">
        <f t="shared" si="175"/>
        <v>-2.8421709430404007E-14</v>
      </c>
      <c r="AD507" s="1418">
        <f t="shared" si="176"/>
        <v>0</v>
      </c>
      <c r="AE507" s="1418">
        <v>208.39000000000001</v>
      </c>
      <c r="AF507" s="1418">
        <f t="shared" si="177"/>
        <v>0</v>
      </c>
      <c r="AG507" s="1418">
        <v>16.03</v>
      </c>
      <c r="AH507" s="1418">
        <f t="shared" si="178"/>
        <v>0</v>
      </c>
      <c r="AI507" s="1428"/>
      <c r="AO507" s="2504">
        <v>208.39000000000001</v>
      </c>
      <c r="AP507" s="1418">
        <f t="shared" si="186"/>
        <v>0</v>
      </c>
    </row>
    <row r="508" spans="1:42" s="1410" customFormat="1" ht="15.75">
      <c r="A508" s="2102"/>
      <c r="B508" s="1268" t="s">
        <v>2565</v>
      </c>
      <c r="C508" s="1241" t="s">
        <v>3290</v>
      </c>
      <c r="D508" s="1245" t="s">
        <v>36</v>
      </c>
      <c r="E508" s="1413">
        <v>33</v>
      </c>
      <c r="F508" s="1555">
        <v>14.16</v>
      </c>
      <c r="G508" s="1480">
        <v>15.08</v>
      </c>
      <c r="H508" s="1414">
        <v>15.53</v>
      </c>
      <c r="I508" s="1477">
        <f t="shared" si="173"/>
        <v>467.28</v>
      </c>
      <c r="J508" s="1477">
        <f t="shared" si="174"/>
        <v>497.64</v>
      </c>
      <c r="K508" s="1477">
        <v>4</v>
      </c>
      <c r="L508" s="1477">
        <f t="shared" si="179"/>
        <v>4</v>
      </c>
      <c r="M508" s="1477">
        <v>29</v>
      </c>
      <c r="N508" s="1477">
        <f t="shared" si="180"/>
        <v>29</v>
      </c>
      <c r="O508" s="1477">
        <f t="shared" si="181"/>
        <v>60.32</v>
      </c>
      <c r="P508" s="1477">
        <f t="shared" si="182"/>
        <v>437.32</v>
      </c>
      <c r="Q508" s="1477">
        <f t="shared" si="183"/>
        <v>450.37</v>
      </c>
      <c r="R508" s="1576">
        <f t="shared" si="184"/>
        <v>510.69</v>
      </c>
      <c r="S508" s="1869">
        <v>33</v>
      </c>
      <c r="T508" s="1866">
        <v>510.69</v>
      </c>
      <c r="U508" s="2442"/>
      <c r="V508" s="1866">
        <f t="shared" si="187"/>
        <v>0</v>
      </c>
      <c r="W508" s="1869">
        <f t="shared" si="193"/>
        <v>33</v>
      </c>
      <c r="X508" s="1870">
        <f t="shared" si="185"/>
        <v>510.69</v>
      </c>
      <c r="Y508" s="1871">
        <f t="shared" si="188"/>
        <v>1</v>
      </c>
      <c r="Z508" s="1694">
        <f t="shared" si="194"/>
        <v>0</v>
      </c>
      <c r="AA508" s="1872">
        <f t="shared" si="189"/>
        <v>0</v>
      </c>
      <c r="AB508" s="1873">
        <f t="shared" si="190"/>
        <v>0</v>
      </c>
      <c r="AC508" s="1418">
        <f t="shared" si="175"/>
        <v>0</v>
      </c>
      <c r="AD508" s="1418">
        <f t="shared" si="176"/>
        <v>0</v>
      </c>
      <c r="AE508" s="1418">
        <v>510.69</v>
      </c>
      <c r="AF508" s="1418">
        <f t="shared" si="177"/>
        <v>0</v>
      </c>
      <c r="AG508" s="1418">
        <v>15.53</v>
      </c>
      <c r="AH508" s="1418">
        <f t="shared" si="178"/>
        <v>0</v>
      </c>
      <c r="AI508" s="1428"/>
      <c r="AO508" s="2504">
        <v>122.44</v>
      </c>
      <c r="AP508" s="1418">
        <f t="shared" si="186"/>
        <v>-388.25</v>
      </c>
    </row>
    <row r="509" spans="1:42" s="1410" customFormat="1" ht="15.75">
      <c r="A509" s="2102"/>
      <c r="B509" s="1268" t="s">
        <v>2566</v>
      </c>
      <c r="C509" s="1241" t="s">
        <v>3291</v>
      </c>
      <c r="D509" s="1245" t="s">
        <v>36</v>
      </c>
      <c r="E509" s="1413">
        <v>25</v>
      </c>
      <c r="F509" s="1555">
        <v>14.66</v>
      </c>
      <c r="G509" s="1480">
        <v>15.58</v>
      </c>
      <c r="H509" s="1414">
        <v>16.03</v>
      </c>
      <c r="I509" s="1477">
        <f t="shared" si="173"/>
        <v>366.5</v>
      </c>
      <c r="J509" s="1477">
        <f t="shared" si="174"/>
        <v>389.5</v>
      </c>
      <c r="K509" s="1477">
        <v>6</v>
      </c>
      <c r="L509" s="1477">
        <f t="shared" si="179"/>
        <v>6</v>
      </c>
      <c r="M509" s="1477">
        <v>19</v>
      </c>
      <c r="N509" s="1477">
        <f t="shared" si="180"/>
        <v>19</v>
      </c>
      <c r="O509" s="1477">
        <f t="shared" si="181"/>
        <v>93.48</v>
      </c>
      <c r="P509" s="1477">
        <f t="shared" si="182"/>
        <v>296.02</v>
      </c>
      <c r="Q509" s="1477">
        <f t="shared" si="183"/>
        <v>304.57</v>
      </c>
      <c r="R509" s="1576">
        <f t="shared" si="184"/>
        <v>398.05</v>
      </c>
      <c r="S509" s="1869">
        <v>25</v>
      </c>
      <c r="T509" s="1866">
        <v>398.05</v>
      </c>
      <c r="U509" s="2442"/>
      <c r="V509" s="1866">
        <f t="shared" si="187"/>
        <v>0</v>
      </c>
      <c r="W509" s="1869">
        <f t="shared" si="193"/>
        <v>25</v>
      </c>
      <c r="X509" s="1870">
        <f t="shared" si="185"/>
        <v>398.05</v>
      </c>
      <c r="Y509" s="1871">
        <f t="shared" si="188"/>
        <v>1</v>
      </c>
      <c r="Z509" s="1694">
        <f t="shared" si="194"/>
        <v>0</v>
      </c>
      <c r="AA509" s="1872">
        <f t="shared" si="189"/>
        <v>0</v>
      </c>
      <c r="AB509" s="1873">
        <f t="shared" si="190"/>
        <v>0</v>
      </c>
      <c r="AC509" s="1418">
        <f t="shared" si="175"/>
        <v>0</v>
      </c>
      <c r="AD509" s="1418">
        <f t="shared" si="176"/>
        <v>0</v>
      </c>
      <c r="AE509" s="1418">
        <v>398.05000000000007</v>
      </c>
      <c r="AF509" s="1418">
        <f t="shared" si="177"/>
        <v>0</v>
      </c>
      <c r="AG509" s="1418">
        <v>16.03</v>
      </c>
      <c r="AH509" s="1418">
        <f t="shared" si="178"/>
        <v>0</v>
      </c>
      <c r="AI509" s="1428"/>
      <c r="AO509" s="2504">
        <v>301.87</v>
      </c>
      <c r="AP509" s="1418">
        <f t="shared" si="186"/>
        <v>-96.18</v>
      </c>
    </row>
    <row r="510" spans="1:42" s="1410" customFormat="1" ht="15.75">
      <c r="A510" s="2102"/>
      <c r="B510" s="1268" t="s">
        <v>2567</v>
      </c>
      <c r="C510" s="1241" t="s">
        <v>3292</v>
      </c>
      <c r="D510" s="1245" t="s">
        <v>36</v>
      </c>
      <c r="E510" s="1413">
        <v>48</v>
      </c>
      <c r="F510" s="1555">
        <v>15.26</v>
      </c>
      <c r="G510" s="1480">
        <v>16.18</v>
      </c>
      <c r="H510" s="1414">
        <v>16.63</v>
      </c>
      <c r="I510" s="1477">
        <f t="shared" si="173"/>
        <v>732.48</v>
      </c>
      <c r="J510" s="1477">
        <f t="shared" si="174"/>
        <v>776.64</v>
      </c>
      <c r="K510" s="1477">
        <v>0</v>
      </c>
      <c r="L510" s="1477">
        <f t="shared" si="179"/>
        <v>0</v>
      </c>
      <c r="M510" s="1477">
        <v>48</v>
      </c>
      <c r="N510" s="1477">
        <f t="shared" si="180"/>
        <v>48</v>
      </c>
      <c r="O510" s="1477">
        <f t="shared" si="181"/>
        <v>0</v>
      </c>
      <c r="P510" s="1477">
        <f t="shared" si="182"/>
        <v>776.64</v>
      </c>
      <c r="Q510" s="1477">
        <f t="shared" si="183"/>
        <v>798.24</v>
      </c>
      <c r="R510" s="1576">
        <f t="shared" si="184"/>
        <v>798.24</v>
      </c>
      <c r="S510" s="1869">
        <v>48</v>
      </c>
      <c r="T510" s="1866">
        <v>798.24</v>
      </c>
      <c r="U510" s="2442"/>
      <c r="V510" s="1866">
        <f t="shared" si="187"/>
        <v>0</v>
      </c>
      <c r="W510" s="1869">
        <f t="shared" si="193"/>
        <v>48</v>
      </c>
      <c r="X510" s="1870">
        <f t="shared" si="185"/>
        <v>798.24</v>
      </c>
      <c r="Y510" s="1871">
        <f t="shared" si="188"/>
        <v>1</v>
      </c>
      <c r="Z510" s="1694">
        <f t="shared" si="194"/>
        <v>0</v>
      </c>
      <c r="AA510" s="1872">
        <f t="shared" si="189"/>
        <v>0</v>
      </c>
      <c r="AB510" s="1873">
        <f t="shared" si="190"/>
        <v>0</v>
      </c>
      <c r="AC510" s="1418">
        <f t="shared" si="175"/>
        <v>0</v>
      </c>
      <c r="AD510" s="1418">
        <f t="shared" si="176"/>
        <v>0</v>
      </c>
      <c r="AE510" s="1418">
        <v>769.44</v>
      </c>
      <c r="AF510" s="1418">
        <f t="shared" si="177"/>
        <v>-28.799999999999955</v>
      </c>
      <c r="AG510" s="1418">
        <v>16.03</v>
      </c>
      <c r="AH510" s="1418">
        <f t="shared" si="178"/>
        <v>-0.59999999999999787</v>
      </c>
      <c r="AI510" s="1428"/>
      <c r="AO510" s="2504">
        <v>315.96999999999997</v>
      </c>
      <c r="AP510" s="1418">
        <f t="shared" si="186"/>
        <v>-482.27000000000004</v>
      </c>
    </row>
    <row r="511" spans="1:42" s="1410" customFormat="1" ht="15.75">
      <c r="A511" s="2102"/>
      <c r="B511" s="1268" t="s">
        <v>2568</v>
      </c>
      <c r="C511" s="1241" t="s">
        <v>3293</v>
      </c>
      <c r="D511" s="1245" t="s">
        <v>36</v>
      </c>
      <c r="E511" s="1413">
        <v>19</v>
      </c>
      <c r="F511" s="1555">
        <v>17.16</v>
      </c>
      <c r="G511" s="1480">
        <v>18.079999999999998</v>
      </c>
      <c r="H511" s="1414">
        <v>18.53</v>
      </c>
      <c r="I511" s="1477">
        <f t="shared" si="173"/>
        <v>326.04000000000002</v>
      </c>
      <c r="J511" s="1477">
        <f t="shared" si="174"/>
        <v>343.52</v>
      </c>
      <c r="K511" s="1477">
        <v>9</v>
      </c>
      <c r="L511" s="1477">
        <f t="shared" si="179"/>
        <v>9</v>
      </c>
      <c r="M511" s="1477">
        <v>10</v>
      </c>
      <c r="N511" s="1477">
        <f t="shared" si="180"/>
        <v>10</v>
      </c>
      <c r="O511" s="1477">
        <f t="shared" si="181"/>
        <v>162.72</v>
      </c>
      <c r="P511" s="1477">
        <f t="shared" si="182"/>
        <v>180.8</v>
      </c>
      <c r="Q511" s="1477">
        <f t="shared" si="183"/>
        <v>185.3</v>
      </c>
      <c r="R511" s="1576">
        <f t="shared" si="184"/>
        <v>348.02</v>
      </c>
      <c r="S511" s="1869">
        <v>19</v>
      </c>
      <c r="T511" s="1866">
        <v>348.02</v>
      </c>
      <c r="U511" s="2442"/>
      <c r="V511" s="1866">
        <f t="shared" si="187"/>
        <v>0</v>
      </c>
      <c r="W511" s="1869">
        <f t="shared" si="193"/>
        <v>19</v>
      </c>
      <c r="X511" s="1870">
        <f t="shared" si="185"/>
        <v>348.02</v>
      </c>
      <c r="Y511" s="1871">
        <f t="shared" si="188"/>
        <v>1</v>
      </c>
      <c r="Z511" s="1694">
        <f t="shared" si="194"/>
        <v>0</v>
      </c>
      <c r="AA511" s="1872">
        <f t="shared" si="189"/>
        <v>0</v>
      </c>
      <c r="AB511" s="1873">
        <f t="shared" si="190"/>
        <v>0</v>
      </c>
      <c r="AC511" s="1418">
        <f t="shared" si="175"/>
        <v>0</v>
      </c>
      <c r="AD511" s="1418">
        <f t="shared" si="176"/>
        <v>0</v>
      </c>
      <c r="AE511" s="1418">
        <v>348.02</v>
      </c>
      <c r="AF511" s="1418">
        <f t="shared" si="177"/>
        <v>0</v>
      </c>
      <c r="AG511" s="1418">
        <v>18.53</v>
      </c>
      <c r="AH511" s="1418">
        <f t="shared" si="178"/>
        <v>0</v>
      </c>
      <c r="AI511" s="1428"/>
      <c r="AO511" s="2504">
        <v>255.36999999999998</v>
      </c>
      <c r="AP511" s="1418">
        <f t="shared" si="186"/>
        <v>-92.65</v>
      </c>
    </row>
    <row r="512" spans="1:42" s="1410" customFormat="1" ht="15.75">
      <c r="A512" s="2102"/>
      <c r="B512" s="1268" t="s">
        <v>2569</v>
      </c>
      <c r="C512" s="1241" t="s">
        <v>3294</v>
      </c>
      <c r="D512" s="1245" t="s">
        <v>36</v>
      </c>
      <c r="E512" s="1413">
        <v>21</v>
      </c>
      <c r="F512" s="1555">
        <v>19.86</v>
      </c>
      <c r="G512" s="1480">
        <v>20.78</v>
      </c>
      <c r="H512" s="1414">
        <v>21.23</v>
      </c>
      <c r="I512" s="1477">
        <f t="shared" si="173"/>
        <v>417.06</v>
      </c>
      <c r="J512" s="1477">
        <f t="shared" si="174"/>
        <v>436.38</v>
      </c>
      <c r="K512" s="1477">
        <v>0</v>
      </c>
      <c r="L512" s="1477">
        <f t="shared" si="179"/>
        <v>0</v>
      </c>
      <c r="M512" s="1477">
        <v>21</v>
      </c>
      <c r="N512" s="1477">
        <f t="shared" si="180"/>
        <v>21</v>
      </c>
      <c r="O512" s="1477">
        <f t="shared" si="181"/>
        <v>0</v>
      </c>
      <c r="P512" s="1477">
        <f t="shared" si="182"/>
        <v>436.38</v>
      </c>
      <c r="Q512" s="1477">
        <f t="shared" si="183"/>
        <v>445.83</v>
      </c>
      <c r="R512" s="1576">
        <f t="shared" si="184"/>
        <v>445.83</v>
      </c>
      <c r="S512" s="1869">
        <v>21</v>
      </c>
      <c r="T512" s="1866">
        <v>445.83</v>
      </c>
      <c r="U512" s="2442"/>
      <c r="V512" s="1866">
        <f t="shared" si="187"/>
        <v>0</v>
      </c>
      <c r="W512" s="1869">
        <f t="shared" si="193"/>
        <v>21</v>
      </c>
      <c r="X512" s="1870">
        <f t="shared" si="185"/>
        <v>445.83</v>
      </c>
      <c r="Y512" s="1871">
        <f t="shared" si="188"/>
        <v>1</v>
      </c>
      <c r="Z512" s="1694">
        <f t="shared" si="194"/>
        <v>0</v>
      </c>
      <c r="AA512" s="1872">
        <f t="shared" si="189"/>
        <v>0</v>
      </c>
      <c r="AB512" s="1873">
        <f t="shared" si="190"/>
        <v>0</v>
      </c>
      <c r="AC512" s="1418">
        <f t="shared" si="175"/>
        <v>0</v>
      </c>
      <c r="AD512" s="1418">
        <f t="shared" si="176"/>
        <v>0</v>
      </c>
      <c r="AE512" s="1418">
        <v>445.83</v>
      </c>
      <c r="AF512" s="1418">
        <f t="shared" si="177"/>
        <v>0</v>
      </c>
      <c r="AG512" s="1418">
        <v>21.23</v>
      </c>
      <c r="AH512" s="1418">
        <f t="shared" si="178"/>
        <v>0</v>
      </c>
      <c r="AI512" s="1428"/>
      <c r="AO512" s="2504">
        <v>127.38</v>
      </c>
      <c r="AP512" s="1418">
        <f t="shared" si="186"/>
        <v>-318.45</v>
      </c>
    </row>
    <row r="513" spans="1:42" s="1410" customFormat="1" ht="15.75">
      <c r="A513" s="2102"/>
      <c r="B513" s="1272" t="s">
        <v>1025</v>
      </c>
      <c r="C513" s="1262" t="s">
        <v>3295</v>
      </c>
      <c r="D513" s="1273"/>
      <c r="E513" s="1415"/>
      <c r="F513" s="1267"/>
      <c r="G513" s="1480"/>
      <c r="H513" s="1416"/>
      <c r="I513" s="1477">
        <f t="shared" si="173"/>
        <v>0</v>
      </c>
      <c r="J513" s="1477">
        <f t="shared" si="174"/>
        <v>0</v>
      </c>
      <c r="K513" s="1477"/>
      <c r="L513" s="1477">
        <f t="shared" si="179"/>
        <v>0</v>
      </c>
      <c r="M513" s="1477"/>
      <c r="N513" s="1477">
        <f t="shared" si="180"/>
        <v>0</v>
      </c>
      <c r="O513" s="1477">
        <f t="shared" si="181"/>
        <v>0</v>
      </c>
      <c r="P513" s="1477">
        <f t="shared" si="182"/>
        <v>0</v>
      </c>
      <c r="Q513" s="1477">
        <f t="shared" si="183"/>
        <v>0</v>
      </c>
      <c r="R513" s="1576">
        <f t="shared" si="184"/>
        <v>0</v>
      </c>
      <c r="S513" s="1869"/>
      <c r="T513" s="1866"/>
      <c r="U513" s="2442"/>
      <c r="V513" s="1866">
        <f t="shared" si="187"/>
        <v>0</v>
      </c>
      <c r="W513" s="1869"/>
      <c r="X513" s="1870"/>
      <c r="Y513" s="1871" t="str">
        <f t="shared" si="188"/>
        <v/>
      </c>
      <c r="Z513" s="1694"/>
      <c r="AA513" s="1872">
        <f t="shared" si="189"/>
        <v>0</v>
      </c>
      <c r="AB513" s="1873" t="str">
        <f t="shared" si="190"/>
        <v/>
      </c>
      <c r="AC513" s="1418">
        <f t="shared" si="175"/>
        <v>0</v>
      </c>
      <c r="AD513" s="1418">
        <f t="shared" si="176"/>
        <v>0</v>
      </c>
      <c r="AE513" s="1418"/>
      <c r="AF513" s="1418">
        <f t="shared" si="177"/>
        <v>0</v>
      </c>
      <c r="AG513" s="1418"/>
      <c r="AH513" s="1418">
        <f t="shared" si="178"/>
        <v>0</v>
      </c>
      <c r="AI513" s="1428"/>
      <c r="AO513" s="2504"/>
      <c r="AP513" s="1418">
        <f t="shared" si="186"/>
        <v>0</v>
      </c>
    </row>
    <row r="514" spans="1:42" s="1410" customFormat="1" ht="15.75">
      <c r="A514" s="2102"/>
      <c r="B514" s="1268" t="s">
        <v>2570</v>
      </c>
      <c r="C514" s="1241" t="s">
        <v>3296</v>
      </c>
      <c r="D514" s="1245" t="s">
        <v>1450</v>
      </c>
      <c r="E514" s="1413">
        <v>18</v>
      </c>
      <c r="F514" s="1555">
        <v>88.66</v>
      </c>
      <c r="G514" s="1480">
        <v>93.18</v>
      </c>
      <c r="H514" s="1414">
        <v>95.5</v>
      </c>
      <c r="I514" s="1477">
        <f t="shared" si="173"/>
        <v>1595.88</v>
      </c>
      <c r="J514" s="1477">
        <f t="shared" si="174"/>
        <v>1677.24</v>
      </c>
      <c r="K514" s="1477">
        <v>13</v>
      </c>
      <c r="L514" s="1477">
        <f t="shared" si="179"/>
        <v>13</v>
      </c>
      <c r="M514" s="1477">
        <v>5</v>
      </c>
      <c r="N514" s="1477">
        <f t="shared" si="180"/>
        <v>5</v>
      </c>
      <c r="O514" s="1477">
        <f t="shared" si="181"/>
        <v>1211.3399999999999</v>
      </c>
      <c r="P514" s="1477">
        <f t="shared" si="182"/>
        <v>465.9</v>
      </c>
      <c r="Q514" s="1477">
        <f t="shared" si="183"/>
        <v>477.5</v>
      </c>
      <c r="R514" s="1576">
        <f t="shared" si="184"/>
        <v>1688.84</v>
      </c>
      <c r="S514" s="1869">
        <v>18</v>
      </c>
      <c r="T514" s="1866">
        <v>1688.8400000000001</v>
      </c>
      <c r="U514" s="2442"/>
      <c r="V514" s="1866">
        <f t="shared" si="187"/>
        <v>0</v>
      </c>
      <c r="W514" s="1869">
        <f>S514+U514</f>
        <v>18</v>
      </c>
      <c r="X514" s="1870">
        <f t="shared" si="185"/>
        <v>1688.8400000000001</v>
      </c>
      <c r="Y514" s="1871">
        <f t="shared" si="188"/>
        <v>1.0000000000000002</v>
      </c>
      <c r="Z514" s="1694">
        <f t="shared" ref="Z514:Z520" si="195">+E514-W514</f>
        <v>0</v>
      </c>
      <c r="AA514" s="1872">
        <f t="shared" si="189"/>
        <v>0</v>
      </c>
      <c r="AB514" s="1873">
        <f t="shared" si="190"/>
        <v>0</v>
      </c>
      <c r="AC514" s="1418">
        <f t="shared" si="175"/>
        <v>-2.2737367544323206E-13</v>
      </c>
      <c r="AD514" s="1418">
        <f t="shared" si="176"/>
        <v>0</v>
      </c>
      <c r="AE514" s="1418">
        <v>1688.8400000000001</v>
      </c>
      <c r="AF514" s="1418">
        <f t="shared" si="177"/>
        <v>0</v>
      </c>
      <c r="AG514" s="1418">
        <v>95.5</v>
      </c>
      <c r="AH514" s="1418">
        <f t="shared" si="178"/>
        <v>0</v>
      </c>
      <c r="AI514" s="1428"/>
      <c r="AO514" s="2504">
        <v>1688.8400000000001</v>
      </c>
      <c r="AP514" s="1418">
        <f t="shared" si="186"/>
        <v>0</v>
      </c>
    </row>
    <row r="515" spans="1:42" s="1410" customFormat="1" ht="15.75">
      <c r="A515" s="2102"/>
      <c r="B515" s="1268" t="s">
        <v>2571</v>
      </c>
      <c r="C515" s="1241" t="s">
        <v>3297</v>
      </c>
      <c r="D515" s="1245" t="s">
        <v>1450</v>
      </c>
      <c r="E515" s="1413">
        <v>19</v>
      </c>
      <c r="F515" s="1555">
        <v>101.14</v>
      </c>
      <c r="G515" s="1480">
        <v>105.66</v>
      </c>
      <c r="H515" s="1414">
        <v>107.98</v>
      </c>
      <c r="I515" s="1477">
        <f t="shared" si="173"/>
        <v>1921.66</v>
      </c>
      <c r="J515" s="1477">
        <f t="shared" si="174"/>
        <v>2007.54</v>
      </c>
      <c r="K515" s="1477">
        <v>0</v>
      </c>
      <c r="L515" s="1477">
        <f t="shared" si="179"/>
        <v>0</v>
      </c>
      <c r="M515" s="1477">
        <v>19</v>
      </c>
      <c r="N515" s="1477">
        <f t="shared" si="180"/>
        <v>19</v>
      </c>
      <c r="O515" s="1477">
        <f t="shared" si="181"/>
        <v>0</v>
      </c>
      <c r="P515" s="1477">
        <f t="shared" si="182"/>
        <v>2007.54</v>
      </c>
      <c r="Q515" s="1477">
        <f t="shared" si="183"/>
        <v>2051.62</v>
      </c>
      <c r="R515" s="1576">
        <f t="shared" si="184"/>
        <v>2051.62</v>
      </c>
      <c r="S515" s="1869">
        <v>19</v>
      </c>
      <c r="T515" s="1866">
        <v>2051.62</v>
      </c>
      <c r="U515" s="2442"/>
      <c r="V515" s="1866">
        <f t="shared" si="187"/>
        <v>0</v>
      </c>
      <c r="W515" s="1869">
        <f>S515+U515</f>
        <v>19</v>
      </c>
      <c r="X515" s="1870">
        <f t="shared" si="185"/>
        <v>2051.62</v>
      </c>
      <c r="Y515" s="1871">
        <f t="shared" si="188"/>
        <v>1</v>
      </c>
      <c r="Z515" s="1694">
        <f t="shared" si="195"/>
        <v>0</v>
      </c>
      <c r="AA515" s="1872">
        <f t="shared" si="189"/>
        <v>0</v>
      </c>
      <c r="AB515" s="1873">
        <f t="shared" si="190"/>
        <v>0</v>
      </c>
      <c r="AC515" s="1418">
        <f t="shared" si="175"/>
        <v>0</v>
      </c>
      <c r="AD515" s="1418">
        <f t="shared" si="176"/>
        <v>0</v>
      </c>
      <c r="AE515" s="1418">
        <v>2051.2399999999998</v>
      </c>
      <c r="AF515" s="1418">
        <f t="shared" si="177"/>
        <v>-0.38000000000010914</v>
      </c>
      <c r="AG515" s="1418">
        <v>107.96</v>
      </c>
      <c r="AH515" s="1418">
        <f t="shared" si="178"/>
        <v>-2.0000000000010232E-2</v>
      </c>
      <c r="AI515" s="1428"/>
      <c r="AO515" s="2504">
        <v>2051.62</v>
      </c>
      <c r="AP515" s="1418">
        <f t="shared" si="186"/>
        <v>0</v>
      </c>
    </row>
    <row r="516" spans="1:42" s="1410" customFormat="1" ht="15.75">
      <c r="A516" s="2102"/>
      <c r="B516" s="1268" t="s">
        <v>2572</v>
      </c>
      <c r="C516" s="1241" t="s">
        <v>3298</v>
      </c>
      <c r="D516" s="1245" t="s">
        <v>1450</v>
      </c>
      <c r="E516" s="1413">
        <v>14</v>
      </c>
      <c r="F516" s="1555">
        <v>114.12</v>
      </c>
      <c r="G516" s="1480">
        <v>118.64</v>
      </c>
      <c r="H516" s="1414">
        <v>120.96</v>
      </c>
      <c r="I516" s="1477">
        <f t="shared" si="173"/>
        <v>1597.68</v>
      </c>
      <c r="J516" s="1477">
        <f t="shared" si="174"/>
        <v>1660.96</v>
      </c>
      <c r="K516" s="1477">
        <v>1</v>
      </c>
      <c r="L516" s="1477">
        <f t="shared" si="179"/>
        <v>1</v>
      </c>
      <c r="M516" s="1477">
        <v>13</v>
      </c>
      <c r="N516" s="1477">
        <f t="shared" si="180"/>
        <v>13</v>
      </c>
      <c r="O516" s="1477">
        <f t="shared" si="181"/>
        <v>118.64</v>
      </c>
      <c r="P516" s="1477">
        <f t="shared" si="182"/>
        <v>1542.32</v>
      </c>
      <c r="Q516" s="1477">
        <f t="shared" si="183"/>
        <v>1572.48</v>
      </c>
      <c r="R516" s="1576">
        <f t="shared" si="184"/>
        <v>1691.1200000000001</v>
      </c>
      <c r="S516" s="1869">
        <v>14</v>
      </c>
      <c r="T516" s="1866">
        <v>1691.1200000000001</v>
      </c>
      <c r="U516" s="2442"/>
      <c r="V516" s="1866">
        <f t="shared" si="187"/>
        <v>0</v>
      </c>
      <c r="W516" s="1869">
        <f>S516+U516</f>
        <v>14</v>
      </c>
      <c r="X516" s="1870">
        <f t="shared" si="185"/>
        <v>1691.1200000000001</v>
      </c>
      <c r="Y516" s="1871">
        <f t="shared" si="188"/>
        <v>1</v>
      </c>
      <c r="Z516" s="1694">
        <f t="shared" si="195"/>
        <v>0</v>
      </c>
      <c r="AA516" s="1872">
        <f t="shared" si="189"/>
        <v>0</v>
      </c>
      <c r="AB516" s="1873">
        <f t="shared" si="190"/>
        <v>0</v>
      </c>
      <c r="AC516" s="1418">
        <f t="shared" si="175"/>
        <v>0</v>
      </c>
      <c r="AD516" s="1418">
        <f t="shared" si="176"/>
        <v>0</v>
      </c>
      <c r="AE516" s="1418">
        <v>1691.1200000000001</v>
      </c>
      <c r="AF516" s="1418">
        <f t="shared" si="177"/>
        <v>0</v>
      </c>
      <c r="AG516" s="1418">
        <v>120.96</v>
      </c>
      <c r="AH516" s="1418">
        <f t="shared" si="178"/>
        <v>0</v>
      </c>
      <c r="AI516" s="1428"/>
      <c r="AO516" s="2504">
        <v>1691.1200000000001</v>
      </c>
      <c r="AP516" s="1418">
        <f t="shared" si="186"/>
        <v>0</v>
      </c>
    </row>
    <row r="517" spans="1:42" s="1410" customFormat="1" ht="15.75">
      <c r="A517" s="2102"/>
      <c r="B517" s="1268" t="s">
        <v>2573</v>
      </c>
      <c r="C517" s="1241" t="s">
        <v>3299</v>
      </c>
      <c r="D517" s="1245" t="s">
        <v>1450</v>
      </c>
      <c r="E517" s="1413">
        <v>12</v>
      </c>
      <c r="F517" s="1555">
        <v>238.23</v>
      </c>
      <c r="G517" s="1480">
        <v>242.75</v>
      </c>
      <c r="H517" s="1414">
        <v>245.07</v>
      </c>
      <c r="I517" s="1477">
        <f t="shared" si="173"/>
        <v>2858.76</v>
      </c>
      <c r="J517" s="1477">
        <f t="shared" si="174"/>
        <v>2913</v>
      </c>
      <c r="K517" s="1477">
        <v>0</v>
      </c>
      <c r="L517" s="1477">
        <f t="shared" si="179"/>
        <v>0</v>
      </c>
      <c r="M517" s="1477">
        <v>12</v>
      </c>
      <c r="N517" s="1477">
        <f t="shared" si="180"/>
        <v>12</v>
      </c>
      <c r="O517" s="1477">
        <f t="shared" si="181"/>
        <v>0</v>
      </c>
      <c r="P517" s="1477">
        <f t="shared" si="182"/>
        <v>2913</v>
      </c>
      <c r="Q517" s="1477">
        <f t="shared" si="183"/>
        <v>2940.84</v>
      </c>
      <c r="R517" s="1576">
        <f t="shared" si="184"/>
        <v>2940.84</v>
      </c>
      <c r="S517" s="1869">
        <v>0</v>
      </c>
      <c r="T517" s="1866">
        <v>0</v>
      </c>
      <c r="U517" s="2442"/>
      <c r="V517" s="1866">
        <f t="shared" si="187"/>
        <v>0</v>
      </c>
      <c r="W517" s="1869">
        <f>S517+U517</f>
        <v>0</v>
      </c>
      <c r="X517" s="1870">
        <f t="shared" si="185"/>
        <v>0</v>
      </c>
      <c r="Y517" s="1871">
        <f t="shared" si="188"/>
        <v>0</v>
      </c>
      <c r="Z517" s="1694">
        <f t="shared" si="195"/>
        <v>12</v>
      </c>
      <c r="AA517" s="1872">
        <f t="shared" si="189"/>
        <v>2940.84</v>
      </c>
      <c r="AB517" s="1873">
        <f t="shared" si="190"/>
        <v>1</v>
      </c>
      <c r="AC517" s="1418">
        <f t="shared" si="175"/>
        <v>0</v>
      </c>
      <c r="AD517" s="1418">
        <f t="shared" si="176"/>
        <v>0</v>
      </c>
      <c r="AE517" s="1418">
        <v>2940.84</v>
      </c>
      <c r="AF517" s="1418">
        <f t="shared" si="177"/>
        <v>0</v>
      </c>
      <c r="AG517" s="1418">
        <v>245.07</v>
      </c>
      <c r="AH517" s="1418">
        <f t="shared" si="178"/>
        <v>0</v>
      </c>
      <c r="AI517" s="1428"/>
      <c r="AO517" s="2504">
        <v>0</v>
      </c>
      <c r="AP517" s="1418">
        <f t="shared" si="186"/>
        <v>0</v>
      </c>
    </row>
    <row r="518" spans="1:42" s="1410" customFormat="1" ht="15.75">
      <c r="A518" s="2102"/>
      <c r="B518" s="1272" t="s">
        <v>1026</v>
      </c>
      <c r="C518" s="1262" t="s">
        <v>3300</v>
      </c>
      <c r="D518" s="1273"/>
      <c r="E518" s="1415"/>
      <c r="F518" s="1267"/>
      <c r="G518" s="1480"/>
      <c r="H518" s="1416"/>
      <c r="I518" s="1477">
        <f t="shared" si="173"/>
        <v>0</v>
      </c>
      <c r="J518" s="1477">
        <f t="shared" si="174"/>
        <v>0</v>
      </c>
      <c r="K518" s="1477"/>
      <c r="L518" s="1477">
        <f t="shared" si="179"/>
        <v>0</v>
      </c>
      <c r="M518" s="1477"/>
      <c r="N518" s="1477">
        <f t="shared" si="180"/>
        <v>0</v>
      </c>
      <c r="O518" s="1477">
        <f t="shared" si="181"/>
        <v>0</v>
      </c>
      <c r="P518" s="1477">
        <f t="shared" si="182"/>
        <v>0</v>
      </c>
      <c r="Q518" s="1477">
        <f t="shared" si="183"/>
        <v>0</v>
      </c>
      <c r="R518" s="1576">
        <f t="shared" si="184"/>
        <v>0</v>
      </c>
      <c r="S518" s="1869"/>
      <c r="T518" s="1866">
        <v>0</v>
      </c>
      <c r="U518" s="2442"/>
      <c r="V518" s="1866">
        <f t="shared" si="187"/>
        <v>0</v>
      </c>
      <c r="W518" s="1869"/>
      <c r="X518" s="1870">
        <f t="shared" si="185"/>
        <v>0</v>
      </c>
      <c r="Y518" s="1871" t="str">
        <f t="shared" si="188"/>
        <v/>
      </c>
      <c r="Z518" s="1694">
        <f t="shared" si="195"/>
        <v>0</v>
      </c>
      <c r="AA518" s="1872">
        <f t="shared" si="189"/>
        <v>0</v>
      </c>
      <c r="AB518" s="1873" t="str">
        <f t="shared" si="190"/>
        <v/>
      </c>
      <c r="AC518" s="1418">
        <f t="shared" si="175"/>
        <v>0</v>
      </c>
      <c r="AD518" s="1418">
        <f t="shared" si="176"/>
        <v>0</v>
      </c>
      <c r="AE518" s="1418"/>
      <c r="AF518" s="1418">
        <f t="shared" si="177"/>
        <v>0</v>
      </c>
      <c r="AG518" s="1418"/>
      <c r="AH518" s="1418">
        <f t="shared" si="178"/>
        <v>0</v>
      </c>
      <c r="AI518" s="1428"/>
      <c r="AO518" s="2504">
        <v>0</v>
      </c>
      <c r="AP518" s="1418">
        <f t="shared" si="186"/>
        <v>0</v>
      </c>
    </row>
    <row r="519" spans="1:42" s="1410" customFormat="1" ht="15.75">
      <c r="A519" s="2102"/>
      <c r="B519" s="1268" t="s">
        <v>2574</v>
      </c>
      <c r="C519" s="1241" t="s">
        <v>3301</v>
      </c>
      <c r="D519" s="1245" t="s">
        <v>41</v>
      </c>
      <c r="E519" s="1413">
        <v>2</v>
      </c>
      <c r="F519" s="1555">
        <v>3072.32</v>
      </c>
      <c r="G519" s="1480">
        <v>3072.32</v>
      </c>
      <c r="H519" s="1414">
        <v>3072.32</v>
      </c>
      <c r="I519" s="1477">
        <f t="shared" si="173"/>
        <v>6144.64</v>
      </c>
      <c r="J519" s="1477">
        <f t="shared" si="174"/>
        <v>6144.64</v>
      </c>
      <c r="K519" s="1477">
        <v>0</v>
      </c>
      <c r="L519" s="1477">
        <f t="shared" si="179"/>
        <v>0</v>
      </c>
      <c r="M519" s="1477">
        <v>2</v>
      </c>
      <c r="N519" s="1477">
        <f t="shared" si="180"/>
        <v>2</v>
      </c>
      <c r="O519" s="1477">
        <f t="shared" si="181"/>
        <v>0</v>
      </c>
      <c r="P519" s="1477">
        <f t="shared" si="182"/>
        <v>6144.64</v>
      </c>
      <c r="Q519" s="1477">
        <f t="shared" si="183"/>
        <v>6144.64</v>
      </c>
      <c r="R519" s="1576">
        <f t="shared" si="184"/>
        <v>6144.64</v>
      </c>
      <c r="S519" s="1869">
        <v>0</v>
      </c>
      <c r="T519" s="1866">
        <v>0</v>
      </c>
      <c r="U519" s="2442"/>
      <c r="V519" s="1866">
        <f t="shared" si="187"/>
        <v>0</v>
      </c>
      <c r="W519" s="1869">
        <f>S519+U519</f>
        <v>0</v>
      </c>
      <c r="X519" s="1870">
        <f t="shared" si="185"/>
        <v>0</v>
      </c>
      <c r="Y519" s="1871">
        <f t="shared" si="188"/>
        <v>0</v>
      </c>
      <c r="Z519" s="1694">
        <f t="shared" si="195"/>
        <v>2</v>
      </c>
      <c r="AA519" s="1872">
        <f t="shared" si="189"/>
        <v>6144.64</v>
      </c>
      <c r="AB519" s="1873">
        <f t="shared" si="190"/>
        <v>1</v>
      </c>
      <c r="AC519" s="1418">
        <f t="shared" si="175"/>
        <v>0</v>
      </c>
      <c r="AD519" s="1418">
        <f t="shared" si="176"/>
        <v>0</v>
      </c>
      <c r="AE519" s="1418">
        <v>6144.64</v>
      </c>
      <c r="AF519" s="1418">
        <f t="shared" si="177"/>
        <v>0</v>
      </c>
      <c r="AG519" s="1418">
        <v>3072.32</v>
      </c>
      <c r="AH519" s="1418">
        <f t="shared" si="178"/>
        <v>0</v>
      </c>
      <c r="AI519" s="1428"/>
      <c r="AO519" s="2504">
        <v>0</v>
      </c>
      <c r="AP519" s="1418">
        <f t="shared" si="186"/>
        <v>0</v>
      </c>
    </row>
    <row r="520" spans="1:42" s="1410" customFormat="1" ht="15.75">
      <c r="A520" s="2102"/>
      <c r="B520" s="1268" t="s">
        <v>2575</v>
      </c>
      <c r="C520" s="1241" t="s">
        <v>3302</v>
      </c>
      <c r="D520" s="1245" t="s">
        <v>41</v>
      </c>
      <c r="E520" s="1413">
        <v>2</v>
      </c>
      <c r="F520" s="1555">
        <v>3550.31</v>
      </c>
      <c r="G520" s="1480">
        <v>3550.31</v>
      </c>
      <c r="H520" s="1414">
        <v>3550.31</v>
      </c>
      <c r="I520" s="1477">
        <f t="shared" si="173"/>
        <v>7100.62</v>
      </c>
      <c r="J520" s="1477">
        <f t="shared" si="174"/>
        <v>7100.62</v>
      </c>
      <c r="K520" s="1477">
        <v>0</v>
      </c>
      <c r="L520" s="1477">
        <f t="shared" si="179"/>
        <v>0</v>
      </c>
      <c r="M520" s="1477">
        <v>2</v>
      </c>
      <c r="N520" s="1477">
        <f t="shared" si="180"/>
        <v>2</v>
      </c>
      <c r="O520" s="1477">
        <f t="shared" si="181"/>
        <v>0</v>
      </c>
      <c r="P520" s="1477">
        <f t="shared" si="182"/>
        <v>7100.62</v>
      </c>
      <c r="Q520" s="1477">
        <f t="shared" si="183"/>
        <v>7100.62</v>
      </c>
      <c r="R520" s="1576">
        <f t="shared" si="184"/>
        <v>7100.62</v>
      </c>
      <c r="S520" s="1869">
        <v>0</v>
      </c>
      <c r="T520" s="1866">
        <v>0</v>
      </c>
      <c r="U520" s="2442"/>
      <c r="V520" s="1866">
        <f t="shared" si="187"/>
        <v>0</v>
      </c>
      <c r="W520" s="1869">
        <f>S520+U520</f>
        <v>0</v>
      </c>
      <c r="X520" s="1870">
        <f t="shared" si="185"/>
        <v>0</v>
      </c>
      <c r="Y520" s="1871">
        <f t="shared" si="188"/>
        <v>0</v>
      </c>
      <c r="Z520" s="1694">
        <f t="shared" si="195"/>
        <v>2</v>
      </c>
      <c r="AA520" s="1872">
        <f t="shared" si="189"/>
        <v>7100.62</v>
      </c>
      <c r="AB520" s="1873">
        <f t="shared" si="190"/>
        <v>1</v>
      </c>
      <c r="AC520" s="1418">
        <f t="shared" si="175"/>
        <v>0</v>
      </c>
      <c r="AD520" s="1418">
        <f t="shared" si="176"/>
        <v>0</v>
      </c>
      <c r="AE520" s="1418">
        <v>7100.62</v>
      </c>
      <c r="AF520" s="1418">
        <f t="shared" si="177"/>
        <v>0</v>
      </c>
      <c r="AG520" s="1418">
        <v>3550.31</v>
      </c>
      <c r="AH520" s="1418">
        <f t="shared" si="178"/>
        <v>0</v>
      </c>
      <c r="AI520" s="1428"/>
      <c r="AO520" s="2504">
        <v>0</v>
      </c>
      <c r="AP520" s="1418">
        <f t="shared" si="186"/>
        <v>0</v>
      </c>
    </row>
    <row r="521" spans="1:42" s="1410" customFormat="1" ht="15.75">
      <c r="A521" s="2102"/>
      <c r="B521" s="1272" t="s">
        <v>1027</v>
      </c>
      <c r="C521" s="1262" t="s">
        <v>3303</v>
      </c>
      <c r="D521" s="1273"/>
      <c r="E521" s="1415"/>
      <c r="F521" s="1267"/>
      <c r="G521" s="1480"/>
      <c r="H521" s="1416"/>
      <c r="I521" s="1477">
        <f t="shared" si="173"/>
        <v>0</v>
      </c>
      <c r="J521" s="1477">
        <f t="shared" si="174"/>
        <v>0</v>
      </c>
      <c r="K521" s="1477"/>
      <c r="L521" s="1477">
        <f t="shared" si="179"/>
        <v>0</v>
      </c>
      <c r="M521" s="1477"/>
      <c r="N521" s="1477">
        <f t="shared" si="180"/>
        <v>0</v>
      </c>
      <c r="O521" s="1477">
        <f t="shared" si="181"/>
        <v>0</v>
      </c>
      <c r="P521" s="1477">
        <f t="shared" si="182"/>
        <v>0</v>
      </c>
      <c r="Q521" s="1477">
        <f t="shared" si="183"/>
        <v>0</v>
      </c>
      <c r="R521" s="1576">
        <f t="shared" si="184"/>
        <v>0</v>
      </c>
      <c r="S521" s="1869"/>
      <c r="T521" s="1866"/>
      <c r="U521" s="2442"/>
      <c r="V521" s="1866">
        <f t="shared" si="187"/>
        <v>0</v>
      </c>
      <c r="W521" s="1869"/>
      <c r="X521" s="1870"/>
      <c r="Y521" s="1871" t="str">
        <f t="shared" si="188"/>
        <v/>
      </c>
      <c r="Z521" s="1694"/>
      <c r="AA521" s="1872">
        <f t="shared" si="189"/>
        <v>0</v>
      </c>
      <c r="AB521" s="1873" t="str">
        <f t="shared" si="190"/>
        <v/>
      </c>
      <c r="AC521" s="1418">
        <f t="shared" si="175"/>
        <v>0</v>
      </c>
      <c r="AD521" s="1418">
        <f t="shared" si="176"/>
        <v>0</v>
      </c>
      <c r="AE521" s="1418"/>
      <c r="AF521" s="1418">
        <f t="shared" si="177"/>
        <v>0</v>
      </c>
      <c r="AG521" s="1418"/>
      <c r="AH521" s="1418">
        <f t="shared" si="178"/>
        <v>0</v>
      </c>
      <c r="AI521" s="1428"/>
      <c r="AO521" s="2504"/>
      <c r="AP521" s="1418">
        <f t="shared" si="186"/>
        <v>0</v>
      </c>
    </row>
    <row r="522" spans="1:42" s="1410" customFormat="1" ht="15.75">
      <c r="A522" s="2102"/>
      <c r="B522" s="1268" t="s">
        <v>2576</v>
      </c>
      <c r="C522" s="1241" t="s">
        <v>3304</v>
      </c>
      <c r="D522" s="1245" t="s">
        <v>36</v>
      </c>
      <c r="E522" s="1413">
        <v>4</v>
      </c>
      <c r="F522" s="1555">
        <v>1958.75</v>
      </c>
      <c r="G522" s="1480">
        <v>1974.82</v>
      </c>
      <c r="H522" s="1414">
        <v>1983.6</v>
      </c>
      <c r="I522" s="1477">
        <f t="shared" si="173"/>
        <v>7835</v>
      </c>
      <c r="J522" s="1477">
        <f t="shared" si="174"/>
        <v>7899.28</v>
      </c>
      <c r="K522" s="1477">
        <v>0</v>
      </c>
      <c r="L522" s="1477">
        <f t="shared" si="179"/>
        <v>0</v>
      </c>
      <c r="M522" s="1477">
        <v>4</v>
      </c>
      <c r="N522" s="1477">
        <f t="shared" si="180"/>
        <v>4</v>
      </c>
      <c r="O522" s="1477">
        <f t="shared" si="181"/>
        <v>0</v>
      </c>
      <c r="P522" s="1477">
        <f t="shared" si="182"/>
        <v>7899.28</v>
      </c>
      <c r="Q522" s="1477">
        <f t="shared" si="183"/>
        <v>7934.4</v>
      </c>
      <c r="R522" s="1576">
        <f t="shared" si="184"/>
        <v>7934.4</v>
      </c>
      <c r="S522" s="1869">
        <v>0</v>
      </c>
      <c r="T522" s="1866">
        <v>0</v>
      </c>
      <c r="U522" s="2442"/>
      <c r="V522" s="1866">
        <f t="shared" si="187"/>
        <v>0</v>
      </c>
      <c r="W522" s="1869">
        <f>S522+U522</f>
        <v>0</v>
      </c>
      <c r="X522" s="1870">
        <f t="shared" si="185"/>
        <v>0</v>
      </c>
      <c r="Y522" s="1871">
        <f t="shared" si="188"/>
        <v>0</v>
      </c>
      <c r="Z522" s="1694">
        <f>+E522-W522</f>
        <v>4</v>
      </c>
      <c r="AA522" s="1872">
        <f t="shared" si="189"/>
        <v>7934.4</v>
      </c>
      <c r="AB522" s="1873">
        <f t="shared" si="190"/>
        <v>1</v>
      </c>
      <c r="AC522" s="1418">
        <f t="shared" si="175"/>
        <v>0</v>
      </c>
      <c r="AD522" s="1418">
        <f t="shared" si="176"/>
        <v>0</v>
      </c>
      <c r="AE522" s="1418">
        <v>7934.4</v>
      </c>
      <c r="AF522" s="1418">
        <f t="shared" si="177"/>
        <v>0</v>
      </c>
      <c r="AG522" s="1418">
        <v>1983.6</v>
      </c>
      <c r="AH522" s="1418">
        <f t="shared" si="178"/>
        <v>0</v>
      </c>
      <c r="AI522" s="1428"/>
      <c r="AO522" s="2504">
        <v>0</v>
      </c>
      <c r="AP522" s="1418">
        <f t="shared" si="186"/>
        <v>0</v>
      </c>
    </row>
    <row r="523" spans="1:42" s="1410" customFormat="1" ht="15.75">
      <c r="A523" s="2102"/>
      <c r="B523" s="1268" t="s">
        <v>2577</v>
      </c>
      <c r="C523" s="1241" t="s">
        <v>3305</v>
      </c>
      <c r="D523" s="1245" t="s">
        <v>41</v>
      </c>
      <c r="E523" s="1413">
        <v>2</v>
      </c>
      <c r="F523" s="1555">
        <v>981.52</v>
      </c>
      <c r="G523" s="1480">
        <v>981.52</v>
      </c>
      <c r="H523" s="1414">
        <v>981.52</v>
      </c>
      <c r="I523" s="1477">
        <f t="shared" si="173"/>
        <v>1963.04</v>
      </c>
      <c r="J523" s="1477">
        <f t="shared" si="174"/>
        <v>1963.04</v>
      </c>
      <c r="K523" s="1477">
        <v>0</v>
      </c>
      <c r="L523" s="1477">
        <f t="shared" si="179"/>
        <v>0</v>
      </c>
      <c r="M523" s="1477">
        <v>2</v>
      </c>
      <c r="N523" s="1477">
        <f t="shared" si="180"/>
        <v>2</v>
      </c>
      <c r="O523" s="1477">
        <f t="shared" si="181"/>
        <v>0</v>
      </c>
      <c r="P523" s="1477">
        <f t="shared" si="182"/>
        <v>1963.04</v>
      </c>
      <c r="Q523" s="1477">
        <f t="shared" si="183"/>
        <v>1963.04</v>
      </c>
      <c r="R523" s="1576">
        <f t="shared" si="184"/>
        <v>1963.04</v>
      </c>
      <c r="S523" s="1869">
        <v>0</v>
      </c>
      <c r="T523" s="1866">
        <v>0</v>
      </c>
      <c r="U523" s="2442"/>
      <c r="V523" s="1866">
        <f t="shared" si="187"/>
        <v>0</v>
      </c>
      <c r="W523" s="1869">
        <f>S523+U523</f>
        <v>0</v>
      </c>
      <c r="X523" s="1870">
        <f t="shared" si="185"/>
        <v>0</v>
      </c>
      <c r="Y523" s="1871">
        <f t="shared" si="188"/>
        <v>0</v>
      </c>
      <c r="Z523" s="1694">
        <f>+E523-W523</f>
        <v>2</v>
      </c>
      <c r="AA523" s="1872">
        <f t="shared" si="189"/>
        <v>1963.04</v>
      </c>
      <c r="AB523" s="1873">
        <f t="shared" si="190"/>
        <v>1</v>
      </c>
      <c r="AC523" s="1418">
        <f t="shared" si="175"/>
        <v>0</v>
      </c>
      <c r="AD523" s="1418">
        <f t="shared" si="176"/>
        <v>0</v>
      </c>
      <c r="AE523" s="1418">
        <v>1963.04</v>
      </c>
      <c r="AF523" s="1418">
        <f t="shared" si="177"/>
        <v>0</v>
      </c>
      <c r="AG523" s="1418">
        <v>981.52</v>
      </c>
      <c r="AH523" s="1418">
        <f t="shared" si="178"/>
        <v>0</v>
      </c>
      <c r="AI523" s="1428"/>
      <c r="AO523" s="2504">
        <v>0</v>
      </c>
      <c r="AP523" s="1418">
        <f t="shared" si="186"/>
        <v>0</v>
      </c>
    </row>
    <row r="524" spans="1:42" s="1410" customFormat="1" ht="15.75">
      <c r="A524" s="2102"/>
      <c r="B524" s="1268" t="s">
        <v>2578</v>
      </c>
      <c r="C524" s="1241" t="s">
        <v>3306</v>
      </c>
      <c r="D524" s="1245" t="s">
        <v>36</v>
      </c>
      <c r="E524" s="1413">
        <v>2</v>
      </c>
      <c r="F524" s="1555">
        <v>40.83</v>
      </c>
      <c r="G524" s="1480">
        <v>44.36</v>
      </c>
      <c r="H524" s="1414">
        <v>46.21</v>
      </c>
      <c r="I524" s="1477">
        <f t="shared" si="173"/>
        <v>81.66</v>
      </c>
      <c r="J524" s="1477">
        <f t="shared" si="174"/>
        <v>88.72</v>
      </c>
      <c r="K524" s="1477">
        <v>0</v>
      </c>
      <c r="L524" s="1477">
        <f t="shared" si="179"/>
        <v>0</v>
      </c>
      <c r="M524" s="1477">
        <v>2</v>
      </c>
      <c r="N524" s="1477">
        <f t="shared" si="180"/>
        <v>2</v>
      </c>
      <c r="O524" s="1477">
        <f t="shared" si="181"/>
        <v>0</v>
      </c>
      <c r="P524" s="1477">
        <f t="shared" si="182"/>
        <v>88.72</v>
      </c>
      <c r="Q524" s="1477">
        <f t="shared" si="183"/>
        <v>92.42</v>
      </c>
      <c r="R524" s="1576">
        <f t="shared" si="184"/>
        <v>92.42</v>
      </c>
      <c r="S524" s="1869">
        <v>0</v>
      </c>
      <c r="T524" s="1866">
        <v>0</v>
      </c>
      <c r="U524" s="2442">
        <v>2</v>
      </c>
      <c r="V524" s="1866">
        <f t="shared" si="187"/>
        <v>92.42</v>
      </c>
      <c r="W524" s="1869">
        <f>S524+U524</f>
        <v>2</v>
      </c>
      <c r="X524" s="1870">
        <f t="shared" si="185"/>
        <v>92.42</v>
      </c>
      <c r="Y524" s="1871">
        <f t="shared" si="188"/>
        <v>1</v>
      </c>
      <c r="Z524" s="1694">
        <f>+E524-W524</f>
        <v>0</v>
      </c>
      <c r="AA524" s="1872">
        <f t="shared" si="189"/>
        <v>0</v>
      </c>
      <c r="AB524" s="1873">
        <f t="shared" si="190"/>
        <v>0</v>
      </c>
      <c r="AC524" s="1418">
        <f t="shared" si="175"/>
        <v>0</v>
      </c>
      <c r="AD524" s="1418">
        <f t="shared" si="176"/>
        <v>0</v>
      </c>
      <c r="AE524" s="1418">
        <v>92.42</v>
      </c>
      <c r="AF524" s="1418">
        <f t="shared" si="177"/>
        <v>0</v>
      </c>
      <c r="AG524" s="1418">
        <v>46.21</v>
      </c>
      <c r="AH524" s="1418">
        <f t="shared" si="178"/>
        <v>0</v>
      </c>
      <c r="AI524" s="1428"/>
      <c r="AO524" s="2504">
        <v>0</v>
      </c>
      <c r="AP524" s="1418">
        <f t="shared" si="186"/>
        <v>-92.42</v>
      </c>
    </row>
    <row r="525" spans="1:42" s="1231" customFormat="1" ht="15.75">
      <c r="A525" s="2103"/>
      <c r="B525" s="1263" t="s">
        <v>496</v>
      </c>
      <c r="C525" s="1264" t="s">
        <v>3307</v>
      </c>
      <c r="D525" s="1265"/>
      <c r="E525" s="1266"/>
      <c r="F525" s="1267"/>
      <c r="G525" s="1480"/>
      <c r="H525" s="1267"/>
      <c r="I525" s="1477">
        <f t="shared" si="173"/>
        <v>0</v>
      </c>
      <c r="J525" s="1477">
        <f t="shared" si="174"/>
        <v>0</v>
      </c>
      <c r="K525" s="1477"/>
      <c r="L525" s="1477">
        <f t="shared" si="179"/>
        <v>0</v>
      </c>
      <c r="M525" s="1477"/>
      <c r="N525" s="1477">
        <f t="shared" si="180"/>
        <v>0</v>
      </c>
      <c r="O525" s="1477">
        <f t="shared" si="181"/>
        <v>0</v>
      </c>
      <c r="P525" s="1477">
        <f t="shared" si="182"/>
        <v>0</v>
      </c>
      <c r="Q525" s="1477">
        <f t="shared" si="183"/>
        <v>0</v>
      </c>
      <c r="R525" s="1576">
        <f t="shared" si="184"/>
        <v>0</v>
      </c>
      <c r="S525" s="2452"/>
      <c r="T525" s="1866"/>
      <c r="U525" s="2442"/>
      <c r="V525" s="1866">
        <f t="shared" si="187"/>
        <v>0</v>
      </c>
      <c r="W525" s="2452"/>
      <c r="X525" s="1870"/>
      <c r="Y525" s="1871" t="str">
        <f t="shared" si="188"/>
        <v/>
      </c>
      <c r="Z525" s="1694"/>
      <c r="AA525" s="1872">
        <f t="shared" si="189"/>
        <v>0</v>
      </c>
      <c r="AB525" s="1873" t="str">
        <f t="shared" si="190"/>
        <v/>
      </c>
      <c r="AC525" s="1418">
        <f t="shared" si="175"/>
        <v>0</v>
      </c>
      <c r="AD525" s="1418">
        <f t="shared" si="176"/>
        <v>0</v>
      </c>
      <c r="AE525" s="1230"/>
      <c r="AF525" s="1230">
        <f t="shared" si="177"/>
        <v>0</v>
      </c>
      <c r="AG525" s="1230"/>
      <c r="AH525" s="1418">
        <f t="shared" si="178"/>
        <v>0</v>
      </c>
      <c r="AI525" s="1346"/>
      <c r="AO525" s="1736"/>
      <c r="AP525" s="1418">
        <f t="shared" si="186"/>
        <v>0</v>
      </c>
    </row>
    <row r="526" spans="1:42" s="1410" customFormat="1" ht="15.75">
      <c r="A526" s="2102"/>
      <c r="B526" s="1272" t="s">
        <v>497</v>
      </c>
      <c r="C526" s="1262" t="s">
        <v>3308</v>
      </c>
      <c r="D526" s="1273"/>
      <c r="E526" s="1415"/>
      <c r="F526" s="1267"/>
      <c r="G526" s="1480"/>
      <c r="H526" s="1416"/>
      <c r="I526" s="1477">
        <f t="shared" si="173"/>
        <v>0</v>
      </c>
      <c r="J526" s="1477">
        <f t="shared" si="174"/>
        <v>0</v>
      </c>
      <c r="K526" s="1477"/>
      <c r="L526" s="1477">
        <f t="shared" si="179"/>
        <v>0</v>
      </c>
      <c r="M526" s="1477"/>
      <c r="N526" s="1477">
        <f t="shared" si="180"/>
        <v>0</v>
      </c>
      <c r="O526" s="1477">
        <f t="shared" si="181"/>
        <v>0</v>
      </c>
      <c r="P526" s="1477">
        <f t="shared" si="182"/>
        <v>0</v>
      </c>
      <c r="Q526" s="1477">
        <f t="shared" si="183"/>
        <v>0</v>
      </c>
      <c r="R526" s="1576">
        <f t="shared" si="184"/>
        <v>0</v>
      </c>
      <c r="S526" s="1869"/>
      <c r="T526" s="1866"/>
      <c r="U526" s="2442"/>
      <c r="V526" s="1866">
        <f t="shared" si="187"/>
        <v>0</v>
      </c>
      <c r="W526" s="1869"/>
      <c r="X526" s="1870"/>
      <c r="Y526" s="1871" t="str">
        <f t="shared" si="188"/>
        <v/>
      </c>
      <c r="Z526" s="1694"/>
      <c r="AA526" s="1872">
        <f t="shared" si="189"/>
        <v>0</v>
      </c>
      <c r="AB526" s="1873" t="str">
        <f t="shared" si="190"/>
        <v/>
      </c>
      <c r="AC526" s="1418">
        <f t="shared" si="175"/>
        <v>0</v>
      </c>
      <c r="AD526" s="1418">
        <f t="shared" si="176"/>
        <v>0</v>
      </c>
      <c r="AE526" s="1418"/>
      <c r="AF526" s="1418">
        <f t="shared" si="177"/>
        <v>0</v>
      </c>
      <c r="AG526" s="1418"/>
      <c r="AH526" s="1418">
        <f t="shared" si="178"/>
        <v>0</v>
      </c>
      <c r="AI526" s="1428"/>
      <c r="AO526" s="2504"/>
      <c r="AP526" s="1418">
        <f t="shared" si="186"/>
        <v>0</v>
      </c>
    </row>
    <row r="527" spans="1:42" s="1410" customFormat="1" ht="15.75">
      <c r="A527" s="2102"/>
      <c r="B527" s="1268" t="s">
        <v>2579</v>
      </c>
      <c r="C527" s="1241" t="s">
        <v>3309</v>
      </c>
      <c r="D527" s="1245" t="s">
        <v>38</v>
      </c>
      <c r="E527" s="1413">
        <v>28.1</v>
      </c>
      <c r="F527" s="1555">
        <v>45.53</v>
      </c>
      <c r="G527" s="1480">
        <v>46.2</v>
      </c>
      <c r="H527" s="1414">
        <v>46.56</v>
      </c>
      <c r="I527" s="1477">
        <f t="shared" si="173"/>
        <v>1279.3900000000001</v>
      </c>
      <c r="J527" s="1477">
        <f t="shared" si="174"/>
        <v>1298.22</v>
      </c>
      <c r="K527" s="1477">
        <v>0</v>
      </c>
      <c r="L527" s="1477">
        <f t="shared" si="179"/>
        <v>0</v>
      </c>
      <c r="M527" s="1477">
        <v>28.1</v>
      </c>
      <c r="N527" s="1477">
        <f t="shared" si="180"/>
        <v>28.1</v>
      </c>
      <c r="O527" s="1477">
        <f t="shared" si="181"/>
        <v>0</v>
      </c>
      <c r="P527" s="1477">
        <f t="shared" si="182"/>
        <v>1298.22</v>
      </c>
      <c r="Q527" s="1477">
        <f t="shared" si="183"/>
        <v>1308.3399999999999</v>
      </c>
      <c r="R527" s="1576">
        <f t="shared" si="184"/>
        <v>1308.3399999999999</v>
      </c>
      <c r="S527" s="1869">
        <v>28.1</v>
      </c>
      <c r="T527" s="1866">
        <v>1308.3360000000002</v>
      </c>
      <c r="U527" s="2442"/>
      <c r="V527" s="1866">
        <f t="shared" si="187"/>
        <v>0</v>
      </c>
      <c r="W527" s="1869">
        <f t="shared" ref="W527:W534" si="196">S527+U527</f>
        <v>28.1</v>
      </c>
      <c r="X527" s="1870">
        <f t="shared" si="185"/>
        <v>1308.3360000000002</v>
      </c>
      <c r="Y527" s="1871">
        <f t="shared" si="188"/>
        <v>0.99999694269073813</v>
      </c>
      <c r="Z527" s="1694">
        <f t="shared" ref="Z527:Z534" si="197">+E527-W527</f>
        <v>0</v>
      </c>
      <c r="AA527" s="1872">
        <f t="shared" si="189"/>
        <v>0</v>
      </c>
      <c r="AB527" s="1873">
        <f t="shared" si="190"/>
        <v>0</v>
      </c>
      <c r="AC527" s="1418">
        <f t="shared" si="175"/>
        <v>3.9999999996780389E-3</v>
      </c>
      <c r="AD527" s="1418">
        <f t="shared" si="176"/>
        <v>0</v>
      </c>
      <c r="AE527" s="1418">
        <v>1308.3360000000002</v>
      </c>
      <c r="AF527" s="1418">
        <f t="shared" si="177"/>
        <v>-3.9999999996780389E-3</v>
      </c>
      <c r="AG527" s="1418">
        <v>46.56</v>
      </c>
      <c r="AH527" s="1418">
        <f t="shared" si="178"/>
        <v>0</v>
      </c>
      <c r="AI527" s="1428"/>
      <c r="AO527" s="2504">
        <v>1308.3360000000002</v>
      </c>
      <c r="AP527" s="1418">
        <f t="shared" si="186"/>
        <v>0</v>
      </c>
    </row>
    <row r="528" spans="1:42" s="1410" customFormat="1" ht="15.75">
      <c r="A528" s="2102"/>
      <c r="B528" s="1268" t="s">
        <v>2580</v>
      </c>
      <c r="C528" s="2131" t="s">
        <v>3310</v>
      </c>
      <c r="D528" s="1245" t="s">
        <v>38</v>
      </c>
      <c r="E528" s="1413">
        <v>416.9</v>
      </c>
      <c r="F528" s="1555">
        <v>79.38</v>
      </c>
      <c r="G528" s="1480">
        <v>84.74</v>
      </c>
      <c r="H528" s="1414">
        <v>87.61</v>
      </c>
      <c r="I528" s="1477">
        <f t="shared" ref="I528:I591" si="198">ROUND(E528*F528,2)</f>
        <v>33093.519999999997</v>
      </c>
      <c r="J528" s="1477">
        <f t="shared" ref="J528:J591" si="199">ROUND(E528*G528,2)</f>
        <v>35328.11</v>
      </c>
      <c r="K528" s="1477">
        <v>0</v>
      </c>
      <c r="L528" s="1477">
        <f t="shared" si="179"/>
        <v>0</v>
      </c>
      <c r="M528" s="1477">
        <v>416.9</v>
      </c>
      <c r="N528" s="1477">
        <f t="shared" si="180"/>
        <v>416.9</v>
      </c>
      <c r="O528" s="1477">
        <f t="shared" si="181"/>
        <v>0</v>
      </c>
      <c r="P528" s="1477">
        <f t="shared" si="182"/>
        <v>35328.11</v>
      </c>
      <c r="Q528" s="1477">
        <f t="shared" si="183"/>
        <v>36524.61</v>
      </c>
      <c r="R528" s="1576">
        <f t="shared" si="184"/>
        <v>36524.61</v>
      </c>
      <c r="S528" s="1869">
        <v>363.40000000000003</v>
      </c>
      <c r="T528" s="1866">
        <v>31837.474000000002</v>
      </c>
      <c r="U528" s="2442">
        <v>53.5</v>
      </c>
      <c r="V528" s="1866">
        <f t="shared" si="187"/>
        <v>4687.1350000000002</v>
      </c>
      <c r="W528" s="1869">
        <f t="shared" si="196"/>
        <v>416.90000000000003</v>
      </c>
      <c r="X528" s="1870">
        <f t="shared" si="185"/>
        <v>36524.609000000004</v>
      </c>
      <c r="Y528" s="1871">
        <f t="shared" si="188"/>
        <v>0.99999997262119988</v>
      </c>
      <c r="Z528" s="1694">
        <f t="shared" si="197"/>
        <v>0</v>
      </c>
      <c r="AA528" s="1872">
        <f t="shared" si="189"/>
        <v>0</v>
      </c>
      <c r="AB528" s="1873">
        <f t="shared" si="190"/>
        <v>0</v>
      </c>
      <c r="AC528" s="1418">
        <f t="shared" ref="AC528:AC591" si="200">+R528-X528-AA528</f>
        <v>9.9999999656574801E-4</v>
      </c>
      <c r="AD528" s="1418">
        <f t="shared" ref="AD528:AD591" si="201">+E528-W528-Z528</f>
        <v>-5.6843418860808015E-14</v>
      </c>
      <c r="AE528" s="1418">
        <v>36524.608999999997</v>
      </c>
      <c r="AF528" s="1418">
        <f t="shared" ref="AF528:AF591" si="202">+AE528-R528</f>
        <v>-1.0000000038417056E-3</v>
      </c>
      <c r="AG528" s="1418">
        <v>87.61</v>
      </c>
      <c r="AH528" s="1418">
        <f t="shared" ref="AH528:AH591" si="203">+AG528-H528</f>
        <v>0</v>
      </c>
      <c r="AI528" s="1428"/>
      <c r="AO528" s="2504">
        <v>31837.474000000002</v>
      </c>
      <c r="AP528" s="1418">
        <f t="shared" si="186"/>
        <v>-4687.135000000002</v>
      </c>
    </row>
    <row r="529" spans="1:42" s="1410" customFormat="1" ht="15.75">
      <c r="A529" s="2102"/>
      <c r="B529" s="1268" t="s">
        <v>2581</v>
      </c>
      <c r="C529" s="2131" t="s">
        <v>3311</v>
      </c>
      <c r="D529" s="1245" t="s">
        <v>38</v>
      </c>
      <c r="E529" s="1413">
        <v>103.6</v>
      </c>
      <c r="F529" s="1555">
        <v>222.71</v>
      </c>
      <c r="G529" s="1480">
        <v>230.21</v>
      </c>
      <c r="H529" s="1414">
        <v>234.23</v>
      </c>
      <c r="I529" s="1477">
        <f t="shared" si="198"/>
        <v>23072.76</v>
      </c>
      <c r="J529" s="1477">
        <f t="shared" si="199"/>
        <v>23849.759999999998</v>
      </c>
      <c r="K529" s="1477">
        <v>0</v>
      </c>
      <c r="L529" s="1477">
        <f t="shared" ref="L529:L592" si="204">E529-N529</f>
        <v>0</v>
      </c>
      <c r="M529" s="1477">
        <v>103.6</v>
      </c>
      <c r="N529" s="1477">
        <f t="shared" ref="N529:N592" si="205">ROUND(M529,2)</f>
        <v>103.6</v>
      </c>
      <c r="O529" s="1477">
        <f t="shared" ref="O529:O592" si="206">ROUND(L529*G529,2)</f>
        <v>0</v>
      </c>
      <c r="P529" s="1477">
        <f t="shared" ref="P529:P592" si="207">ROUND(N529*G529,2)</f>
        <v>23849.759999999998</v>
      </c>
      <c r="Q529" s="1477">
        <f t="shared" ref="Q529:Q592" si="208">ROUND(N529*H529,2)</f>
        <v>24266.23</v>
      </c>
      <c r="R529" s="1576">
        <f t="shared" ref="R529:R592" si="209">O529+Q529</f>
        <v>24266.23</v>
      </c>
      <c r="S529" s="1869">
        <v>0</v>
      </c>
      <c r="T529" s="1866">
        <v>0</v>
      </c>
      <c r="U529" s="2442">
        <v>103.6</v>
      </c>
      <c r="V529" s="1866">
        <f t="shared" si="187"/>
        <v>24266.227999999999</v>
      </c>
      <c r="W529" s="1869">
        <f t="shared" si="196"/>
        <v>103.6</v>
      </c>
      <c r="X529" s="1870">
        <f t="shared" ref="X529:X592" si="210">+V529+T529</f>
        <v>24266.227999999999</v>
      </c>
      <c r="Y529" s="1871">
        <f t="shared" si="188"/>
        <v>0.99999991758093443</v>
      </c>
      <c r="Z529" s="1694">
        <f t="shared" si="197"/>
        <v>0</v>
      </c>
      <c r="AA529" s="1872">
        <f t="shared" si="189"/>
        <v>0</v>
      </c>
      <c r="AB529" s="1873">
        <f t="shared" si="190"/>
        <v>0</v>
      </c>
      <c r="AC529" s="1418">
        <f t="shared" si="200"/>
        <v>2.0000000004074536E-3</v>
      </c>
      <c r="AD529" s="1418">
        <f t="shared" si="201"/>
        <v>0</v>
      </c>
      <c r="AE529" s="1418">
        <v>24266.227999999999</v>
      </c>
      <c r="AF529" s="1418">
        <f t="shared" si="202"/>
        <v>-2.0000000004074536E-3</v>
      </c>
      <c r="AG529" s="1418">
        <v>234.23</v>
      </c>
      <c r="AH529" s="1418">
        <f t="shared" si="203"/>
        <v>0</v>
      </c>
      <c r="AI529" s="1428"/>
      <c r="AO529" s="2504">
        <v>0</v>
      </c>
      <c r="AP529" s="1418">
        <f t="shared" ref="AP529:AP592" si="211">+AO529-X529</f>
        <v>-24266.227999999999</v>
      </c>
    </row>
    <row r="530" spans="1:42" s="1410" customFormat="1" ht="15.75">
      <c r="A530" s="2102"/>
      <c r="B530" s="1268" t="s">
        <v>2582</v>
      </c>
      <c r="C530" s="1241" t="s">
        <v>3312</v>
      </c>
      <c r="D530" s="1245" t="s">
        <v>38</v>
      </c>
      <c r="E530" s="1413">
        <v>440</v>
      </c>
      <c r="F530" s="1555">
        <v>47.8</v>
      </c>
      <c r="G530" s="1480">
        <v>49.75</v>
      </c>
      <c r="H530" s="1414">
        <v>50.74</v>
      </c>
      <c r="I530" s="1477">
        <f t="shared" si="198"/>
        <v>21032</v>
      </c>
      <c r="J530" s="1477">
        <f t="shared" si="199"/>
        <v>21890</v>
      </c>
      <c r="K530" s="1477">
        <v>80</v>
      </c>
      <c r="L530" s="1477">
        <f t="shared" si="204"/>
        <v>80</v>
      </c>
      <c r="M530" s="1477">
        <v>360</v>
      </c>
      <c r="N530" s="1477">
        <f t="shared" si="205"/>
        <v>360</v>
      </c>
      <c r="O530" s="1477">
        <f t="shared" si="206"/>
        <v>3980</v>
      </c>
      <c r="P530" s="1477">
        <f t="shared" si="207"/>
        <v>17910</v>
      </c>
      <c r="Q530" s="1477">
        <f t="shared" si="208"/>
        <v>18266.400000000001</v>
      </c>
      <c r="R530" s="1576">
        <f t="shared" si="209"/>
        <v>22246.400000000001</v>
      </c>
      <c r="S530" s="1869">
        <v>440</v>
      </c>
      <c r="T530" s="1866">
        <v>22246.400000000001</v>
      </c>
      <c r="U530" s="2442"/>
      <c r="V530" s="1866">
        <f t="shared" ref="V530:V593" si="212">+U530*H530</f>
        <v>0</v>
      </c>
      <c r="W530" s="1869">
        <f t="shared" si="196"/>
        <v>440</v>
      </c>
      <c r="X530" s="1870">
        <f t="shared" si="210"/>
        <v>22246.400000000001</v>
      </c>
      <c r="Y530" s="1871">
        <f t="shared" ref="Y530:Y593" si="213">+IF(D530=0,"",X530/R530)</f>
        <v>1</v>
      </c>
      <c r="Z530" s="1694">
        <f t="shared" si="197"/>
        <v>0</v>
      </c>
      <c r="AA530" s="1872">
        <f t="shared" ref="AA530:AA593" si="214">+Z530*H530</f>
        <v>0</v>
      </c>
      <c r="AB530" s="1873">
        <f t="shared" ref="AB530:AB593" si="215">+IF(R530=0,"",AA530/R530)</f>
        <v>0</v>
      </c>
      <c r="AC530" s="1418">
        <f t="shared" si="200"/>
        <v>0</v>
      </c>
      <c r="AD530" s="1418">
        <f t="shared" si="201"/>
        <v>0</v>
      </c>
      <c r="AE530" s="1418">
        <v>22246.400000000001</v>
      </c>
      <c r="AF530" s="1418">
        <f t="shared" si="202"/>
        <v>0</v>
      </c>
      <c r="AG530" s="1418">
        <v>50.74</v>
      </c>
      <c r="AH530" s="1418">
        <f t="shared" si="203"/>
        <v>0</v>
      </c>
      <c r="AI530" s="1428"/>
      <c r="AO530" s="2504">
        <v>22246.400000000001</v>
      </c>
      <c r="AP530" s="1418">
        <f t="shared" si="211"/>
        <v>0</v>
      </c>
    </row>
    <row r="531" spans="1:42" s="1410" customFormat="1" ht="15.75">
      <c r="A531" s="2102"/>
      <c r="B531" s="1268" t="s">
        <v>2583</v>
      </c>
      <c r="C531" s="1241" t="s">
        <v>3313</v>
      </c>
      <c r="D531" s="1245" t="s">
        <v>38</v>
      </c>
      <c r="E531" s="1413">
        <v>118</v>
      </c>
      <c r="F531" s="1555">
        <v>61.62</v>
      </c>
      <c r="G531" s="1480">
        <v>63.57</v>
      </c>
      <c r="H531" s="1414">
        <v>64.56</v>
      </c>
      <c r="I531" s="1477">
        <f t="shared" si="198"/>
        <v>7271.16</v>
      </c>
      <c r="J531" s="1477">
        <f t="shared" si="199"/>
        <v>7501.26</v>
      </c>
      <c r="K531" s="1477">
        <v>24</v>
      </c>
      <c r="L531" s="1477">
        <f t="shared" si="204"/>
        <v>24</v>
      </c>
      <c r="M531" s="1477">
        <v>94</v>
      </c>
      <c r="N531" s="1477">
        <f t="shared" si="205"/>
        <v>94</v>
      </c>
      <c r="O531" s="1477">
        <f t="shared" si="206"/>
        <v>1525.68</v>
      </c>
      <c r="P531" s="1477">
        <f t="shared" si="207"/>
        <v>5975.58</v>
      </c>
      <c r="Q531" s="1477">
        <f t="shared" si="208"/>
        <v>6068.64</v>
      </c>
      <c r="R531" s="1576">
        <f t="shared" si="209"/>
        <v>7594.3200000000006</v>
      </c>
      <c r="S531" s="1869">
        <v>118</v>
      </c>
      <c r="T531" s="1866">
        <v>7594.3200000000006</v>
      </c>
      <c r="U531" s="2442"/>
      <c r="V531" s="1866">
        <f t="shared" si="212"/>
        <v>0</v>
      </c>
      <c r="W531" s="1869">
        <f t="shared" si="196"/>
        <v>118</v>
      </c>
      <c r="X531" s="1870">
        <f t="shared" si="210"/>
        <v>7594.3200000000006</v>
      </c>
      <c r="Y531" s="1871">
        <f t="shared" si="213"/>
        <v>1</v>
      </c>
      <c r="Z531" s="1694">
        <f t="shared" si="197"/>
        <v>0</v>
      </c>
      <c r="AA531" s="1872">
        <f t="shared" si="214"/>
        <v>0</v>
      </c>
      <c r="AB531" s="1873">
        <f t="shared" si="215"/>
        <v>0</v>
      </c>
      <c r="AC531" s="1418">
        <f t="shared" si="200"/>
        <v>0</v>
      </c>
      <c r="AD531" s="1418">
        <f t="shared" si="201"/>
        <v>0</v>
      </c>
      <c r="AE531" s="1418">
        <v>7594.32</v>
      </c>
      <c r="AF531" s="1418">
        <f t="shared" si="202"/>
        <v>0</v>
      </c>
      <c r="AG531" s="1418">
        <v>64.56</v>
      </c>
      <c r="AH531" s="1418">
        <f t="shared" si="203"/>
        <v>0</v>
      </c>
      <c r="AI531" s="1428"/>
      <c r="AO531" s="2504">
        <v>6102.9840000000004</v>
      </c>
      <c r="AP531" s="1418">
        <f t="shared" si="211"/>
        <v>-1491.3360000000002</v>
      </c>
    </row>
    <row r="532" spans="1:42" s="1410" customFormat="1" ht="15.75">
      <c r="A532" s="2102"/>
      <c r="B532" s="1268" t="s">
        <v>2584</v>
      </c>
      <c r="C532" s="1241" t="s">
        <v>3314</v>
      </c>
      <c r="D532" s="1245" t="s">
        <v>38</v>
      </c>
      <c r="E532" s="1413">
        <v>510</v>
      </c>
      <c r="F532" s="1555">
        <v>76.27</v>
      </c>
      <c r="G532" s="1480">
        <v>78.22</v>
      </c>
      <c r="H532" s="1414">
        <v>79.209999999999994</v>
      </c>
      <c r="I532" s="1477">
        <f t="shared" si="198"/>
        <v>38897.699999999997</v>
      </c>
      <c r="J532" s="1477">
        <f t="shared" si="199"/>
        <v>39892.199999999997</v>
      </c>
      <c r="K532" s="1477">
        <v>12</v>
      </c>
      <c r="L532" s="1477">
        <f t="shared" si="204"/>
        <v>12</v>
      </c>
      <c r="M532" s="1477">
        <v>498</v>
      </c>
      <c r="N532" s="1477">
        <f t="shared" si="205"/>
        <v>498</v>
      </c>
      <c r="O532" s="1477">
        <f t="shared" si="206"/>
        <v>938.64</v>
      </c>
      <c r="P532" s="1477">
        <f t="shared" si="207"/>
        <v>38953.56</v>
      </c>
      <c r="Q532" s="1477">
        <f t="shared" si="208"/>
        <v>39446.58</v>
      </c>
      <c r="R532" s="1576">
        <f t="shared" si="209"/>
        <v>40385.22</v>
      </c>
      <c r="S532" s="1869">
        <v>510</v>
      </c>
      <c r="T532" s="1866">
        <v>40385.219999999994</v>
      </c>
      <c r="U532" s="2442"/>
      <c r="V532" s="1866">
        <f t="shared" si="212"/>
        <v>0</v>
      </c>
      <c r="W532" s="1869">
        <f t="shared" si="196"/>
        <v>510</v>
      </c>
      <c r="X532" s="1870">
        <f t="shared" si="210"/>
        <v>40385.219999999994</v>
      </c>
      <c r="Y532" s="1871">
        <f t="shared" si="213"/>
        <v>0.99999999999999978</v>
      </c>
      <c r="Z532" s="1694">
        <f t="shared" si="197"/>
        <v>0</v>
      </c>
      <c r="AA532" s="1872">
        <f t="shared" si="214"/>
        <v>0</v>
      </c>
      <c r="AB532" s="1873">
        <f t="shared" si="215"/>
        <v>0</v>
      </c>
      <c r="AC532" s="1418">
        <f t="shared" si="200"/>
        <v>7.2759576141834259E-12</v>
      </c>
      <c r="AD532" s="1418">
        <f t="shared" si="201"/>
        <v>0</v>
      </c>
      <c r="AE532" s="1418">
        <v>40385.219999999994</v>
      </c>
      <c r="AF532" s="1418">
        <f t="shared" si="202"/>
        <v>0</v>
      </c>
      <c r="AG532" s="1418">
        <v>79.209999999999994</v>
      </c>
      <c r="AH532" s="1418">
        <f t="shared" si="203"/>
        <v>0</v>
      </c>
      <c r="AI532" s="1428"/>
      <c r="AO532" s="2504">
        <v>5619.951</v>
      </c>
      <c r="AP532" s="1418">
        <f t="shared" si="211"/>
        <v>-34765.268999999993</v>
      </c>
    </row>
    <row r="533" spans="1:42" s="1410" customFormat="1" ht="15.75">
      <c r="A533" s="2102"/>
      <c r="B533" s="1268" t="s">
        <v>2585</v>
      </c>
      <c r="C533" s="1241" t="s">
        <v>3315</v>
      </c>
      <c r="D533" s="1245" t="s">
        <v>36</v>
      </c>
      <c r="E533" s="1413">
        <v>45</v>
      </c>
      <c r="F533" s="1555">
        <v>274.39</v>
      </c>
      <c r="G533" s="1480">
        <v>287.89999999999998</v>
      </c>
      <c r="H533" s="1414">
        <v>294.83</v>
      </c>
      <c r="I533" s="1477">
        <f t="shared" si="198"/>
        <v>12347.55</v>
      </c>
      <c r="J533" s="1477">
        <f t="shared" si="199"/>
        <v>12955.5</v>
      </c>
      <c r="K533" s="1477">
        <v>12</v>
      </c>
      <c r="L533" s="1477">
        <f t="shared" si="204"/>
        <v>12</v>
      </c>
      <c r="M533" s="1477">
        <v>33</v>
      </c>
      <c r="N533" s="1477">
        <f t="shared" si="205"/>
        <v>33</v>
      </c>
      <c r="O533" s="1477">
        <f t="shared" si="206"/>
        <v>3454.8</v>
      </c>
      <c r="P533" s="1477">
        <f t="shared" si="207"/>
        <v>9500.7000000000007</v>
      </c>
      <c r="Q533" s="1477">
        <f t="shared" si="208"/>
        <v>9729.39</v>
      </c>
      <c r="R533" s="1576">
        <f t="shared" si="209"/>
        <v>13184.189999999999</v>
      </c>
      <c r="S533" s="1869">
        <v>45</v>
      </c>
      <c r="T533" s="1866">
        <v>13184.189999999999</v>
      </c>
      <c r="U533" s="2442"/>
      <c r="V533" s="1866">
        <f t="shared" si="212"/>
        <v>0</v>
      </c>
      <c r="W533" s="1869">
        <f t="shared" si="196"/>
        <v>45</v>
      </c>
      <c r="X533" s="1870">
        <f t="shared" si="210"/>
        <v>13184.189999999999</v>
      </c>
      <c r="Y533" s="1871">
        <f t="shared" si="213"/>
        <v>1</v>
      </c>
      <c r="Z533" s="1694">
        <f t="shared" si="197"/>
        <v>0</v>
      </c>
      <c r="AA533" s="1872">
        <f t="shared" si="214"/>
        <v>0</v>
      </c>
      <c r="AB533" s="1873">
        <f t="shared" si="215"/>
        <v>0</v>
      </c>
      <c r="AC533" s="1418">
        <f t="shared" si="200"/>
        <v>0</v>
      </c>
      <c r="AD533" s="1418">
        <f t="shared" si="201"/>
        <v>0</v>
      </c>
      <c r="AE533" s="1418">
        <v>13184.189999999999</v>
      </c>
      <c r="AF533" s="1418">
        <f t="shared" si="202"/>
        <v>0</v>
      </c>
      <c r="AG533" s="1418">
        <v>294.83</v>
      </c>
      <c r="AH533" s="1418">
        <f t="shared" si="203"/>
        <v>0</v>
      </c>
      <c r="AI533" s="1428"/>
      <c r="AO533" s="2504">
        <v>12004.869999999999</v>
      </c>
      <c r="AP533" s="1418">
        <f t="shared" si="211"/>
        <v>-1179.3199999999997</v>
      </c>
    </row>
    <row r="534" spans="1:42" s="1410" customFormat="1" ht="15.75">
      <c r="A534" s="2102"/>
      <c r="B534" s="1268" t="s">
        <v>2586</v>
      </c>
      <c r="C534" s="1241" t="s">
        <v>3316</v>
      </c>
      <c r="D534" s="1245" t="s">
        <v>36</v>
      </c>
      <c r="E534" s="1413">
        <v>81</v>
      </c>
      <c r="F534" s="1555">
        <v>70.69</v>
      </c>
      <c r="G534" s="1480">
        <v>76.099999999999994</v>
      </c>
      <c r="H534" s="1414">
        <v>78.87</v>
      </c>
      <c r="I534" s="1477">
        <f t="shared" si="198"/>
        <v>5725.89</v>
      </c>
      <c r="J534" s="1477">
        <f t="shared" si="199"/>
        <v>6164.1</v>
      </c>
      <c r="K534" s="1477">
        <v>0</v>
      </c>
      <c r="L534" s="1477">
        <f t="shared" si="204"/>
        <v>0</v>
      </c>
      <c r="M534" s="1477">
        <v>81</v>
      </c>
      <c r="N534" s="1477">
        <f t="shared" si="205"/>
        <v>81</v>
      </c>
      <c r="O534" s="1477">
        <f t="shared" si="206"/>
        <v>0</v>
      </c>
      <c r="P534" s="1477">
        <f t="shared" si="207"/>
        <v>6164.1</v>
      </c>
      <c r="Q534" s="1477">
        <f t="shared" si="208"/>
        <v>6388.47</v>
      </c>
      <c r="R534" s="1576">
        <f t="shared" si="209"/>
        <v>6388.47</v>
      </c>
      <c r="S534" s="1869">
        <v>81</v>
      </c>
      <c r="T534" s="1866">
        <v>6388.47</v>
      </c>
      <c r="U534" s="2442"/>
      <c r="V534" s="1866">
        <f t="shared" si="212"/>
        <v>0</v>
      </c>
      <c r="W534" s="1869">
        <f t="shared" si="196"/>
        <v>81</v>
      </c>
      <c r="X534" s="1870">
        <f t="shared" si="210"/>
        <v>6388.47</v>
      </c>
      <c r="Y534" s="1871">
        <f t="shared" si="213"/>
        <v>1</v>
      </c>
      <c r="Z534" s="1694">
        <f t="shared" si="197"/>
        <v>0</v>
      </c>
      <c r="AA534" s="1872">
        <f t="shared" si="214"/>
        <v>0</v>
      </c>
      <c r="AB534" s="1873">
        <f t="shared" si="215"/>
        <v>0</v>
      </c>
      <c r="AC534" s="1418">
        <f t="shared" si="200"/>
        <v>0</v>
      </c>
      <c r="AD534" s="1418">
        <f t="shared" si="201"/>
        <v>0</v>
      </c>
      <c r="AE534" s="1418">
        <v>6388.47</v>
      </c>
      <c r="AF534" s="1418">
        <f t="shared" si="202"/>
        <v>0</v>
      </c>
      <c r="AG534" s="1418">
        <v>78.87</v>
      </c>
      <c r="AH534" s="1418">
        <f t="shared" si="203"/>
        <v>0</v>
      </c>
      <c r="AI534" s="1428"/>
      <c r="AO534" s="2504">
        <v>1104.18</v>
      </c>
      <c r="AP534" s="1418">
        <f t="shared" si="211"/>
        <v>-5284.29</v>
      </c>
    </row>
    <row r="535" spans="1:42" s="1410" customFormat="1" ht="15.75">
      <c r="A535" s="2102"/>
      <c r="B535" s="1272" t="s">
        <v>498</v>
      </c>
      <c r="C535" s="1262" t="s">
        <v>3317</v>
      </c>
      <c r="D535" s="1273"/>
      <c r="E535" s="1415"/>
      <c r="F535" s="1267"/>
      <c r="G535" s="1480"/>
      <c r="H535" s="1416"/>
      <c r="I535" s="1477">
        <f t="shared" si="198"/>
        <v>0</v>
      </c>
      <c r="J535" s="1477">
        <f t="shared" si="199"/>
        <v>0</v>
      </c>
      <c r="K535" s="1477"/>
      <c r="L535" s="1477">
        <f t="shared" si="204"/>
        <v>0</v>
      </c>
      <c r="M535" s="1477"/>
      <c r="N535" s="1477">
        <f t="shared" si="205"/>
        <v>0</v>
      </c>
      <c r="O535" s="1477">
        <f t="shared" si="206"/>
        <v>0</v>
      </c>
      <c r="P535" s="1477">
        <f t="shared" si="207"/>
        <v>0</v>
      </c>
      <c r="Q535" s="1477">
        <f t="shared" si="208"/>
        <v>0</v>
      </c>
      <c r="R535" s="1576">
        <f t="shared" si="209"/>
        <v>0</v>
      </c>
      <c r="S535" s="1869"/>
      <c r="T535" s="1866"/>
      <c r="U535" s="2442"/>
      <c r="V535" s="1866">
        <f t="shared" si="212"/>
        <v>0</v>
      </c>
      <c r="W535" s="1869"/>
      <c r="X535" s="1870"/>
      <c r="Y535" s="1871" t="str">
        <f t="shared" si="213"/>
        <v/>
      </c>
      <c r="Z535" s="1694"/>
      <c r="AA535" s="1872">
        <f t="shared" si="214"/>
        <v>0</v>
      </c>
      <c r="AB535" s="1873" t="str">
        <f t="shared" si="215"/>
        <v/>
      </c>
      <c r="AC535" s="1418">
        <f t="shared" si="200"/>
        <v>0</v>
      </c>
      <c r="AD535" s="1418">
        <f t="shared" si="201"/>
        <v>0</v>
      </c>
      <c r="AE535" s="1418"/>
      <c r="AF535" s="1418">
        <f t="shared" si="202"/>
        <v>0</v>
      </c>
      <c r="AG535" s="1418"/>
      <c r="AH535" s="1418">
        <f t="shared" si="203"/>
        <v>0</v>
      </c>
      <c r="AI535" s="1428"/>
      <c r="AO535" s="2504"/>
      <c r="AP535" s="1418">
        <f t="shared" si="211"/>
        <v>0</v>
      </c>
    </row>
    <row r="536" spans="1:42" s="1410" customFormat="1" ht="15.75">
      <c r="A536" s="2102"/>
      <c r="B536" s="1268" t="s">
        <v>2587</v>
      </c>
      <c r="C536" s="1241" t="s">
        <v>3318</v>
      </c>
      <c r="D536" s="1245" t="s">
        <v>38</v>
      </c>
      <c r="E536" s="1413">
        <v>91.5</v>
      </c>
      <c r="F536" s="1555">
        <v>22.61</v>
      </c>
      <c r="G536" s="1480">
        <v>23.97</v>
      </c>
      <c r="H536" s="1414">
        <v>24.67</v>
      </c>
      <c r="I536" s="1477">
        <f t="shared" si="198"/>
        <v>2068.8200000000002</v>
      </c>
      <c r="J536" s="1477">
        <f t="shared" si="199"/>
        <v>2193.2600000000002</v>
      </c>
      <c r="K536" s="1477">
        <v>0</v>
      </c>
      <c r="L536" s="1477">
        <f t="shared" si="204"/>
        <v>0</v>
      </c>
      <c r="M536" s="1477">
        <v>91.5</v>
      </c>
      <c r="N536" s="1477">
        <f t="shared" si="205"/>
        <v>91.5</v>
      </c>
      <c r="O536" s="1477">
        <f t="shared" si="206"/>
        <v>0</v>
      </c>
      <c r="P536" s="1477">
        <f t="shared" si="207"/>
        <v>2193.2600000000002</v>
      </c>
      <c r="Q536" s="1477">
        <f t="shared" si="208"/>
        <v>2257.31</v>
      </c>
      <c r="R536" s="1576">
        <f t="shared" si="209"/>
        <v>2257.31</v>
      </c>
      <c r="S536" s="1869">
        <v>0</v>
      </c>
      <c r="T536" s="1866">
        <v>0</v>
      </c>
      <c r="U536" s="2442"/>
      <c r="V536" s="1866">
        <f t="shared" si="212"/>
        <v>0</v>
      </c>
      <c r="W536" s="1869">
        <f t="shared" ref="W536:W550" si="216">S536+U536</f>
        <v>0</v>
      </c>
      <c r="X536" s="1870">
        <f t="shared" si="210"/>
        <v>0</v>
      </c>
      <c r="Y536" s="1871">
        <f t="shared" si="213"/>
        <v>0</v>
      </c>
      <c r="Z536" s="1694">
        <f t="shared" ref="Z536:Z550" si="217">+E536-W536</f>
        <v>91.5</v>
      </c>
      <c r="AA536" s="1872">
        <f t="shared" si="214"/>
        <v>2257.3050000000003</v>
      </c>
      <c r="AB536" s="1873">
        <f t="shared" si="215"/>
        <v>0.99999778497415082</v>
      </c>
      <c r="AC536" s="1418">
        <f t="shared" si="200"/>
        <v>4.999999999654392E-3</v>
      </c>
      <c r="AD536" s="1418">
        <f t="shared" si="201"/>
        <v>0</v>
      </c>
      <c r="AE536" s="1418">
        <v>2257.3050000000003</v>
      </c>
      <c r="AF536" s="1418">
        <f t="shared" si="202"/>
        <v>-4.999999999654392E-3</v>
      </c>
      <c r="AG536" s="1418">
        <v>24.67</v>
      </c>
      <c r="AH536" s="1418">
        <f t="shared" si="203"/>
        <v>0</v>
      </c>
      <c r="AI536" s="1428"/>
      <c r="AO536" s="2504">
        <v>0</v>
      </c>
      <c r="AP536" s="1418">
        <f t="shared" si="211"/>
        <v>0</v>
      </c>
    </row>
    <row r="537" spans="1:42" s="1410" customFormat="1" ht="15.75">
      <c r="A537" s="2102"/>
      <c r="B537" s="1268" t="s">
        <v>2588</v>
      </c>
      <c r="C537" s="1241" t="s">
        <v>3319</v>
      </c>
      <c r="D537" s="1245" t="s">
        <v>38</v>
      </c>
      <c r="E537" s="1413">
        <v>178.6</v>
      </c>
      <c r="F537" s="1555">
        <v>112.85</v>
      </c>
      <c r="G537" s="1480">
        <v>117.4</v>
      </c>
      <c r="H537" s="1414">
        <v>119.88</v>
      </c>
      <c r="I537" s="1477">
        <f t="shared" si="198"/>
        <v>20155.009999999998</v>
      </c>
      <c r="J537" s="1477">
        <f t="shared" si="199"/>
        <v>20967.64</v>
      </c>
      <c r="K537" s="1477">
        <v>0</v>
      </c>
      <c r="L537" s="1477">
        <f t="shared" si="204"/>
        <v>0</v>
      </c>
      <c r="M537" s="1477">
        <v>178.6</v>
      </c>
      <c r="N537" s="1477">
        <f t="shared" si="205"/>
        <v>178.6</v>
      </c>
      <c r="O537" s="1477">
        <f t="shared" si="206"/>
        <v>0</v>
      </c>
      <c r="P537" s="1477">
        <f t="shared" si="207"/>
        <v>20967.64</v>
      </c>
      <c r="Q537" s="1477">
        <f t="shared" si="208"/>
        <v>21410.57</v>
      </c>
      <c r="R537" s="1576">
        <f t="shared" si="209"/>
        <v>21410.57</v>
      </c>
      <c r="S537" s="1869">
        <v>81.75</v>
      </c>
      <c r="T537" s="1866">
        <v>9800.1899999999987</v>
      </c>
      <c r="U537" s="2442">
        <v>29.55</v>
      </c>
      <c r="V537" s="1866">
        <f t="shared" si="212"/>
        <v>3542.4539999999997</v>
      </c>
      <c r="W537" s="1869">
        <f t="shared" si="216"/>
        <v>111.3</v>
      </c>
      <c r="X537" s="1870">
        <f t="shared" si="210"/>
        <v>13342.643999999998</v>
      </c>
      <c r="Y537" s="1871">
        <f t="shared" si="213"/>
        <v>0.62318023294101921</v>
      </c>
      <c r="Z537" s="1694">
        <f t="shared" si="217"/>
        <v>67.3</v>
      </c>
      <c r="AA537" s="1872">
        <f t="shared" si="214"/>
        <v>8067.9239999999991</v>
      </c>
      <c r="AB537" s="1873">
        <f t="shared" si="215"/>
        <v>0.37681967364717517</v>
      </c>
      <c r="AC537" s="1418">
        <f t="shared" si="200"/>
        <v>2.000000002226443E-3</v>
      </c>
      <c r="AD537" s="1418">
        <f t="shared" si="201"/>
        <v>0</v>
      </c>
      <c r="AE537" s="1418">
        <v>21410.567999999999</v>
      </c>
      <c r="AF537" s="1418">
        <f t="shared" si="202"/>
        <v>-2.0000000004074536E-3</v>
      </c>
      <c r="AG537" s="1418">
        <v>119.88</v>
      </c>
      <c r="AH537" s="1418">
        <f t="shared" si="203"/>
        <v>0</v>
      </c>
      <c r="AI537" s="1428"/>
      <c r="AO537" s="2504">
        <v>9800.1899999999987</v>
      </c>
      <c r="AP537" s="1418">
        <f t="shared" si="211"/>
        <v>-3542.4539999999997</v>
      </c>
    </row>
    <row r="538" spans="1:42" s="1410" customFormat="1" ht="15.75">
      <c r="A538" s="2102"/>
      <c r="B538" s="1268" t="s">
        <v>2589</v>
      </c>
      <c r="C538" s="1241" t="s">
        <v>3320</v>
      </c>
      <c r="D538" s="1245" t="s">
        <v>38</v>
      </c>
      <c r="E538" s="1413">
        <v>23.4</v>
      </c>
      <c r="F538" s="1555">
        <v>126.59</v>
      </c>
      <c r="G538" s="1480">
        <v>131.13999999999999</v>
      </c>
      <c r="H538" s="1414">
        <v>133.62</v>
      </c>
      <c r="I538" s="1477">
        <f t="shared" si="198"/>
        <v>2962.21</v>
      </c>
      <c r="J538" s="1477">
        <f t="shared" si="199"/>
        <v>3068.68</v>
      </c>
      <c r="K538" s="1477">
        <v>0</v>
      </c>
      <c r="L538" s="1477">
        <f t="shared" si="204"/>
        <v>0</v>
      </c>
      <c r="M538" s="1477">
        <v>23.4</v>
      </c>
      <c r="N538" s="1477">
        <f t="shared" si="205"/>
        <v>23.4</v>
      </c>
      <c r="O538" s="1477">
        <f t="shared" si="206"/>
        <v>0</v>
      </c>
      <c r="P538" s="1477">
        <f t="shared" si="207"/>
        <v>3068.68</v>
      </c>
      <c r="Q538" s="1477">
        <f t="shared" si="208"/>
        <v>3126.71</v>
      </c>
      <c r="R538" s="1576">
        <f t="shared" si="209"/>
        <v>3126.71</v>
      </c>
      <c r="S538" s="1869">
        <v>23.4</v>
      </c>
      <c r="T538" s="1866">
        <v>3126.7080000000001</v>
      </c>
      <c r="U538" s="2442"/>
      <c r="V538" s="1866">
        <f t="shared" si="212"/>
        <v>0</v>
      </c>
      <c r="W538" s="1869">
        <f t="shared" si="216"/>
        <v>23.4</v>
      </c>
      <c r="X538" s="1870">
        <f t="shared" si="210"/>
        <v>3126.7080000000001</v>
      </c>
      <c r="Y538" s="1871">
        <f t="shared" si="213"/>
        <v>0.99999936035001646</v>
      </c>
      <c r="Z538" s="1694">
        <f t="shared" si="217"/>
        <v>0</v>
      </c>
      <c r="AA538" s="1872">
        <f t="shared" si="214"/>
        <v>0</v>
      </c>
      <c r="AB538" s="1873">
        <f t="shared" si="215"/>
        <v>0</v>
      </c>
      <c r="AC538" s="1418">
        <f t="shared" si="200"/>
        <v>1.9999999999527063E-3</v>
      </c>
      <c r="AD538" s="1418">
        <f t="shared" si="201"/>
        <v>0</v>
      </c>
      <c r="AE538" s="1418">
        <v>3126.7080000000001</v>
      </c>
      <c r="AF538" s="1418">
        <f t="shared" si="202"/>
        <v>-1.9999999999527063E-3</v>
      </c>
      <c r="AG538" s="1418">
        <v>133.62</v>
      </c>
      <c r="AH538" s="1418">
        <f t="shared" si="203"/>
        <v>0</v>
      </c>
      <c r="AI538" s="1428"/>
      <c r="AO538" s="2504">
        <v>3126.7080000000001</v>
      </c>
      <c r="AP538" s="1418">
        <f t="shared" si="211"/>
        <v>0</v>
      </c>
    </row>
    <row r="539" spans="1:42" s="1410" customFormat="1" ht="15.75">
      <c r="A539" s="2102"/>
      <c r="B539" s="1268" t="s">
        <v>2590</v>
      </c>
      <c r="C539" s="1241" t="s">
        <v>3321</v>
      </c>
      <c r="D539" s="1245" t="s">
        <v>38</v>
      </c>
      <c r="E539" s="1413">
        <v>7.55</v>
      </c>
      <c r="F539" s="1555">
        <v>369.77</v>
      </c>
      <c r="G539" s="1480">
        <v>374.71</v>
      </c>
      <c r="H539" s="1414">
        <v>377.41</v>
      </c>
      <c r="I539" s="1477">
        <f t="shared" si="198"/>
        <v>2791.76</v>
      </c>
      <c r="J539" s="1477">
        <f t="shared" si="199"/>
        <v>2829.06</v>
      </c>
      <c r="K539" s="1477">
        <v>0</v>
      </c>
      <c r="L539" s="1477">
        <f t="shared" si="204"/>
        <v>0</v>
      </c>
      <c r="M539" s="1477">
        <v>7.55</v>
      </c>
      <c r="N539" s="1477">
        <f t="shared" si="205"/>
        <v>7.55</v>
      </c>
      <c r="O539" s="1477">
        <f t="shared" si="206"/>
        <v>0</v>
      </c>
      <c r="P539" s="1477">
        <f t="shared" si="207"/>
        <v>2829.06</v>
      </c>
      <c r="Q539" s="1477">
        <f t="shared" si="208"/>
        <v>2849.45</v>
      </c>
      <c r="R539" s="1576">
        <f t="shared" si="209"/>
        <v>2849.45</v>
      </c>
      <c r="S539" s="1869">
        <v>0</v>
      </c>
      <c r="T539" s="1866">
        <v>0</v>
      </c>
      <c r="U539" s="2442"/>
      <c r="V539" s="1866">
        <f t="shared" si="212"/>
        <v>0</v>
      </c>
      <c r="W539" s="1869">
        <f t="shared" si="216"/>
        <v>0</v>
      </c>
      <c r="X539" s="1870">
        <f t="shared" si="210"/>
        <v>0</v>
      </c>
      <c r="Y539" s="1871">
        <f t="shared" si="213"/>
        <v>0</v>
      </c>
      <c r="Z539" s="1694">
        <f t="shared" si="217"/>
        <v>7.55</v>
      </c>
      <c r="AA539" s="1872">
        <f t="shared" si="214"/>
        <v>2849.4455000000003</v>
      </c>
      <c r="AB539" s="1873">
        <f t="shared" si="215"/>
        <v>0.99999842074786383</v>
      </c>
      <c r="AC539" s="1418">
        <f t="shared" si="200"/>
        <v>4.4999999995525286E-3</v>
      </c>
      <c r="AD539" s="1418">
        <f t="shared" si="201"/>
        <v>0</v>
      </c>
      <c r="AE539" s="1418">
        <v>2849.4455000000003</v>
      </c>
      <c r="AF539" s="1418">
        <f t="shared" si="202"/>
        <v>-4.4999999995525286E-3</v>
      </c>
      <c r="AG539" s="1418">
        <v>377.41</v>
      </c>
      <c r="AH539" s="1418">
        <f t="shared" si="203"/>
        <v>0</v>
      </c>
      <c r="AI539" s="1428"/>
      <c r="AO539" s="2504">
        <v>0</v>
      </c>
      <c r="AP539" s="1418">
        <f t="shared" si="211"/>
        <v>0</v>
      </c>
    </row>
    <row r="540" spans="1:42" s="1410" customFormat="1" ht="15.75">
      <c r="A540" s="2102"/>
      <c r="B540" s="1268" t="s">
        <v>2591</v>
      </c>
      <c r="C540" s="1241" t="s">
        <v>3322</v>
      </c>
      <c r="D540" s="1245" t="s">
        <v>38</v>
      </c>
      <c r="E540" s="1413">
        <v>158</v>
      </c>
      <c r="F540" s="1555">
        <v>104.19</v>
      </c>
      <c r="G540" s="1480">
        <v>105.76</v>
      </c>
      <c r="H540" s="1414">
        <v>106.63</v>
      </c>
      <c r="I540" s="1477">
        <f t="shared" si="198"/>
        <v>16462.02</v>
      </c>
      <c r="J540" s="1477">
        <f t="shared" si="199"/>
        <v>16710.080000000002</v>
      </c>
      <c r="K540" s="1477">
        <v>0</v>
      </c>
      <c r="L540" s="1477">
        <f t="shared" si="204"/>
        <v>0</v>
      </c>
      <c r="M540" s="1477">
        <v>158</v>
      </c>
      <c r="N540" s="1477">
        <f t="shared" si="205"/>
        <v>158</v>
      </c>
      <c r="O540" s="1477">
        <f t="shared" si="206"/>
        <v>0</v>
      </c>
      <c r="P540" s="1477">
        <f t="shared" si="207"/>
        <v>16710.080000000002</v>
      </c>
      <c r="Q540" s="1477">
        <f t="shared" si="208"/>
        <v>16847.54</v>
      </c>
      <c r="R540" s="1576">
        <f t="shared" si="209"/>
        <v>16847.54</v>
      </c>
      <c r="S540" s="1869">
        <v>109.65</v>
      </c>
      <c r="T540" s="1866">
        <v>11691.979499999998</v>
      </c>
      <c r="U540" s="2442"/>
      <c r="V540" s="1866">
        <f t="shared" si="212"/>
        <v>0</v>
      </c>
      <c r="W540" s="1869">
        <f t="shared" si="216"/>
        <v>109.65</v>
      </c>
      <c r="X540" s="1870">
        <f t="shared" si="210"/>
        <v>11691.979499999998</v>
      </c>
      <c r="Y540" s="1871">
        <f t="shared" si="213"/>
        <v>0.69398734177215171</v>
      </c>
      <c r="Z540" s="1694">
        <f t="shared" si="217"/>
        <v>48.349999999999994</v>
      </c>
      <c r="AA540" s="1872">
        <f t="shared" si="214"/>
        <v>5155.5604999999996</v>
      </c>
      <c r="AB540" s="1873">
        <f t="shared" si="215"/>
        <v>0.30601265822784807</v>
      </c>
      <c r="AC540" s="1418">
        <f t="shared" si="200"/>
        <v>0</v>
      </c>
      <c r="AD540" s="1418">
        <f t="shared" si="201"/>
        <v>0</v>
      </c>
      <c r="AE540" s="1418">
        <v>16847.54</v>
      </c>
      <c r="AF540" s="1418">
        <f t="shared" si="202"/>
        <v>0</v>
      </c>
      <c r="AG540" s="1418">
        <v>106.63</v>
      </c>
      <c r="AH540" s="1418">
        <f t="shared" si="203"/>
        <v>0</v>
      </c>
      <c r="AI540" s="1428"/>
      <c r="AO540" s="2504">
        <v>7426.7794999999987</v>
      </c>
      <c r="AP540" s="1418">
        <f t="shared" si="211"/>
        <v>-4265.1999999999989</v>
      </c>
    </row>
    <row r="541" spans="1:42" s="1410" customFormat="1" ht="15.75">
      <c r="A541" s="2102"/>
      <c r="B541" s="1268" t="s">
        <v>2592</v>
      </c>
      <c r="C541" s="1241" t="s">
        <v>3323</v>
      </c>
      <c r="D541" s="1245" t="s">
        <v>38</v>
      </c>
      <c r="E541" s="1413">
        <v>23.4</v>
      </c>
      <c r="F541" s="1555">
        <v>120.82</v>
      </c>
      <c r="G541" s="1480">
        <v>122.39</v>
      </c>
      <c r="H541" s="1414">
        <v>123.26</v>
      </c>
      <c r="I541" s="1477">
        <f t="shared" si="198"/>
        <v>2827.19</v>
      </c>
      <c r="J541" s="1477">
        <f t="shared" si="199"/>
        <v>2863.93</v>
      </c>
      <c r="K541" s="1477">
        <v>0</v>
      </c>
      <c r="L541" s="1477">
        <f t="shared" si="204"/>
        <v>0</v>
      </c>
      <c r="M541" s="1477">
        <v>23.4</v>
      </c>
      <c r="N541" s="1477">
        <f t="shared" si="205"/>
        <v>23.4</v>
      </c>
      <c r="O541" s="1477">
        <f t="shared" si="206"/>
        <v>0</v>
      </c>
      <c r="P541" s="1477">
        <f t="shared" si="207"/>
        <v>2863.93</v>
      </c>
      <c r="Q541" s="1477">
        <f t="shared" si="208"/>
        <v>2884.28</v>
      </c>
      <c r="R541" s="1576">
        <f t="shared" si="209"/>
        <v>2884.28</v>
      </c>
      <c r="S541" s="1869">
        <v>23.4</v>
      </c>
      <c r="T541" s="1866">
        <v>2884.2840000000001</v>
      </c>
      <c r="U541" s="2442"/>
      <c r="V541" s="1866">
        <f t="shared" si="212"/>
        <v>0</v>
      </c>
      <c r="W541" s="1869">
        <f t="shared" si="216"/>
        <v>23.4</v>
      </c>
      <c r="X541" s="1870">
        <f t="shared" si="210"/>
        <v>2884.2840000000001</v>
      </c>
      <c r="Y541" s="1871">
        <f t="shared" si="213"/>
        <v>1.0000013868279085</v>
      </c>
      <c r="Z541" s="1694">
        <f t="shared" si="217"/>
        <v>0</v>
      </c>
      <c r="AA541" s="1872">
        <f t="shared" si="214"/>
        <v>0</v>
      </c>
      <c r="AB541" s="1873">
        <f t="shared" si="215"/>
        <v>0</v>
      </c>
      <c r="AC541" s="1418">
        <f t="shared" si="200"/>
        <v>-3.9999999999054126E-3</v>
      </c>
      <c r="AD541" s="1418">
        <f t="shared" si="201"/>
        <v>0</v>
      </c>
      <c r="AE541" s="1418">
        <v>2884.2840000000001</v>
      </c>
      <c r="AF541" s="1418">
        <f t="shared" si="202"/>
        <v>3.9999999999054126E-3</v>
      </c>
      <c r="AG541" s="1418">
        <v>123.26</v>
      </c>
      <c r="AH541" s="1418">
        <f t="shared" si="203"/>
        <v>0</v>
      </c>
      <c r="AI541" s="1428"/>
      <c r="AO541" s="2504">
        <v>2884.2840000000001</v>
      </c>
      <c r="AP541" s="1418">
        <f t="shared" si="211"/>
        <v>0</v>
      </c>
    </row>
    <row r="542" spans="1:42" s="1410" customFormat="1" ht="15.75">
      <c r="A542" s="2102"/>
      <c r="B542" s="1268" t="s">
        <v>2593</v>
      </c>
      <c r="C542" s="1241" t="s">
        <v>3324</v>
      </c>
      <c r="D542" s="1245" t="s">
        <v>38</v>
      </c>
      <c r="E542" s="1413">
        <v>7.55</v>
      </c>
      <c r="F542" s="1555">
        <v>159.97999999999999</v>
      </c>
      <c r="G542" s="1480">
        <v>161.55000000000001</v>
      </c>
      <c r="H542" s="1414">
        <v>162.41999999999999</v>
      </c>
      <c r="I542" s="1477">
        <f t="shared" si="198"/>
        <v>1207.8499999999999</v>
      </c>
      <c r="J542" s="1477">
        <f t="shared" si="199"/>
        <v>1219.7</v>
      </c>
      <c r="K542" s="1477">
        <v>0</v>
      </c>
      <c r="L542" s="1477">
        <f t="shared" si="204"/>
        <v>0</v>
      </c>
      <c r="M542" s="1477">
        <v>7.55</v>
      </c>
      <c r="N542" s="1477">
        <f t="shared" si="205"/>
        <v>7.55</v>
      </c>
      <c r="O542" s="1477">
        <f t="shared" si="206"/>
        <v>0</v>
      </c>
      <c r="P542" s="1477">
        <f t="shared" si="207"/>
        <v>1219.7</v>
      </c>
      <c r="Q542" s="1477">
        <f t="shared" si="208"/>
        <v>1226.27</v>
      </c>
      <c r="R542" s="1576">
        <f t="shared" si="209"/>
        <v>1226.27</v>
      </c>
      <c r="S542" s="1869">
        <v>0</v>
      </c>
      <c r="T542" s="1866">
        <v>0</v>
      </c>
      <c r="U542" s="2442"/>
      <c r="V542" s="1866">
        <f t="shared" si="212"/>
        <v>0</v>
      </c>
      <c r="W542" s="1869">
        <f t="shared" si="216"/>
        <v>0</v>
      </c>
      <c r="X542" s="1870">
        <f t="shared" si="210"/>
        <v>0</v>
      </c>
      <c r="Y542" s="1871">
        <f t="shared" si="213"/>
        <v>0</v>
      </c>
      <c r="Z542" s="1694">
        <f t="shared" si="217"/>
        <v>7.55</v>
      </c>
      <c r="AA542" s="1872">
        <f t="shared" si="214"/>
        <v>1226.271</v>
      </c>
      <c r="AB542" s="1873">
        <f t="shared" si="215"/>
        <v>1.0000008154810931</v>
      </c>
      <c r="AC542" s="1418">
        <f t="shared" si="200"/>
        <v>-9.9999999997635314E-4</v>
      </c>
      <c r="AD542" s="1418">
        <f t="shared" si="201"/>
        <v>0</v>
      </c>
      <c r="AE542" s="1418">
        <v>1226.271</v>
      </c>
      <c r="AF542" s="1418">
        <f t="shared" si="202"/>
        <v>9.9999999997635314E-4</v>
      </c>
      <c r="AG542" s="1418">
        <v>162.41999999999999</v>
      </c>
      <c r="AH542" s="1418">
        <f t="shared" si="203"/>
        <v>0</v>
      </c>
      <c r="AI542" s="1428"/>
      <c r="AO542" s="2504">
        <v>0</v>
      </c>
      <c r="AP542" s="1418">
        <f t="shared" si="211"/>
        <v>0</v>
      </c>
    </row>
    <row r="543" spans="1:42" s="1410" customFormat="1" ht="15.75">
      <c r="A543" s="2102"/>
      <c r="B543" s="1268" t="s">
        <v>2594</v>
      </c>
      <c r="C543" s="1241" t="s">
        <v>3325</v>
      </c>
      <c r="D543" s="1245" t="s">
        <v>38</v>
      </c>
      <c r="E543" s="1413">
        <v>20.6</v>
      </c>
      <c r="F543" s="1555">
        <v>29.07</v>
      </c>
      <c r="G543" s="1480">
        <v>30.8</v>
      </c>
      <c r="H543" s="1414">
        <v>31.69</v>
      </c>
      <c r="I543" s="1477">
        <f t="shared" si="198"/>
        <v>598.84</v>
      </c>
      <c r="J543" s="1477">
        <f t="shared" si="199"/>
        <v>634.48</v>
      </c>
      <c r="K543" s="1477">
        <v>0</v>
      </c>
      <c r="L543" s="1477">
        <f t="shared" si="204"/>
        <v>0</v>
      </c>
      <c r="M543" s="1477">
        <v>20.6</v>
      </c>
      <c r="N543" s="1477">
        <f t="shared" si="205"/>
        <v>20.6</v>
      </c>
      <c r="O543" s="1477">
        <f t="shared" si="206"/>
        <v>0</v>
      </c>
      <c r="P543" s="1477">
        <f t="shared" si="207"/>
        <v>634.48</v>
      </c>
      <c r="Q543" s="1477">
        <f t="shared" si="208"/>
        <v>652.80999999999995</v>
      </c>
      <c r="R543" s="1576">
        <f t="shared" si="209"/>
        <v>652.80999999999995</v>
      </c>
      <c r="S543" s="1869">
        <v>0</v>
      </c>
      <c r="T543" s="1866">
        <v>0</v>
      </c>
      <c r="U543" s="2442">
        <v>4.9000000000000004</v>
      </c>
      <c r="V543" s="1866">
        <f t="shared" si="212"/>
        <v>155.28100000000001</v>
      </c>
      <c r="W543" s="1869">
        <f t="shared" si="216"/>
        <v>4.9000000000000004</v>
      </c>
      <c r="X543" s="1870">
        <f t="shared" si="210"/>
        <v>155.28100000000001</v>
      </c>
      <c r="Y543" s="1871">
        <f t="shared" si="213"/>
        <v>0.23786553514805228</v>
      </c>
      <c r="Z543" s="1694">
        <f t="shared" si="217"/>
        <v>15.700000000000001</v>
      </c>
      <c r="AA543" s="1872">
        <f t="shared" si="214"/>
        <v>497.53300000000007</v>
      </c>
      <c r="AB543" s="1873">
        <f t="shared" si="215"/>
        <v>0.7621405922090656</v>
      </c>
      <c r="AC543" s="1418">
        <f t="shared" si="200"/>
        <v>-4.0000000001327862E-3</v>
      </c>
      <c r="AD543" s="1418">
        <f t="shared" si="201"/>
        <v>0</v>
      </c>
      <c r="AE543" s="1418">
        <v>652.81400000000008</v>
      </c>
      <c r="AF543" s="1418">
        <f t="shared" si="202"/>
        <v>4.0000000001327862E-3</v>
      </c>
      <c r="AG543" s="1418">
        <v>31.69</v>
      </c>
      <c r="AH543" s="1418">
        <f t="shared" si="203"/>
        <v>0</v>
      </c>
      <c r="AI543" s="1428"/>
      <c r="AO543" s="2504">
        <v>0</v>
      </c>
      <c r="AP543" s="1418">
        <f t="shared" si="211"/>
        <v>-155.28100000000001</v>
      </c>
    </row>
    <row r="544" spans="1:42" s="1410" customFormat="1" ht="15.75">
      <c r="A544" s="2102"/>
      <c r="B544" s="1268" t="s">
        <v>2595</v>
      </c>
      <c r="C544" s="1241" t="s">
        <v>3326</v>
      </c>
      <c r="D544" s="1245" t="s">
        <v>38</v>
      </c>
      <c r="E544" s="1413">
        <v>53.15</v>
      </c>
      <c r="F544" s="1555">
        <v>150.19</v>
      </c>
      <c r="G544" s="1480">
        <v>155.88</v>
      </c>
      <c r="H544" s="1414">
        <v>158.75</v>
      </c>
      <c r="I544" s="1477">
        <f t="shared" si="198"/>
        <v>7982.6</v>
      </c>
      <c r="J544" s="1477">
        <f t="shared" si="199"/>
        <v>8285.02</v>
      </c>
      <c r="K544" s="1477">
        <v>0</v>
      </c>
      <c r="L544" s="1477">
        <f t="shared" si="204"/>
        <v>0</v>
      </c>
      <c r="M544" s="1477">
        <v>53.15</v>
      </c>
      <c r="N544" s="1477">
        <f t="shared" si="205"/>
        <v>53.15</v>
      </c>
      <c r="O544" s="1477">
        <f t="shared" si="206"/>
        <v>0</v>
      </c>
      <c r="P544" s="1477">
        <f t="shared" si="207"/>
        <v>8285.02</v>
      </c>
      <c r="Q544" s="1477">
        <f t="shared" si="208"/>
        <v>8437.56</v>
      </c>
      <c r="R544" s="1576">
        <f t="shared" si="209"/>
        <v>8437.56</v>
      </c>
      <c r="S544" s="1869">
        <v>53.150000000000006</v>
      </c>
      <c r="T544" s="1866">
        <v>8437.5625</v>
      </c>
      <c r="U544" s="2442"/>
      <c r="V544" s="1866">
        <f t="shared" si="212"/>
        <v>0</v>
      </c>
      <c r="W544" s="1869">
        <f t="shared" si="216"/>
        <v>53.150000000000006</v>
      </c>
      <c r="X544" s="1870">
        <f t="shared" si="210"/>
        <v>8437.5625</v>
      </c>
      <c r="Y544" s="1871">
        <f t="shared" si="213"/>
        <v>1.0000002962941894</v>
      </c>
      <c r="Z544" s="1694">
        <f t="shared" si="217"/>
        <v>0</v>
      </c>
      <c r="AA544" s="1872">
        <f t="shared" si="214"/>
        <v>0</v>
      </c>
      <c r="AB544" s="1873">
        <f t="shared" si="215"/>
        <v>0</v>
      </c>
      <c r="AC544" s="1418">
        <f t="shared" si="200"/>
        <v>-2.500000000509317E-3</v>
      </c>
      <c r="AD544" s="1418">
        <f t="shared" si="201"/>
        <v>-7.1054273576010019E-15</v>
      </c>
      <c r="AE544" s="1418">
        <v>8437.5625</v>
      </c>
      <c r="AF544" s="1418">
        <f t="shared" si="202"/>
        <v>2.500000000509317E-3</v>
      </c>
      <c r="AG544" s="1418">
        <v>158.75</v>
      </c>
      <c r="AH544" s="1418">
        <f t="shared" si="203"/>
        <v>0</v>
      </c>
      <c r="AI544" s="1428"/>
      <c r="AO544" s="2504">
        <v>8437.5625</v>
      </c>
      <c r="AP544" s="1418">
        <f t="shared" si="211"/>
        <v>0</v>
      </c>
    </row>
    <row r="545" spans="1:42" s="1410" customFormat="1" ht="15.75">
      <c r="A545" s="2102"/>
      <c r="B545" s="1268" t="s">
        <v>2596</v>
      </c>
      <c r="C545" s="1241" t="s">
        <v>3327</v>
      </c>
      <c r="D545" s="1245" t="s">
        <v>38</v>
      </c>
      <c r="E545" s="1413">
        <v>92.15</v>
      </c>
      <c r="F545" s="1555">
        <v>196.51</v>
      </c>
      <c r="G545" s="1480">
        <v>202.2</v>
      </c>
      <c r="H545" s="1414">
        <v>205.07</v>
      </c>
      <c r="I545" s="1477">
        <f t="shared" si="198"/>
        <v>18108.400000000001</v>
      </c>
      <c r="J545" s="1477">
        <f t="shared" si="199"/>
        <v>18632.73</v>
      </c>
      <c r="K545" s="1477">
        <v>0</v>
      </c>
      <c r="L545" s="1477">
        <f t="shared" si="204"/>
        <v>0</v>
      </c>
      <c r="M545" s="1477">
        <v>92.15</v>
      </c>
      <c r="N545" s="1477">
        <f t="shared" si="205"/>
        <v>92.15</v>
      </c>
      <c r="O545" s="1477">
        <f t="shared" si="206"/>
        <v>0</v>
      </c>
      <c r="P545" s="1477">
        <f t="shared" si="207"/>
        <v>18632.73</v>
      </c>
      <c r="Q545" s="1477">
        <f t="shared" si="208"/>
        <v>18897.2</v>
      </c>
      <c r="R545" s="1576">
        <f t="shared" si="209"/>
        <v>18897.2</v>
      </c>
      <c r="S545" s="1869">
        <v>92.15</v>
      </c>
      <c r="T545" s="1866">
        <v>18897.200499999999</v>
      </c>
      <c r="U545" s="2442"/>
      <c r="V545" s="1866">
        <f t="shared" si="212"/>
        <v>0</v>
      </c>
      <c r="W545" s="1869">
        <f t="shared" si="216"/>
        <v>92.15</v>
      </c>
      <c r="X545" s="1870">
        <f t="shared" si="210"/>
        <v>18897.200499999999</v>
      </c>
      <c r="Y545" s="1871">
        <f t="shared" si="213"/>
        <v>1.0000000264589461</v>
      </c>
      <c r="Z545" s="1694">
        <f t="shared" si="217"/>
        <v>0</v>
      </c>
      <c r="AA545" s="1872">
        <f t="shared" si="214"/>
        <v>0</v>
      </c>
      <c r="AB545" s="1873">
        <f t="shared" si="215"/>
        <v>0</v>
      </c>
      <c r="AC545" s="1418">
        <f t="shared" si="200"/>
        <v>-4.99999998282874E-4</v>
      </c>
      <c r="AD545" s="1418">
        <f t="shared" si="201"/>
        <v>0</v>
      </c>
      <c r="AE545" s="1418">
        <v>18897.200499999999</v>
      </c>
      <c r="AF545" s="1418">
        <f t="shared" si="202"/>
        <v>4.99999998282874E-4</v>
      </c>
      <c r="AG545" s="1418">
        <v>205.07</v>
      </c>
      <c r="AH545" s="1418">
        <f t="shared" si="203"/>
        <v>0</v>
      </c>
      <c r="AI545" s="1428"/>
      <c r="AO545" s="2504">
        <v>10191.978999999999</v>
      </c>
      <c r="AP545" s="1418">
        <f t="shared" si="211"/>
        <v>-8705.2214999999997</v>
      </c>
    </row>
    <row r="546" spans="1:42" s="1410" customFormat="1" ht="15.75">
      <c r="A546" s="2102"/>
      <c r="B546" s="1268" t="s">
        <v>2597</v>
      </c>
      <c r="C546" s="1241" t="s">
        <v>3328</v>
      </c>
      <c r="D546" s="1245" t="s">
        <v>38</v>
      </c>
      <c r="E546" s="1413">
        <v>14.5</v>
      </c>
      <c r="F546" s="1555">
        <v>273.7</v>
      </c>
      <c r="G546" s="1480">
        <v>279.39</v>
      </c>
      <c r="H546" s="1414">
        <v>282.26</v>
      </c>
      <c r="I546" s="1477">
        <f t="shared" si="198"/>
        <v>3968.65</v>
      </c>
      <c r="J546" s="1477">
        <f t="shared" si="199"/>
        <v>4051.16</v>
      </c>
      <c r="K546" s="1477">
        <v>0</v>
      </c>
      <c r="L546" s="1477">
        <f t="shared" si="204"/>
        <v>0</v>
      </c>
      <c r="M546" s="1477">
        <v>14.5</v>
      </c>
      <c r="N546" s="1477">
        <f t="shared" si="205"/>
        <v>14.5</v>
      </c>
      <c r="O546" s="1477">
        <f t="shared" si="206"/>
        <v>0</v>
      </c>
      <c r="P546" s="1477">
        <f t="shared" si="207"/>
        <v>4051.16</v>
      </c>
      <c r="Q546" s="1477">
        <f t="shared" si="208"/>
        <v>4092.77</v>
      </c>
      <c r="R546" s="1576">
        <f t="shared" si="209"/>
        <v>4092.77</v>
      </c>
      <c r="S546" s="1869">
        <v>14.5</v>
      </c>
      <c r="T546" s="1866">
        <v>4092.77</v>
      </c>
      <c r="U546" s="2442"/>
      <c r="V546" s="1866">
        <f t="shared" si="212"/>
        <v>0</v>
      </c>
      <c r="W546" s="1869">
        <f t="shared" si="216"/>
        <v>14.5</v>
      </c>
      <c r="X546" s="1870">
        <f t="shared" si="210"/>
        <v>4092.77</v>
      </c>
      <c r="Y546" s="1871">
        <f t="shared" si="213"/>
        <v>1</v>
      </c>
      <c r="Z546" s="1694">
        <f t="shared" si="217"/>
        <v>0</v>
      </c>
      <c r="AA546" s="1872">
        <f t="shared" si="214"/>
        <v>0</v>
      </c>
      <c r="AB546" s="1873">
        <f t="shared" si="215"/>
        <v>0</v>
      </c>
      <c r="AC546" s="1418">
        <f t="shared" si="200"/>
        <v>0</v>
      </c>
      <c r="AD546" s="1418">
        <f t="shared" si="201"/>
        <v>0</v>
      </c>
      <c r="AE546" s="1418">
        <v>4165.2699999999995</v>
      </c>
      <c r="AF546" s="1418">
        <f t="shared" si="202"/>
        <v>72.499999999999545</v>
      </c>
      <c r="AG546" s="1418">
        <v>287.26</v>
      </c>
      <c r="AH546" s="1418">
        <f t="shared" si="203"/>
        <v>5</v>
      </c>
      <c r="AI546" s="1428"/>
      <c r="AO546" s="2504">
        <v>4092.77</v>
      </c>
      <c r="AP546" s="1418">
        <f t="shared" si="211"/>
        <v>0</v>
      </c>
    </row>
    <row r="547" spans="1:42" s="1410" customFormat="1" ht="15.75">
      <c r="A547" s="2102"/>
      <c r="B547" s="1268" t="s">
        <v>2598</v>
      </c>
      <c r="C547" s="1241" t="s">
        <v>3329</v>
      </c>
      <c r="D547" s="1245" t="s">
        <v>38</v>
      </c>
      <c r="E547" s="1413">
        <v>126.99</v>
      </c>
      <c r="F547" s="1555">
        <v>307.67</v>
      </c>
      <c r="G547" s="1480">
        <v>313.36</v>
      </c>
      <c r="H547" s="1414">
        <v>316.23</v>
      </c>
      <c r="I547" s="1477">
        <f t="shared" si="198"/>
        <v>39071.01</v>
      </c>
      <c r="J547" s="1477">
        <f t="shared" si="199"/>
        <v>39793.589999999997</v>
      </c>
      <c r="K547" s="1477">
        <v>0</v>
      </c>
      <c r="L547" s="1477">
        <f t="shared" si="204"/>
        <v>0</v>
      </c>
      <c r="M547" s="1477">
        <v>126.99</v>
      </c>
      <c r="N547" s="1477">
        <f t="shared" si="205"/>
        <v>126.99</v>
      </c>
      <c r="O547" s="1477">
        <f t="shared" si="206"/>
        <v>0</v>
      </c>
      <c r="P547" s="1477">
        <f t="shared" si="207"/>
        <v>39793.589999999997</v>
      </c>
      <c r="Q547" s="1477">
        <f t="shared" si="208"/>
        <v>40158.050000000003</v>
      </c>
      <c r="R547" s="1576">
        <f t="shared" si="209"/>
        <v>40158.050000000003</v>
      </c>
      <c r="S547" s="1869">
        <v>126.99000000000001</v>
      </c>
      <c r="T547" s="1866">
        <v>40158.047700000003</v>
      </c>
      <c r="U547" s="2442"/>
      <c r="V547" s="1866">
        <f t="shared" si="212"/>
        <v>0</v>
      </c>
      <c r="W547" s="1869">
        <f t="shared" si="216"/>
        <v>126.99000000000001</v>
      </c>
      <c r="X547" s="1870">
        <f t="shared" si="210"/>
        <v>40158.047700000003</v>
      </c>
      <c r="Y547" s="1871">
        <f t="shared" si="213"/>
        <v>0.99999994272630266</v>
      </c>
      <c r="Z547" s="1694">
        <f t="shared" si="217"/>
        <v>0</v>
      </c>
      <c r="AA547" s="1872">
        <f t="shared" si="214"/>
        <v>0</v>
      </c>
      <c r="AB547" s="1873">
        <f t="shared" si="215"/>
        <v>0</v>
      </c>
      <c r="AC547" s="1418">
        <f t="shared" si="200"/>
        <v>2.3000000001047738E-3</v>
      </c>
      <c r="AD547" s="1418">
        <f t="shared" si="201"/>
        <v>-1.4210854715202004E-14</v>
      </c>
      <c r="AE547" s="1418">
        <v>40158.047700000003</v>
      </c>
      <c r="AF547" s="1418">
        <f t="shared" si="202"/>
        <v>-2.3000000001047738E-3</v>
      </c>
      <c r="AG547" s="1418">
        <v>316.23</v>
      </c>
      <c r="AH547" s="1418">
        <f t="shared" si="203"/>
        <v>0</v>
      </c>
      <c r="AI547" s="1428"/>
      <c r="AO547" s="2504">
        <v>4016.1210000000001</v>
      </c>
      <c r="AP547" s="1418">
        <f t="shared" si="211"/>
        <v>-36141.926700000004</v>
      </c>
    </row>
    <row r="548" spans="1:42" s="1410" customFormat="1" ht="15.75">
      <c r="A548" s="2102"/>
      <c r="B548" s="1268" t="s">
        <v>2599</v>
      </c>
      <c r="C548" s="1241" t="s">
        <v>3330</v>
      </c>
      <c r="D548" s="1245" t="s">
        <v>36</v>
      </c>
      <c r="E548" s="1413">
        <v>9</v>
      </c>
      <c r="F548" s="1555">
        <v>825.75</v>
      </c>
      <c r="G548" s="1480">
        <v>830.69</v>
      </c>
      <c r="H548" s="1414">
        <v>833.39</v>
      </c>
      <c r="I548" s="1477">
        <f t="shared" si="198"/>
        <v>7431.75</v>
      </c>
      <c r="J548" s="1477">
        <f t="shared" si="199"/>
        <v>7476.21</v>
      </c>
      <c r="K548" s="1477">
        <v>0</v>
      </c>
      <c r="L548" s="1477">
        <f t="shared" si="204"/>
        <v>0</v>
      </c>
      <c r="M548" s="1477">
        <v>9</v>
      </c>
      <c r="N548" s="1477">
        <f t="shared" si="205"/>
        <v>9</v>
      </c>
      <c r="O548" s="1477">
        <f t="shared" si="206"/>
        <v>0</v>
      </c>
      <c r="P548" s="1477">
        <f t="shared" si="207"/>
        <v>7476.21</v>
      </c>
      <c r="Q548" s="1477">
        <f t="shared" si="208"/>
        <v>7500.51</v>
      </c>
      <c r="R548" s="1576">
        <f t="shared" si="209"/>
        <v>7500.51</v>
      </c>
      <c r="S548" s="1869">
        <v>9</v>
      </c>
      <c r="T548" s="1866">
        <v>7500.5099999999993</v>
      </c>
      <c r="U548" s="2442"/>
      <c r="V548" s="1866">
        <f t="shared" si="212"/>
        <v>0</v>
      </c>
      <c r="W548" s="1869">
        <f t="shared" si="216"/>
        <v>9</v>
      </c>
      <c r="X548" s="1870">
        <f t="shared" si="210"/>
        <v>7500.5099999999993</v>
      </c>
      <c r="Y548" s="1871">
        <f t="shared" si="213"/>
        <v>0.99999999999999989</v>
      </c>
      <c r="Z548" s="1694">
        <f t="shared" si="217"/>
        <v>0</v>
      </c>
      <c r="AA548" s="1872">
        <f t="shared" si="214"/>
        <v>0</v>
      </c>
      <c r="AB548" s="1873">
        <f t="shared" si="215"/>
        <v>0</v>
      </c>
      <c r="AC548" s="1418">
        <f t="shared" si="200"/>
        <v>9.0949470177292824E-13</v>
      </c>
      <c r="AD548" s="1418">
        <f t="shared" si="201"/>
        <v>0</v>
      </c>
      <c r="AE548" s="1418">
        <v>7500.51</v>
      </c>
      <c r="AF548" s="1418">
        <f t="shared" si="202"/>
        <v>0</v>
      </c>
      <c r="AG548" s="1418">
        <v>833.39</v>
      </c>
      <c r="AH548" s="1418">
        <f t="shared" si="203"/>
        <v>0</v>
      </c>
      <c r="AI548" s="1428"/>
      <c r="AO548" s="2504">
        <v>1666.78</v>
      </c>
      <c r="AP548" s="1418">
        <f t="shared" si="211"/>
        <v>-5833.73</v>
      </c>
    </row>
    <row r="549" spans="1:42" s="1410" customFormat="1" ht="15.75">
      <c r="A549" s="2102"/>
      <c r="B549" s="1268" t="s">
        <v>2600</v>
      </c>
      <c r="C549" s="1241" t="s">
        <v>3331</v>
      </c>
      <c r="D549" s="1245" t="s">
        <v>36</v>
      </c>
      <c r="E549" s="1413">
        <v>10</v>
      </c>
      <c r="F549" s="1555">
        <v>710.08</v>
      </c>
      <c r="G549" s="1480">
        <v>716.75</v>
      </c>
      <c r="H549" s="1414">
        <v>720.38</v>
      </c>
      <c r="I549" s="1477">
        <f t="shared" si="198"/>
        <v>7100.8</v>
      </c>
      <c r="J549" s="1477">
        <f t="shared" si="199"/>
        <v>7167.5</v>
      </c>
      <c r="K549" s="1477">
        <v>0</v>
      </c>
      <c r="L549" s="1477">
        <f t="shared" si="204"/>
        <v>0</v>
      </c>
      <c r="M549" s="1477">
        <v>10</v>
      </c>
      <c r="N549" s="1477">
        <f t="shared" si="205"/>
        <v>10</v>
      </c>
      <c r="O549" s="1477">
        <f t="shared" si="206"/>
        <v>0</v>
      </c>
      <c r="P549" s="1477">
        <f t="shared" si="207"/>
        <v>7167.5</v>
      </c>
      <c r="Q549" s="1477">
        <f t="shared" si="208"/>
        <v>7203.8</v>
      </c>
      <c r="R549" s="1576">
        <f t="shared" si="209"/>
        <v>7203.8</v>
      </c>
      <c r="S549" s="1869">
        <v>10</v>
      </c>
      <c r="T549" s="1866">
        <v>7203.8</v>
      </c>
      <c r="U549" s="2442"/>
      <c r="V549" s="1866">
        <f t="shared" si="212"/>
        <v>0</v>
      </c>
      <c r="W549" s="1869">
        <f t="shared" si="216"/>
        <v>10</v>
      </c>
      <c r="X549" s="1870">
        <f t="shared" si="210"/>
        <v>7203.8</v>
      </c>
      <c r="Y549" s="1871">
        <f t="shared" si="213"/>
        <v>1</v>
      </c>
      <c r="Z549" s="1694">
        <f t="shared" si="217"/>
        <v>0</v>
      </c>
      <c r="AA549" s="1872">
        <f t="shared" si="214"/>
        <v>0</v>
      </c>
      <c r="AB549" s="1873">
        <f t="shared" si="215"/>
        <v>0</v>
      </c>
      <c r="AC549" s="1418">
        <f t="shared" si="200"/>
        <v>0</v>
      </c>
      <c r="AD549" s="1418">
        <f t="shared" si="201"/>
        <v>0</v>
      </c>
      <c r="AE549" s="1418">
        <v>7203.8</v>
      </c>
      <c r="AF549" s="1418">
        <f t="shared" si="202"/>
        <v>0</v>
      </c>
      <c r="AG549" s="1418">
        <v>720.38</v>
      </c>
      <c r="AH549" s="1418">
        <f t="shared" si="203"/>
        <v>0</v>
      </c>
      <c r="AI549" s="1428"/>
      <c r="AO549" s="2504">
        <v>720.38</v>
      </c>
      <c r="AP549" s="1418">
        <f t="shared" si="211"/>
        <v>-6483.42</v>
      </c>
    </row>
    <row r="550" spans="1:42" s="1410" customFormat="1" ht="15.75">
      <c r="A550" s="2102"/>
      <c r="B550" s="1268" t="s">
        <v>2601</v>
      </c>
      <c r="C550" s="1241" t="s">
        <v>3332</v>
      </c>
      <c r="D550" s="1245" t="s">
        <v>36</v>
      </c>
      <c r="E550" s="1413">
        <v>1</v>
      </c>
      <c r="F550" s="1555">
        <v>5153.3</v>
      </c>
      <c r="G550" s="1480">
        <v>5200.07</v>
      </c>
      <c r="H550" s="1414">
        <v>5225.45</v>
      </c>
      <c r="I550" s="1477">
        <f t="shared" si="198"/>
        <v>5153.3</v>
      </c>
      <c r="J550" s="1477">
        <f t="shared" si="199"/>
        <v>5200.07</v>
      </c>
      <c r="K550" s="1477">
        <v>0</v>
      </c>
      <c r="L550" s="1477">
        <f t="shared" si="204"/>
        <v>0</v>
      </c>
      <c r="M550" s="1477">
        <v>1</v>
      </c>
      <c r="N550" s="1477">
        <f t="shared" si="205"/>
        <v>1</v>
      </c>
      <c r="O550" s="1477">
        <f t="shared" si="206"/>
        <v>0</v>
      </c>
      <c r="P550" s="1477">
        <f t="shared" si="207"/>
        <v>5200.07</v>
      </c>
      <c r="Q550" s="1477">
        <f t="shared" si="208"/>
        <v>5225.45</v>
      </c>
      <c r="R550" s="1576">
        <f t="shared" si="209"/>
        <v>5225.45</v>
      </c>
      <c r="S550" s="1869">
        <v>1</v>
      </c>
      <c r="T550" s="1866">
        <v>5225.45</v>
      </c>
      <c r="U550" s="2442"/>
      <c r="V550" s="1866">
        <f t="shared" si="212"/>
        <v>0</v>
      </c>
      <c r="W550" s="1869">
        <f t="shared" si="216"/>
        <v>1</v>
      </c>
      <c r="X550" s="1870">
        <f t="shared" si="210"/>
        <v>5225.45</v>
      </c>
      <c r="Y550" s="1871">
        <f t="shared" si="213"/>
        <v>1</v>
      </c>
      <c r="Z550" s="1694">
        <f t="shared" si="217"/>
        <v>0</v>
      </c>
      <c r="AA550" s="1872">
        <f t="shared" si="214"/>
        <v>0</v>
      </c>
      <c r="AB550" s="1873">
        <f t="shared" si="215"/>
        <v>0</v>
      </c>
      <c r="AC550" s="1418">
        <f t="shared" si="200"/>
        <v>0</v>
      </c>
      <c r="AD550" s="1418">
        <f t="shared" si="201"/>
        <v>0</v>
      </c>
      <c r="AE550" s="1418">
        <v>5225.45</v>
      </c>
      <c r="AF550" s="1418">
        <f t="shared" si="202"/>
        <v>0</v>
      </c>
      <c r="AG550" s="1418">
        <v>5225.45</v>
      </c>
      <c r="AH550" s="1418">
        <f t="shared" si="203"/>
        <v>0</v>
      </c>
      <c r="AI550" s="1428"/>
      <c r="AO550" s="2504">
        <v>5225.45</v>
      </c>
      <c r="AP550" s="1418">
        <f t="shared" si="211"/>
        <v>0</v>
      </c>
    </row>
    <row r="551" spans="1:42" s="1410" customFormat="1" ht="15.75">
      <c r="A551" s="2102"/>
      <c r="B551" s="1272" t="s">
        <v>1031</v>
      </c>
      <c r="C551" s="1262" t="s">
        <v>3333</v>
      </c>
      <c r="D551" s="1273"/>
      <c r="E551" s="1415"/>
      <c r="F551" s="1267"/>
      <c r="G551" s="1480"/>
      <c r="H551" s="1416"/>
      <c r="I551" s="1477">
        <f t="shared" si="198"/>
        <v>0</v>
      </c>
      <c r="J551" s="1477">
        <f t="shared" si="199"/>
        <v>0</v>
      </c>
      <c r="K551" s="1477"/>
      <c r="L551" s="1477">
        <f t="shared" si="204"/>
        <v>0</v>
      </c>
      <c r="M551" s="1477"/>
      <c r="N551" s="1477">
        <f t="shared" si="205"/>
        <v>0</v>
      </c>
      <c r="O551" s="1477">
        <f t="shared" si="206"/>
        <v>0</v>
      </c>
      <c r="P551" s="1477">
        <f t="shared" si="207"/>
        <v>0</v>
      </c>
      <c r="Q551" s="1477">
        <f t="shared" si="208"/>
        <v>0</v>
      </c>
      <c r="R551" s="1576">
        <f t="shared" si="209"/>
        <v>0</v>
      </c>
      <c r="S551" s="1869"/>
      <c r="T551" s="1866"/>
      <c r="U551" s="2442"/>
      <c r="V551" s="1866">
        <f t="shared" si="212"/>
        <v>0</v>
      </c>
      <c r="W551" s="1869"/>
      <c r="X551" s="1870"/>
      <c r="Y551" s="1871" t="str">
        <f t="shared" si="213"/>
        <v/>
      </c>
      <c r="Z551" s="1694"/>
      <c r="AA551" s="1872">
        <f t="shared" si="214"/>
        <v>0</v>
      </c>
      <c r="AB551" s="1873" t="str">
        <f t="shared" si="215"/>
        <v/>
      </c>
      <c r="AC551" s="1418">
        <f t="shared" si="200"/>
        <v>0</v>
      </c>
      <c r="AD551" s="1418">
        <f t="shared" si="201"/>
        <v>0</v>
      </c>
      <c r="AE551" s="1418"/>
      <c r="AF551" s="1418">
        <f t="shared" si="202"/>
        <v>0</v>
      </c>
      <c r="AG551" s="1418"/>
      <c r="AH551" s="1418">
        <f t="shared" si="203"/>
        <v>0</v>
      </c>
      <c r="AI551" s="1428"/>
      <c r="AO551" s="2504"/>
      <c r="AP551" s="1418">
        <f t="shared" si="211"/>
        <v>0</v>
      </c>
    </row>
    <row r="552" spans="1:42" s="1410" customFormat="1" ht="15.75">
      <c r="A552" s="2102"/>
      <c r="B552" s="1268" t="s">
        <v>2602</v>
      </c>
      <c r="C552" s="1241" t="s">
        <v>3334</v>
      </c>
      <c r="D552" s="1245" t="s">
        <v>36</v>
      </c>
      <c r="E552" s="1413">
        <v>47</v>
      </c>
      <c r="F552" s="1555">
        <v>319.26</v>
      </c>
      <c r="G552" s="1480">
        <v>326.06</v>
      </c>
      <c r="H552" s="1414">
        <v>329.54</v>
      </c>
      <c r="I552" s="1477">
        <f t="shared" si="198"/>
        <v>15005.22</v>
      </c>
      <c r="J552" s="1477">
        <f t="shared" si="199"/>
        <v>15324.82</v>
      </c>
      <c r="K552" s="1477">
        <v>0</v>
      </c>
      <c r="L552" s="1477">
        <f t="shared" si="204"/>
        <v>0</v>
      </c>
      <c r="M552" s="1477">
        <v>47</v>
      </c>
      <c r="N552" s="1477">
        <f t="shared" si="205"/>
        <v>47</v>
      </c>
      <c r="O552" s="1477">
        <f t="shared" si="206"/>
        <v>0</v>
      </c>
      <c r="P552" s="1477">
        <f t="shared" si="207"/>
        <v>15324.82</v>
      </c>
      <c r="Q552" s="1477">
        <f t="shared" si="208"/>
        <v>15488.38</v>
      </c>
      <c r="R552" s="1576">
        <f t="shared" si="209"/>
        <v>15488.38</v>
      </c>
      <c r="S552" s="1869">
        <v>0</v>
      </c>
      <c r="T552" s="1866">
        <v>0</v>
      </c>
      <c r="U552" s="2442"/>
      <c r="V552" s="1866">
        <f t="shared" si="212"/>
        <v>0</v>
      </c>
      <c r="W552" s="1869">
        <f t="shared" ref="W552:W558" si="218">S552+U552</f>
        <v>0</v>
      </c>
      <c r="X552" s="1870">
        <f t="shared" si="210"/>
        <v>0</v>
      </c>
      <c r="Y552" s="1871">
        <f t="shared" si="213"/>
        <v>0</v>
      </c>
      <c r="Z552" s="1694">
        <f t="shared" ref="Z552:Z558" si="219">+E552-W552</f>
        <v>47</v>
      </c>
      <c r="AA552" s="1872">
        <f t="shared" si="214"/>
        <v>15488.380000000001</v>
      </c>
      <c r="AB552" s="1873">
        <f t="shared" si="215"/>
        <v>1.0000000000000002</v>
      </c>
      <c r="AC552" s="1418">
        <f t="shared" si="200"/>
        <v>0</v>
      </c>
      <c r="AD552" s="1418">
        <f t="shared" si="201"/>
        <v>0</v>
      </c>
      <c r="AE552" s="1418">
        <v>15488.380000000001</v>
      </c>
      <c r="AF552" s="1418">
        <f t="shared" si="202"/>
        <v>0</v>
      </c>
      <c r="AG552" s="1418">
        <v>329.54</v>
      </c>
      <c r="AH552" s="1418">
        <f t="shared" si="203"/>
        <v>0</v>
      </c>
      <c r="AI552" s="1428"/>
      <c r="AO552" s="2504">
        <v>0</v>
      </c>
      <c r="AP552" s="1418">
        <f t="shared" si="211"/>
        <v>0</v>
      </c>
    </row>
    <row r="553" spans="1:42" s="1410" customFormat="1" ht="15.75">
      <c r="A553" s="2102"/>
      <c r="B553" s="1268" t="s">
        <v>2603</v>
      </c>
      <c r="C553" s="1241" t="s">
        <v>3335</v>
      </c>
      <c r="D553" s="1245" t="s">
        <v>36</v>
      </c>
      <c r="E553" s="1413">
        <v>54</v>
      </c>
      <c r="F553" s="1555">
        <v>20.07</v>
      </c>
      <c r="G553" s="1480">
        <v>20.5</v>
      </c>
      <c r="H553" s="1414">
        <v>20.74</v>
      </c>
      <c r="I553" s="1477">
        <f t="shared" si="198"/>
        <v>1083.78</v>
      </c>
      <c r="J553" s="1477">
        <f t="shared" si="199"/>
        <v>1107</v>
      </c>
      <c r="K553" s="1477">
        <v>0</v>
      </c>
      <c r="L553" s="1477">
        <f t="shared" si="204"/>
        <v>0</v>
      </c>
      <c r="M553" s="1477">
        <v>54</v>
      </c>
      <c r="N553" s="1477">
        <f t="shared" si="205"/>
        <v>54</v>
      </c>
      <c r="O553" s="1477">
        <f t="shared" si="206"/>
        <v>0</v>
      </c>
      <c r="P553" s="1477">
        <f t="shared" si="207"/>
        <v>1107</v>
      </c>
      <c r="Q553" s="1477">
        <f t="shared" si="208"/>
        <v>1119.96</v>
      </c>
      <c r="R553" s="1576">
        <f t="shared" si="209"/>
        <v>1119.96</v>
      </c>
      <c r="S553" s="1869">
        <v>54</v>
      </c>
      <c r="T553" s="1866">
        <v>1119.9599999999998</v>
      </c>
      <c r="U553" s="2442"/>
      <c r="V553" s="1866">
        <f t="shared" si="212"/>
        <v>0</v>
      </c>
      <c r="W553" s="1869">
        <f t="shared" si="218"/>
        <v>54</v>
      </c>
      <c r="X553" s="1870">
        <f t="shared" si="210"/>
        <v>1119.9599999999998</v>
      </c>
      <c r="Y553" s="1871">
        <f t="shared" si="213"/>
        <v>0.99999999999999978</v>
      </c>
      <c r="Z553" s="1694">
        <f t="shared" si="219"/>
        <v>0</v>
      </c>
      <c r="AA553" s="1872">
        <f t="shared" si="214"/>
        <v>0</v>
      </c>
      <c r="AB553" s="1873">
        <f t="shared" si="215"/>
        <v>0</v>
      </c>
      <c r="AC553" s="1418">
        <f t="shared" si="200"/>
        <v>2.2737367544323206E-13</v>
      </c>
      <c r="AD553" s="1418">
        <f t="shared" si="201"/>
        <v>0</v>
      </c>
      <c r="AE553" s="1418">
        <v>1119.9599999999998</v>
      </c>
      <c r="AF553" s="1418">
        <f t="shared" si="202"/>
        <v>0</v>
      </c>
      <c r="AG553" s="1418">
        <v>20.74</v>
      </c>
      <c r="AH553" s="1418">
        <f t="shared" si="203"/>
        <v>0</v>
      </c>
      <c r="AI553" s="1428"/>
      <c r="AO553" s="2504">
        <v>1119.9599999999998</v>
      </c>
      <c r="AP553" s="1418">
        <f t="shared" si="211"/>
        <v>0</v>
      </c>
    </row>
    <row r="554" spans="1:42" s="1410" customFormat="1" ht="15.75">
      <c r="A554" s="2102"/>
      <c r="B554" s="1268" t="s">
        <v>2604</v>
      </c>
      <c r="C554" s="1241" t="s">
        <v>3336</v>
      </c>
      <c r="D554" s="1245" t="s">
        <v>36</v>
      </c>
      <c r="E554" s="1413">
        <v>664</v>
      </c>
      <c r="F554" s="1555">
        <v>21.47</v>
      </c>
      <c r="G554" s="1480">
        <v>21.9</v>
      </c>
      <c r="H554" s="1414">
        <v>22.14</v>
      </c>
      <c r="I554" s="1477">
        <f t="shared" si="198"/>
        <v>14256.08</v>
      </c>
      <c r="J554" s="1477">
        <f t="shared" si="199"/>
        <v>14541.6</v>
      </c>
      <c r="K554" s="1477">
        <v>0</v>
      </c>
      <c r="L554" s="1477">
        <f t="shared" si="204"/>
        <v>0</v>
      </c>
      <c r="M554" s="1477">
        <v>664</v>
      </c>
      <c r="N554" s="1477">
        <f t="shared" si="205"/>
        <v>664</v>
      </c>
      <c r="O554" s="1477">
        <f t="shared" si="206"/>
        <v>0</v>
      </c>
      <c r="P554" s="1477">
        <f t="shared" si="207"/>
        <v>14541.6</v>
      </c>
      <c r="Q554" s="1477">
        <f t="shared" si="208"/>
        <v>14700.96</v>
      </c>
      <c r="R554" s="1576">
        <f t="shared" si="209"/>
        <v>14700.96</v>
      </c>
      <c r="S554" s="1869">
        <v>664</v>
      </c>
      <c r="T554" s="1866">
        <v>14700.960000000001</v>
      </c>
      <c r="U554" s="2442"/>
      <c r="V554" s="1866">
        <f t="shared" si="212"/>
        <v>0</v>
      </c>
      <c r="W554" s="1869">
        <f t="shared" si="218"/>
        <v>664</v>
      </c>
      <c r="X554" s="1870">
        <f t="shared" si="210"/>
        <v>14700.960000000001</v>
      </c>
      <c r="Y554" s="1871">
        <f t="shared" si="213"/>
        <v>1.0000000000000002</v>
      </c>
      <c r="Z554" s="1694">
        <f t="shared" si="219"/>
        <v>0</v>
      </c>
      <c r="AA554" s="1872">
        <f t="shared" si="214"/>
        <v>0</v>
      </c>
      <c r="AB554" s="1873">
        <f t="shared" si="215"/>
        <v>0</v>
      </c>
      <c r="AC554" s="1418">
        <f t="shared" si="200"/>
        <v>-1.8189894035458565E-12</v>
      </c>
      <c r="AD554" s="1418">
        <f t="shared" si="201"/>
        <v>0</v>
      </c>
      <c r="AE554" s="1418">
        <v>14700.960000000001</v>
      </c>
      <c r="AF554" s="1418">
        <f t="shared" si="202"/>
        <v>0</v>
      </c>
      <c r="AG554" s="1418">
        <v>22.14</v>
      </c>
      <c r="AH554" s="1418">
        <f t="shared" si="203"/>
        <v>0</v>
      </c>
      <c r="AI554" s="1428"/>
      <c r="AO554" s="2504">
        <v>0</v>
      </c>
      <c r="AP554" s="1418">
        <f t="shared" si="211"/>
        <v>-14700.960000000001</v>
      </c>
    </row>
    <row r="555" spans="1:42" s="1410" customFormat="1" ht="15.75">
      <c r="A555" s="2102"/>
      <c r="B555" s="1268" t="s">
        <v>2605</v>
      </c>
      <c r="C555" s="1241" t="s">
        <v>3337</v>
      </c>
      <c r="D555" s="1245" t="s">
        <v>36</v>
      </c>
      <c r="E555" s="1413">
        <v>35</v>
      </c>
      <c r="F555" s="1555">
        <v>49.05</v>
      </c>
      <c r="G555" s="1480">
        <v>49.48</v>
      </c>
      <c r="H555" s="1414">
        <v>49.72</v>
      </c>
      <c r="I555" s="1477">
        <f t="shared" si="198"/>
        <v>1716.75</v>
      </c>
      <c r="J555" s="1477">
        <f t="shared" si="199"/>
        <v>1731.8</v>
      </c>
      <c r="K555" s="1477">
        <v>0</v>
      </c>
      <c r="L555" s="1477">
        <f t="shared" si="204"/>
        <v>0</v>
      </c>
      <c r="M555" s="1477">
        <v>35</v>
      </c>
      <c r="N555" s="1477">
        <f t="shared" si="205"/>
        <v>35</v>
      </c>
      <c r="O555" s="1477">
        <f t="shared" si="206"/>
        <v>0</v>
      </c>
      <c r="P555" s="1477">
        <f t="shared" si="207"/>
        <v>1731.8</v>
      </c>
      <c r="Q555" s="1477">
        <f t="shared" si="208"/>
        <v>1740.2</v>
      </c>
      <c r="R555" s="1576">
        <f t="shared" si="209"/>
        <v>1740.2</v>
      </c>
      <c r="S555" s="1869">
        <v>0</v>
      </c>
      <c r="T555" s="1866">
        <v>0</v>
      </c>
      <c r="U555" s="2442"/>
      <c r="V555" s="1866">
        <f t="shared" si="212"/>
        <v>0</v>
      </c>
      <c r="W555" s="1869">
        <f t="shared" si="218"/>
        <v>0</v>
      </c>
      <c r="X555" s="1870">
        <f t="shared" si="210"/>
        <v>0</v>
      </c>
      <c r="Y555" s="1871">
        <f t="shared" si="213"/>
        <v>0</v>
      </c>
      <c r="Z555" s="1694">
        <f t="shared" si="219"/>
        <v>35</v>
      </c>
      <c r="AA555" s="1872">
        <f t="shared" si="214"/>
        <v>1740.2</v>
      </c>
      <c r="AB555" s="1873">
        <f t="shared" si="215"/>
        <v>1</v>
      </c>
      <c r="AC555" s="1418">
        <f t="shared" si="200"/>
        <v>0</v>
      </c>
      <c r="AD555" s="1418">
        <f t="shared" si="201"/>
        <v>0</v>
      </c>
      <c r="AE555" s="1418">
        <v>1740.2</v>
      </c>
      <c r="AF555" s="1418">
        <f t="shared" si="202"/>
        <v>0</v>
      </c>
      <c r="AG555" s="1418">
        <v>49.72</v>
      </c>
      <c r="AH555" s="1418">
        <f t="shared" si="203"/>
        <v>0</v>
      </c>
      <c r="AI555" s="1428"/>
      <c r="AO555" s="2504">
        <v>0</v>
      </c>
      <c r="AP555" s="1418">
        <f t="shared" si="211"/>
        <v>0</v>
      </c>
    </row>
    <row r="556" spans="1:42" s="1410" customFormat="1" ht="15.75">
      <c r="A556" s="2102"/>
      <c r="B556" s="1268" t="s">
        <v>2606</v>
      </c>
      <c r="C556" s="1241" t="s">
        <v>3338</v>
      </c>
      <c r="D556" s="1245" t="s">
        <v>36</v>
      </c>
      <c r="E556" s="1413">
        <v>46</v>
      </c>
      <c r="F556" s="1555">
        <v>7.22</v>
      </c>
      <c r="G556" s="1480">
        <v>7.73</v>
      </c>
      <c r="H556" s="1414">
        <v>8</v>
      </c>
      <c r="I556" s="1477">
        <f t="shared" si="198"/>
        <v>332.12</v>
      </c>
      <c r="J556" s="1477">
        <f t="shared" si="199"/>
        <v>355.58</v>
      </c>
      <c r="K556" s="1477">
        <v>0</v>
      </c>
      <c r="L556" s="1477">
        <f t="shared" si="204"/>
        <v>0</v>
      </c>
      <c r="M556" s="1477">
        <v>46</v>
      </c>
      <c r="N556" s="1477">
        <f t="shared" si="205"/>
        <v>46</v>
      </c>
      <c r="O556" s="1477">
        <f t="shared" si="206"/>
        <v>0</v>
      </c>
      <c r="P556" s="1477">
        <f t="shared" si="207"/>
        <v>355.58</v>
      </c>
      <c r="Q556" s="1477">
        <f t="shared" si="208"/>
        <v>368</v>
      </c>
      <c r="R556" s="1576">
        <f t="shared" si="209"/>
        <v>368</v>
      </c>
      <c r="S556" s="1869">
        <v>0</v>
      </c>
      <c r="T556" s="1866">
        <v>0</v>
      </c>
      <c r="U556" s="2442"/>
      <c r="V556" s="1866">
        <f t="shared" si="212"/>
        <v>0</v>
      </c>
      <c r="W556" s="1869">
        <f t="shared" si="218"/>
        <v>0</v>
      </c>
      <c r="X556" s="1870">
        <f t="shared" si="210"/>
        <v>0</v>
      </c>
      <c r="Y556" s="1871">
        <f t="shared" si="213"/>
        <v>0</v>
      </c>
      <c r="Z556" s="1694">
        <f t="shared" si="219"/>
        <v>46</v>
      </c>
      <c r="AA556" s="1872">
        <f t="shared" si="214"/>
        <v>368</v>
      </c>
      <c r="AB556" s="1873">
        <f t="shared" si="215"/>
        <v>1</v>
      </c>
      <c r="AC556" s="1418">
        <f t="shared" si="200"/>
        <v>0</v>
      </c>
      <c r="AD556" s="1418">
        <f t="shared" si="201"/>
        <v>0</v>
      </c>
      <c r="AE556" s="1418">
        <v>368</v>
      </c>
      <c r="AF556" s="1418">
        <f t="shared" si="202"/>
        <v>0</v>
      </c>
      <c r="AG556" s="1418">
        <v>8</v>
      </c>
      <c r="AH556" s="1418">
        <f t="shared" si="203"/>
        <v>0</v>
      </c>
      <c r="AI556" s="1428"/>
      <c r="AO556" s="2504">
        <v>0</v>
      </c>
      <c r="AP556" s="1418">
        <f t="shared" si="211"/>
        <v>0</v>
      </c>
    </row>
    <row r="557" spans="1:42" s="1410" customFormat="1" ht="15.75">
      <c r="A557" s="2102"/>
      <c r="B557" s="1268" t="s">
        <v>2607</v>
      </c>
      <c r="C557" s="1241" t="s">
        <v>3339</v>
      </c>
      <c r="D557" s="1245" t="s">
        <v>36</v>
      </c>
      <c r="E557" s="1413">
        <v>9</v>
      </c>
      <c r="F557" s="1555">
        <v>324.13</v>
      </c>
      <c r="G557" s="1480">
        <v>330.93</v>
      </c>
      <c r="H557" s="1414">
        <v>334.41</v>
      </c>
      <c r="I557" s="1477">
        <f t="shared" si="198"/>
        <v>2917.17</v>
      </c>
      <c r="J557" s="1477">
        <f t="shared" si="199"/>
        <v>2978.37</v>
      </c>
      <c r="K557" s="1477">
        <v>0</v>
      </c>
      <c r="L557" s="1477">
        <f t="shared" si="204"/>
        <v>0</v>
      </c>
      <c r="M557" s="1477">
        <v>9</v>
      </c>
      <c r="N557" s="1477">
        <f t="shared" si="205"/>
        <v>9</v>
      </c>
      <c r="O557" s="1477">
        <f t="shared" si="206"/>
        <v>0</v>
      </c>
      <c r="P557" s="1477">
        <f t="shared" si="207"/>
        <v>2978.37</v>
      </c>
      <c r="Q557" s="1477">
        <f t="shared" si="208"/>
        <v>3009.69</v>
      </c>
      <c r="R557" s="1576">
        <f t="shared" si="209"/>
        <v>3009.69</v>
      </c>
      <c r="S557" s="1869">
        <v>1</v>
      </c>
      <c r="T557" s="1866">
        <v>334.41</v>
      </c>
      <c r="U557" s="2442"/>
      <c r="V557" s="1866">
        <f t="shared" si="212"/>
        <v>0</v>
      </c>
      <c r="W557" s="1869">
        <f t="shared" si="218"/>
        <v>1</v>
      </c>
      <c r="X557" s="1870">
        <f t="shared" si="210"/>
        <v>334.41</v>
      </c>
      <c r="Y557" s="1871">
        <f t="shared" si="213"/>
        <v>0.11111111111111112</v>
      </c>
      <c r="Z557" s="1694">
        <f t="shared" si="219"/>
        <v>8</v>
      </c>
      <c r="AA557" s="1872">
        <f t="shared" si="214"/>
        <v>2675.28</v>
      </c>
      <c r="AB557" s="1873">
        <f t="shared" si="215"/>
        <v>0.88888888888888895</v>
      </c>
      <c r="AC557" s="1418">
        <f t="shared" si="200"/>
        <v>0</v>
      </c>
      <c r="AD557" s="1418">
        <f t="shared" si="201"/>
        <v>0</v>
      </c>
      <c r="AE557" s="1418">
        <v>3009.69</v>
      </c>
      <c r="AF557" s="1418">
        <f t="shared" si="202"/>
        <v>0</v>
      </c>
      <c r="AG557" s="1418">
        <v>334.41</v>
      </c>
      <c r="AH557" s="1418">
        <f t="shared" si="203"/>
        <v>0</v>
      </c>
      <c r="AI557" s="1428"/>
      <c r="AO557" s="2504">
        <v>334.41</v>
      </c>
      <c r="AP557" s="1418">
        <f t="shared" si="211"/>
        <v>0</v>
      </c>
    </row>
    <row r="558" spans="1:42" s="1410" customFormat="1" ht="15.75">
      <c r="A558" s="2102"/>
      <c r="B558" s="1268" t="s">
        <v>2608</v>
      </c>
      <c r="C558" s="1241" t="s">
        <v>3340</v>
      </c>
      <c r="D558" s="1245" t="s">
        <v>36</v>
      </c>
      <c r="E558" s="1413">
        <v>4</v>
      </c>
      <c r="F558" s="1555">
        <v>324.13</v>
      </c>
      <c r="G558" s="1480">
        <v>330.93</v>
      </c>
      <c r="H558" s="1414">
        <v>334.41</v>
      </c>
      <c r="I558" s="1477">
        <f t="shared" si="198"/>
        <v>1296.52</v>
      </c>
      <c r="J558" s="1477">
        <f t="shared" si="199"/>
        <v>1323.72</v>
      </c>
      <c r="K558" s="1477">
        <v>0</v>
      </c>
      <c r="L558" s="1477">
        <f t="shared" si="204"/>
        <v>0</v>
      </c>
      <c r="M558" s="1477">
        <v>4</v>
      </c>
      <c r="N558" s="1477">
        <f t="shared" si="205"/>
        <v>4</v>
      </c>
      <c r="O558" s="1477">
        <f t="shared" si="206"/>
        <v>0</v>
      </c>
      <c r="P558" s="1477">
        <f t="shared" si="207"/>
        <v>1323.72</v>
      </c>
      <c r="Q558" s="1477">
        <f t="shared" si="208"/>
        <v>1337.64</v>
      </c>
      <c r="R558" s="1576">
        <f t="shared" si="209"/>
        <v>1337.64</v>
      </c>
      <c r="S558" s="1869">
        <v>0</v>
      </c>
      <c r="T558" s="1866">
        <v>0</v>
      </c>
      <c r="U558" s="2442">
        <v>1</v>
      </c>
      <c r="V558" s="1866">
        <f t="shared" si="212"/>
        <v>334.41</v>
      </c>
      <c r="W558" s="1869">
        <f t="shared" si="218"/>
        <v>1</v>
      </c>
      <c r="X558" s="1870">
        <f t="shared" si="210"/>
        <v>334.41</v>
      </c>
      <c r="Y558" s="1871">
        <f t="shared" si="213"/>
        <v>0.25</v>
      </c>
      <c r="Z558" s="1694">
        <f t="shared" si="219"/>
        <v>3</v>
      </c>
      <c r="AA558" s="1872">
        <f t="shared" si="214"/>
        <v>1003.23</v>
      </c>
      <c r="AB558" s="1873">
        <f t="shared" si="215"/>
        <v>0.75</v>
      </c>
      <c r="AC558" s="1418">
        <f t="shared" si="200"/>
        <v>0</v>
      </c>
      <c r="AD558" s="1418">
        <f t="shared" si="201"/>
        <v>0</v>
      </c>
      <c r="AE558" s="1418">
        <v>1337.64</v>
      </c>
      <c r="AF558" s="1418">
        <f t="shared" si="202"/>
        <v>0</v>
      </c>
      <c r="AG558" s="1418">
        <v>334.41</v>
      </c>
      <c r="AH558" s="1418">
        <f t="shared" si="203"/>
        <v>0</v>
      </c>
      <c r="AI558" s="1428"/>
      <c r="AO558" s="2504">
        <v>0</v>
      </c>
      <c r="AP558" s="1418">
        <f t="shared" si="211"/>
        <v>-334.41</v>
      </c>
    </row>
    <row r="559" spans="1:42" s="1231" customFormat="1" ht="15.75">
      <c r="A559" s="2103" t="s">
        <v>3619</v>
      </c>
      <c r="B559" s="1263" t="s">
        <v>499</v>
      </c>
      <c r="C559" s="1264" t="s">
        <v>3341</v>
      </c>
      <c r="D559" s="1265"/>
      <c r="E559" s="1266"/>
      <c r="F559" s="1267"/>
      <c r="G559" s="1480"/>
      <c r="H559" s="1267"/>
      <c r="I559" s="1477">
        <f t="shared" si="198"/>
        <v>0</v>
      </c>
      <c r="J559" s="1477">
        <f t="shared" si="199"/>
        <v>0</v>
      </c>
      <c r="K559" s="1477"/>
      <c r="L559" s="1477">
        <f t="shared" si="204"/>
        <v>0</v>
      </c>
      <c r="M559" s="1477"/>
      <c r="N559" s="1477">
        <f t="shared" si="205"/>
        <v>0</v>
      </c>
      <c r="O559" s="1477">
        <f t="shared" si="206"/>
        <v>0</v>
      </c>
      <c r="P559" s="1477">
        <f t="shared" si="207"/>
        <v>0</v>
      </c>
      <c r="Q559" s="1477">
        <f t="shared" si="208"/>
        <v>0</v>
      </c>
      <c r="R559" s="1576"/>
      <c r="S559" s="2452"/>
      <c r="T559" s="1866"/>
      <c r="U559" s="2442"/>
      <c r="V559" s="1866"/>
      <c r="W559" s="2452"/>
      <c r="X559" s="1870"/>
      <c r="Y559" s="1871"/>
      <c r="Z559" s="1694"/>
      <c r="AA559" s="1872"/>
      <c r="AB559" s="1873" t="str">
        <f t="shared" si="215"/>
        <v/>
      </c>
      <c r="AC559" s="1418">
        <f t="shared" si="200"/>
        <v>0</v>
      </c>
      <c r="AD559" s="1418">
        <f t="shared" si="201"/>
        <v>0</v>
      </c>
      <c r="AE559" s="1230"/>
      <c r="AF559" s="1230">
        <f t="shared" si="202"/>
        <v>0</v>
      </c>
      <c r="AG559" s="1230"/>
      <c r="AH559" s="1418">
        <f t="shared" si="203"/>
        <v>0</v>
      </c>
      <c r="AI559" s="1346"/>
      <c r="AO559" s="1736"/>
      <c r="AP559" s="1418">
        <f t="shared" si="211"/>
        <v>0</v>
      </c>
    </row>
    <row r="560" spans="1:42" s="1410" customFormat="1" ht="15.75">
      <c r="A560" s="2102" t="s">
        <v>3619</v>
      </c>
      <c r="B560" s="1272" t="s">
        <v>500</v>
      </c>
      <c r="C560" s="1262" t="s">
        <v>3342</v>
      </c>
      <c r="D560" s="1273"/>
      <c r="E560" s="1415"/>
      <c r="F560" s="1267"/>
      <c r="G560" s="1480"/>
      <c r="H560" s="1416"/>
      <c r="I560" s="1477">
        <f t="shared" si="198"/>
        <v>0</v>
      </c>
      <c r="J560" s="1477">
        <f t="shared" si="199"/>
        <v>0</v>
      </c>
      <c r="K560" s="1477"/>
      <c r="L560" s="1477">
        <f t="shared" si="204"/>
        <v>0</v>
      </c>
      <c r="M560" s="1477"/>
      <c r="N560" s="1477">
        <f t="shared" si="205"/>
        <v>0</v>
      </c>
      <c r="O560" s="1477">
        <f t="shared" si="206"/>
        <v>0</v>
      </c>
      <c r="P560" s="1477">
        <f t="shared" si="207"/>
        <v>0</v>
      </c>
      <c r="Q560" s="1477">
        <f t="shared" si="208"/>
        <v>0</v>
      </c>
      <c r="R560" s="1576"/>
      <c r="S560" s="1869"/>
      <c r="T560" s="1866"/>
      <c r="U560" s="2442"/>
      <c r="V560" s="1866"/>
      <c r="W560" s="1869"/>
      <c r="X560" s="1870"/>
      <c r="Y560" s="1871"/>
      <c r="Z560" s="1694"/>
      <c r="AA560" s="1872"/>
      <c r="AB560" s="1873" t="str">
        <f t="shared" si="215"/>
        <v/>
      </c>
      <c r="AC560" s="1418">
        <f t="shared" si="200"/>
        <v>0</v>
      </c>
      <c r="AD560" s="1418">
        <f t="shared" si="201"/>
        <v>0</v>
      </c>
      <c r="AE560" s="1418"/>
      <c r="AF560" s="1418">
        <f t="shared" si="202"/>
        <v>0</v>
      </c>
      <c r="AG560" s="1418"/>
      <c r="AH560" s="1418">
        <f t="shared" si="203"/>
        <v>0</v>
      </c>
      <c r="AI560" s="1428"/>
      <c r="AO560" s="2504"/>
      <c r="AP560" s="1418">
        <f t="shared" si="211"/>
        <v>0</v>
      </c>
    </row>
    <row r="561" spans="1:42" s="1410" customFormat="1" ht="15.75">
      <c r="A561" s="2102" t="s">
        <v>3619</v>
      </c>
      <c r="B561" s="1268" t="s">
        <v>2609</v>
      </c>
      <c r="C561" s="1241" t="s">
        <v>3343</v>
      </c>
      <c r="D561" s="1245" t="s">
        <v>1451</v>
      </c>
      <c r="E561" s="1413">
        <v>137</v>
      </c>
      <c r="F561" s="1555">
        <v>92.07</v>
      </c>
      <c r="G561" s="1480">
        <v>98.87</v>
      </c>
      <c r="H561" s="1414">
        <v>102.35</v>
      </c>
      <c r="I561" s="1477">
        <f t="shared" si="198"/>
        <v>12613.59</v>
      </c>
      <c r="J561" s="1477">
        <f t="shared" si="199"/>
        <v>13545.19</v>
      </c>
      <c r="K561" s="1477">
        <v>21</v>
      </c>
      <c r="L561" s="1477">
        <f t="shared" si="204"/>
        <v>21</v>
      </c>
      <c r="M561" s="1477">
        <v>116</v>
      </c>
      <c r="N561" s="1477">
        <f t="shared" si="205"/>
        <v>116</v>
      </c>
      <c r="O561" s="1477">
        <f t="shared" si="206"/>
        <v>2076.27</v>
      </c>
      <c r="P561" s="1477">
        <f t="shared" si="207"/>
        <v>11468.92</v>
      </c>
      <c r="Q561" s="1477">
        <f t="shared" si="208"/>
        <v>11872.6</v>
      </c>
      <c r="R561" s="1576">
        <f t="shared" si="209"/>
        <v>13948.87</v>
      </c>
      <c r="S561" s="1869">
        <v>137</v>
      </c>
      <c r="T561" s="1866">
        <v>13948.869999999999</v>
      </c>
      <c r="U561" s="2442"/>
      <c r="V561" s="1866">
        <f t="shared" si="212"/>
        <v>0</v>
      </c>
      <c r="W561" s="1869">
        <f>S561+U561</f>
        <v>137</v>
      </c>
      <c r="X561" s="1870">
        <f t="shared" si="210"/>
        <v>13948.869999999999</v>
      </c>
      <c r="Y561" s="1871">
        <f t="shared" si="213"/>
        <v>0.99999999999999989</v>
      </c>
      <c r="Z561" s="1694">
        <f>+E561-W561</f>
        <v>0</v>
      </c>
      <c r="AA561" s="1872">
        <f t="shared" si="214"/>
        <v>0</v>
      </c>
      <c r="AB561" s="1873">
        <f t="shared" si="215"/>
        <v>0</v>
      </c>
      <c r="AC561" s="1418">
        <f t="shared" si="200"/>
        <v>1.8189894035458565E-12</v>
      </c>
      <c r="AD561" s="1418">
        <f t="shared" si="201"/>
        <v>0</v>
      </c>
      <c r="AE561" s="1418">
        <v>13948.869999999999</v>
      </c>
      <c r="AF561" s="1418">
        <f t="shared" si="202"/>
        <v>0</v>
      </c>
      <c r="AG561" s="1418">
        <v>102.35</v>
      </c>
      <c r="AH561" s="1418">
        <f t="shared" si="203"/>
        <v>0</v>
      </c>
      <c r="AI561" s="1428"/>
      <c r="AO561" s="2504">
        <v>13948.869999999999</v>
      </c>
      <c r="AP561" s="1418">
        <f t="shared" si="211"/>
        <v>0</v>
      </c>
    </row>
    <row r="562" spans="1:42" s="1410" customFormat="1" ht="15.75">
      <c r="A562" s="2102"/>
      <c r="B562" s="1268" t="s">
        <v>2610</v>
      </c>
      <c r="C562" s="1241" t="s">
        <v>3344</v>
      </c>
      <c r="D562" s="1245" t="s">
        <v>1451</v>
      </c>
      <c r="E562" s="1413">
        <v>23</v>
      </c>
      <c r="F562" s="1555">
        <v>100.56</v>
      </c>
      <c r="G562" s="1480">
        <v>107.36</v>
      </c>
      <c r="H562" s="1414">
        <v>110.84</v>
      </c>
      <c r="I562" s="1477">
        <f t="shared" si="198"/>
        <v>2312.88</v>
      </c>
      <c r="J562" s="1477">
        <f t="shared" si="199"/>
        <v>2469.2800000000002</v>
      </c>
      <c r="K562" s="1477">
        <v>7</v>
      </c>
      <c r="L562" s="1477">
        <f t="shared" si="204"/>
        <v>7</v>
      </c>
      <c r="M562" s="1477">
        <v>16</v>
      </c>
      <c r="N562" s="1477">
        <f t="shared" si="205"/>
        <v>16</v>
      </c>
      <c r="O562" s="1477">
        <f t="shared" si="206"/>
        <v>751.52</v>
      </c>
      <c r="P562" s="1477">
        <f t="shared" si="207"/>
        <v>1717.76</v>
      </c>
      <c r="Q562" s="1477">
        <f t="shared" si="208"/>
        <v>1773.44</v>
      </c>
      <c r="R562" s="1576">
        <f t="shared" si="209"/>
        <v>2524.96</v>
      </c>
      <c r="S562" s="1869">
        <v>23</v>
      </c>
      <c r="T562" s="1866">
        <v>2524.96</v>
      </c>
      <c r="U562" s="2442"/>
      <c r="V562" s="1866">
        <f t="shared" si="212"/>
        <v>0</v>
      </c>
      <c r="W562" s="1869">
        <f>S562+U562</f>
        <v>23</v>
      </c>
      <c r="X562" s="1870">
        <f t="shared" si="210"/>
        <v>2524.96</v>
      </c>
      <c r="Y562" s="1871">
        <f t="shared" si="213"/>
        <v>1</v>
      </c>
      <c r="Z562" s="1694">
        <f>+E562-W562</f>
        <v>0</v>
      </c>
      <c r="AA562" s="1872">
        <f t="shared" si="214"/>
        <v>0</v>
      </c>
      <c r="AB562" s="1873">
        <f t="shared" si="215"/>
        <v>0</v>
      </c>
      <c r="AC562" s="1418">
        <f t="shared" si="200"/>
        <v>0</v>
      </c>
      <c r="AD562" s="1418">
        <f t="shared" si="201"/>
        <v>0</v>
      </c>
      <c r="AE562" s="1418">
        <v>2524.96</v>
      </c>
      <c r="AF562" s="1418">
        <f t="shared" si="202"/>
        <v>0</v>
      </c>
      <c r="AG562" s="1418">
        <v>110.84</v>
      </c>
      <c r="AH562" s="1418">
        <f t="shared" si="203"/>
        <v>0</v>
      </c>
      <c r="AI562" s="1428"/>
      <c r="AO562" s="2504">
        <v>2524.96</v>
      </c>
      <c r="AP562" s="1418">
        <f t="shared" si="211"/>
        <v>0</v>
      </c>
    </row>
    <row r="563" spans="1:42" s="1410" customFormat="1" ht="15.75">
      <c r="A563" s="2102"/>
      <c r="B563" s="1268" t="s">
        <v>2611</v>
      </c>
      <c r="C563" s="1241" t="s">
        <v>3345</v>
      </c>
      <c r="D563" s="1245" t="s">
        <v>1451</v>
      </c>
      <c r="E563" s="1413">
        <v>67</v>
      </c>
      <c r="F563" s="1555">
        <v>98.13</v>
      </c>
      <c r="G563" s="1480">
        <v>104.93</v>
      </c>
      <c r="H563" s="1414">
        <v>108.41</v>
      </c>
      <c r="I563" s="1477">
        <f t="shared" si="198"/>
        <v>6574.71</v>
      </c>
      <c r="J563" s="1477">
        <f t="shared" si="199"/>
        <v>7030.31</v>
      </c>
      <c r="K563" s="1477">
        <v>16</v>
      </c>
      <c r="L563" s="1477">
        <f t="shared" si="204"/>
        <v>16</v>
      </c>
      <c r="M563" s="1477">
        <v>51</v>
      </c>
      <c r="N563" s="1477">
        <f t="shared" si="205"/>
        <v>51</v>
      </c>
      <c r="O563" s="1477">
        <f t="shared" si="206"/>
        <v>1678.88</v>
      </c>
      <c r="P563" s="1477">
        <f t="shared" si="207"/>
        <v>5351.43</v>
      </c>
      <c r="Q563" s="1477">
        <f t="shared" si="208"/>
        <v>5528.91</v>
      </c>
      <c r="R563" s="1576">
        <f t="shared" si="209"/>
        <v>7207.79</v>
      </c>
      <c r="S563" s="1869">
        <v>67</v>
      </c>
      <c r="T563" s="1866">
        <v>7207.79</v>
      </c>
      <c r="U563" s="2442"/>
      <c r="V563" s="1866">
        <f t="shared" si="212"/>
        <v>0</v>
      </c>
      <c r="W563" s="1869">
        <f>S563+U563</f>
        <v>67</v>
      </c>
      <c r="X563" s="1870">
        <f t="shared" si="210"/>
        <v>7207.79</v>
      </c>
      <c r="Y563" s="1871">
        <f t="shared" si="213"/>
        <v>1</v>
      </c>
      <c r="Z563" s="1694">
        <f>+E563-W563</f>
        <v>0</v>
      </c>
      <c r="AA563" s="1872">
        <f t="shared" si="214"/>
        <v>0</v>
      </c>
      <c r="AB563" s="1873">
        <f t="shared" si="215"/>
        <v>0</v>
      </c>
      <c r="AC563" s="1418">
        <f t="shared" si="200"/>
        <v>0</v>
      </c>
      <c r="AD563" s="1418">
        <f t="shared" si="201"/>
        <v>0</v>
      </c>
      <c r="AE563" s="1418">
        <v>7207.7899999999991</v>
      </c>
      <c r="AF563" s="1418">
        <f t="shared" si="202"/>
        <v>0</v>
      </c>
      <c r="AG563" s="1418">
        <v>108.41</v>
      </c>
      <c r="AH563" s="1418">
        <f t="shared" si="203"/>
        <v>0</v>
      </c>
      <c r="AI563" s="1428"/>
      <c r="AO563" s="2504">
        <v>7207.79</v>
      </c>
      <c r="AP563" s="1418">
        <f t="shared" si="211"/>
        <v>0</v>
      </c>
    </row>
    <row r="564" spans="1:42" s="1410" customFormat="1" ht="15.75">
      <c r="A564" s="2102" t="s">
        <v>3619</v>
      </c>
      <c r="B564" s="1268" t="s">
        <v>2612</v>
      </c>
      <c r="C564" s="1241" t="s">
        <v>3346</v>
      </c>
      <c r="D564" s="1245" t="s">
        <v>1451</v>
      </c>
      <c r="E564" s="1413">
        <v>46</v>
      </c>
      <c r="F564" s="1555">
        <v>95.83</v>
      </c>
      <c r="G564" s="1480">
        <v>102.63</v>
      </c>
      <c r="H564" s="1414">
        <v>106.11</v>
      </c>
      <c r="I564" s="1477">
        <f t="shared" si="198"/>
        <v>4408.18</v>
      </c>
      <c r="J564" s="1477">
        <f t="shared" si="199"/>
        <v>4720.9799999999996</v>
      </c>
      <c r="K564" s="1477">
        <v>1</v>
      </c>
      <c r="L564" s="1477">
        <f t="shared" si="204"/>
        <v>1</v>
      </c>
      <c r="M564" s="1477">
        <v>45</v>
      </c>
      <c r="N564" s="1477">
        <f t="shared" si="205"/>
        <v>45</v>
      </c>
      <c r="O564" s="1477">
        <f t="shared" si="206"/>
        <v>102.63</v>
      </c>
      <c r="P564" s="1477">
        <f t="shared" si="207"/>
        <v>4618.3500000000004</v>
      </c>
      <c r="Q564" s="1477">
        <f t="shared" si="208"/>
        <v>4774.95</v>
      </c>
      <c r="R564" s="1576">
        <f t="shared" si="209"/>
        <v>4877.58</v>
      </c>
      <c r="S564" s="1869">
        <v>46</v>
      </c>
      <c r="T564" s="1866">
        <v>4877.58</v>
      </c>
      <c r="U564" s="2442"/>
      <c r="V564" s="1866">
        <f t="shared" si="212"/>
        <v>0</v>
      </c>
      <c r="W564" s="1869">
        <f>S564+U564</f>
        <v>46</v>
      </c>
      <c r="X564" s="1870">
        <f t="shared" si="210"/>
        <v>4877.58</v>
      </c>
      <c r="Y564" s="1871">
        <f t="shared" si="213"/>
        <v>1</v>
      </c>
      <c r="Z564" s="1694">
        <f>+E564-W564</f>
        <v>0</v>
      </c>
      <c r="AA564" s="1872">
        <f t="shared" si="214"/>
        <v>0</v>
      </c>
      <c r="AB564" s="1873">
        <f t="shared" si="215"/>
        <v>0</v>
      </c>
      <c r="AC564" s="1418">
        <f t="shared" si="200"/>
        <v>0</v>
      </c>
      <c r="AD564" s="1418">
        <f t="shared" si="201"/>
        <v>0</v>
      </c>
      <c r="AE564" s="1418">
        <v>4877.58</v>
      </c>
      <c r="AF564" s="1418">
        <f t="shared" si="202"/>
        <v>0</v>
      </c>
      <c r="AG564" s="1418">
        <v>106.11</v>
      </c>
      <c r="AH564" s="1418">
        <f t="shared" si="203"/>
        <v>0</v>
      </c>
      <c r="AI564" s="1428"/>
      <c r="AO564" s="2504">
        <v>4877.58</v>
      </c>
      <c r="AP564" s="1418">
        <f t="shared" si="211"/>
        <v>0</v>
      </c>
    </row>
    <row r="565" spans="1:42" s="1410" customFormat="1" ht="15.75">
      <c r="A565" s="2102"/>
      <c r="B565" s="1272" t="s">
        <v>501</v>
      </c>
      <c r="C565" s="1262" t="s">
        <v>3347</v>
      </c>
      <c r="D565" s="1273"/>
      <c r="E565" s="1415"/>
      <c r="F565" s="1267"/>
      <c r="G565" s="1480"/>
      <c r="H565" s="1416"/>
      <c r="I565" s="1477">
        <f t="shared" si="198"/>
        <v>0</v>
      </c>
      <c r="J565" s="1477">
        <f t="shared" si="199"/>
        <v>0</v>
      </c>
      <c r="K565" s="1477"/>
      <c r="L565" s="1477">
        <f t="shared" si="204"/>
        <v>0</v>
      </c>
      <c r="M565" s="1477"/>
      <c r="N565" s="1477">
        <f t="shared" si="205"/>
        <v>0</v>
      </c>
      <c r="O565" s="1477">
        <f t="shared" si="206"/>
        <v>0</v>
      </c>
      <c r="P565" s="1477">
        <f t="shared" si="207"/>
        <v>0</v>
      </c>
      <c r="Q565" s="1477">
        <f t="shared" si="208"/>
        <v>0</v>
      </c>
      <c r="R565" s="1576"/>
      <c r="S565" s="1869"/>
      <c r="T565" s="1866"/>
      <c r="U565" s="2442"/>
      <c r="V565" s="1866"/>
      <c r="W565" s="1869"/>
      <c r="X565" s="1870"/>
      <c r="Y565" s="1871"/>
      <c r="Z565" s="1694"/>
      <c r="AA565" s="1872"/>
      <c r="AB565" s="1873"/>
      <c r="AC565" s="1418">
        <f t="shared" si="200"/>
        <v>0</v>
      </c>
      <c r="AD565" s="1418">
        <f t="shared" si="201"/>
        <v>0</v>
      </c>
      <c r="AE565" s="1418"/>
      <c r="AF565" s="1418">
        <f t="shared" si="202"/>
        <v>0</v>
      </c>
      <c r="AG565" s="1418"/>
      <c r="AH565" s="1418">
        <f t="shared" si="203"/>
        <v>0</v>
      </c>
      <c r="AI565" s="1428"/>
      <c r="AO565" s="2504"/>
      <c r="AP565" s="1418">
        <f t="shared" si="211"/>
        <v>0</v>
      </c>
    </row>
    <row r="566" spans="1:42" s="1410" customFormat="1" ht="15.75">
      <c r="A566" s="2102"/>
      <c r="B566" s="1268" t="s">
        <v>2613</v>
      </c>
      <c r="C566" s="1241" t="s">
        <v>3348</v>
      </c>
      <c r="D566" s="1245" t="s">
        <v>38</v>
      </c>
      <c r="E566" s="1413">
        <v>396.85</v>
      </c>
      <c r="F566" s="1555">
        <v>25.64</v>
      </c>
      <c r="G566" s="1480">
        <v>27.59</v>
      </c>
      <c r="H566" s="1414">
        <v>28.58</v>
      </c>
      <c r="I566" s="1477">
        <f t="shared" si="198"/>
        <v>10175.23</v>
      </c>
      <c r="J566" s="1477">
        <f t="shared" si="199"/>
        <v>10949.09</v>
      </c>
      <c r="K566" s="1477">
        <v>122</v>
      </c>
      <c r="L566" s="1477">
        <f t="shared" si="204"/>
        <v>122</v>
      </c>
      <c r="M566" s="1477">
        <v>274.85000000000002</v>
      </c>
      <c r="N566" s="1477">
        <f t="shared" si="205"/>
        <v>274.85000000000002</v>
      </c>
      <c r="O566" s="1477">
        <f t="shared" si="206"/>
        <v>3365.98</v>
      </c>
      <c r="P566" s="1477">
        <f t="shared" si="207"/>
        <v>7583.11</v>
      </c>
      <c r="Q566" s="1477">
        <f t="shared" si="208"/>
        <v>7855.21</v>
      </c>
      <c r="R566" s="1576">
        <f t="shared" si="209"/>
        <v>11221.19</v>
      </c>
      <c r="S566" s="1869">
        <v>396.85</v>
      </c>
      <c r="T566" s="1866">
        <v>11221.192999999999</v>
      </c>
      <c r="U566" s="2442"/>
      <c r="V566" s="1866">
        <f t="shared" si="212"/>
        <v>0</v>
      </c>
      <c r="W566" s="1869">
        <f t="shared" ref="W566:W571" si="220">S566+U566</f>
        <v>396.85</v>
      </c>
      <c r="X566" s="1870">
        <f t="shared" si="210"/>
        <v>11221.192999999999</v>
      </c>
      <c r="Y566" s="1871">
        <f t="shared" si="213"/>
        <v>1.0000002673513235</v>
      </c>
      <c r="Z566" s="1694">
        <f t="shared" ref="Z566:Z571" si="221">+E566-W566</f>
        <v>0</v>
      </c>
      <c r="AA566" s="1872">
        <f t="shared" si="214"/>
        <v>0</v>
      </c>
      <c r="AB566" s="1873">
        <f t="shared" si="215"/>
        <v>0</v>
      </c>
      <c r="AC566" s="1418">
        <f t="shared" si="200"/>
        <v>-2.999999998792191E-3</v>
      </c>
      <c r="AD566" s="1418">
        <f t="shared" si="201"/>
        <v>0</v>
      </c>
      <c r="AE566" s="1418">
        <v>11221.192999999999</v>
      </c>
      <c r="AF566" s="1418">
        <f t="shared" si="202"/>
        <v>2.999999998792191E-3</v>
      </c>
      <c r="AG566" s="1418">
        <v>28.58</v>
      </c>
      <c r="AH566" s="1418">
        <f t="shared" si="203"/>
        <v>0</v>
      </c>
      <c r="AI566" s="1428"/>
      <c r="AO566" s="2504">
        <v>11221.192999999999</v>
      </c>
      <c r="AP566" s="1418">
        <f t="shared" si="211"/>
        <v>0</v>
      </c>
    </row>
    <row r="567" spans="1:42" s="1410" customFormat="1" ht="15.75">
      <c r="A567" s="2102"/>
      <c r="B567" s="1268" t="s">
        <v>2614</v>
      </c>
      <c r="C567" s="1241" t="s">
        <v>3349</v>
      </c>
      <c r="D567" s="1245" t="s">
        <v>38</v>
      </c>
      <c r="E567" s="1413">
        <v>30</v>
      </c>
      <c r="F567" s="1555">
        <v>29.61</v>
      </c>
      <c r="G567" s="1480">
        <v>31.56</v>
      </c>
      <c r="H567" s="1414">
        <v>32.549999999999997</v>
      </c>
      <c r="I567" s="1477">
        <f t="shared" si="198"/>
        <v>888.3</v>
      </c>
      <c r="J567" s="1477">
        <f t="shared" si="199"/>
        <v>946.8</v>
      </c>
      <c r="K567" s="1477">
        <v>15</v>
      </c>
      <c r="L567" s="1477">
        <f t="shared" si="204"/>
        <v>15</v>
      </c>
      <c r="M567" s="1477">
        <v>15</v>
      </c>
      <c r="N567" s="1477">
        <f t="shared" si="205"/>
        <v>15</v>
      </c>
      <c r="O567" s="1477">
        <f t="shared" si="206"/>
        <v>473.4</v>
      </c>
      <c r="P567" s="1477">
        <f t="shared" si="207"/>
        <v>473.4</v>
      </c>
      <c r="Q567" s="1477">
        <f t="shared" si="208"/>
        <v>488.25</v>
      </c>
      <c r="R567" s="1576">
        <f t="shared" si="209"/>
        <v>961.65</v>
      </c>
      <c r="S567" s="1869">
        <v>30</v>
      </c>
      <c r="T567" s="1866">
        <v>961.64999999999986</v>
      </c>
      <c r="U567" s="2442"/>
      <c r="V567" s="1866">
        <f t="shared" si="212"/>
        <v>0</v>
      </c>
      <c r="W567" s="1869">
        <f t="shared" si="220"/>
        <v>30</v>
      </c>
      <c r="X567" s="1870">
        <f t="shared" si="210"/>
        <v>961.64999999999986</v>
      </c>
      <c r="Y567" s="1871">
        <f t="shared" si="213"/>
        <v>0.99999999999999989</v>
      </c>
      <c r="Z567" s="1694">
        <f t="shared" si="221"/>
        <v>0</v>
      </c>
      <c r="AA567" s="1872">
        <f t="shared" si="214"/>
        <v>0</v>
      </c>
      <c r="AB567" s="1873">
        <f t="shared" si="215"/>
        <v>0</v>
      </c>
      <c r="AC567" s="1418">
        <f t="shared" si="200"/>
        <v>1.1368683772161603E-13</v>
      </c>
      <c r="AD567" s="1418">
        <f t="shared" si="201"/>
        <v>0</v>
      </c>
      <c r="AE567" s="1418">
        <v>961.64999999999986</v>
      </c>
      <c r="AF567" s="1418">
        <f t="shared" si="202"/>
        <v>0</v>
      </c>
      <c r="AG567" s="1418">
        <v>32.549999999999997</v>
      </c>
      <c r="AH567" s="1418">
        <f t="shared" si="203"/>
        <v>0</v>
      </c>
      <c r="AI567" s="1428" t="s">
        <v>3666</v>
      </c>
      <c r="AO567" s="2504">
        <v>961.64999999999986</v>
      </c>
      <c r="AP567" s="1418">
        <f t="shared" si="211"/>
        <v>0</v>
      </c>
    </row>
    <row r="568" spans="1:42" s="1410" customFormat="1" ht="15.75">
      <c r="A568" s="2102"/>
      <c r="B568" s="1268" t="s">
        <v>2615</v>
      </c>
      <c r="C568" s="1241" t="s">
        <v>3350</v>
      </c>
      <c r="D568" s="1245" t="s">
        <v>38</v>
      </c>
      <c r="E568" s="1413">
        <v>187.9</v>
      </c>
      <c r="F568" s="1555">
        <v>29.97</v>
      </c>
      <c r="G568" s="1480">
        <v>31.92</v>
      </c>
      <c r="H568" s="1414">
        <v>32.909999999999997</v>
      </c>
      <c r="I568" s="1477">
        <f t="shared" si="198"/>
        <v>5631.36</v>
      </c>
      <c r="J568" s="1477">
        <f t="shared" si="199"/>
        <v>5997.77</v>
      </c>
      <c r="K568" s="1477">
        <v>115</v>
      </c>
      <c r="L568" s="1477">
        <f t="shared" si="204"/>
        <v>115</v>
      </c>
      <c r="M568" s="1477">
        <v>72.900000000000006</v>
      </c>
      <c r="N568" s="1477">
        <f t="shared" si="205"/>
        <v>72.900000000000006</v>
      </c>
      <c r="O568" s="1477">
        <f t="shared" si="206"/>
        <v>3670.8</v>
      </c>
      <c r="P568" s="1477">
        <f t="shared" si="207"/>
        <v>2326.9699999999998</v>
      </c>
      <c r="Q568" s="1477">
        <f t="shared" si="208"/>
        <v>2399.14</v>
      </c>
      <c r="R568" s="1576">
        <f t="shared" si="209"/>
        <v>6069.9400000000005</v>
      </c>
      <c r="S568" s="1869">
        <v>187.9</v>
      </c>
      <c r="T568" s="1866">
        <v>6069.9389999999994</v>
      </c>
      <c r="U568" s="2442"/>
      <c r="V568" s="1866">
        <f t="shared" si="212"/>
        <v>0</v>
      </c>
      <c r="W568" s="1869">
        <f t="shared" si="220"/>
        <v>187.9</v>
      </c>
      <c r="X568" s="1870">
        <f t="shared" si="210"/>
        <v>6069.9389999999994</v>
      </c>
      <c r="Y568" s="1871">
        <f t="shared" si="213"/>
        <v>0.9999998352537256</v>
      </c>
      <c r="Z568" s="1694">
        <f t="shared" si="221"/>
        <v>0</v>
      </c>
      <c r="AA568" s="1872">
        <f t="shared" si="214"/>
        <v>0</v>
      </c>
      <c r="AB568" s="1873">
        <f t="shared" si="215"/>
        <v>0</v>
      </c>
      <c r="AC568" s="1418">
        <f t="shared" si="200"/>
        <v>1.0000000011132215E-3</v>
      </c>
      <c r="AD568" s="1418">
        <f t="shared" si="201"/>
        <v>0</v>
      </c>
      <c r="AE568" s="1418">
        <v>6069.9390000000003</v>
      </c>
      <c r="AF568" s="1418">
        <f t="shared" si="202"/>
        <v>-1.0000000002037268E-3</v>
      </c>
      <c r="AG568" s="1418">
        <v>32.909999999999997</v>
      </c>
      <c r="AH568" s="1418">
        <f t="shared" si="203"/>
        <v>0</v>
      </c>
      <c r="AI568" s="1428"/>
      <c r="AO568" s="2504">
        <v>6069.9389999999994</v>
      </c>
      <c r="AP568" s="1418">
        <f t="shared" si="211"/>
        <v>0</v>
      </c>
    </row>
    <row r="569" spans="1:42" s="1410" customFormat="1" ht="15.75">
      <c r="A569" s="2102"/>
      <c r="B569" s="1268" t="s">
        <v>2616</v>
      </c>
      <c r="C569" s="1241" t="s">
        <v>3351</v>
      </c>
      <c r="D569" s="1245" t="s">
        <v>38</v>
      </c>
      <c r="E569" s="1413">
        <v>91</v>
      </c>
      <c r="F569" s="1555">
        <v>25.64</v>
      </c>
      <c r="G569" s="1480">
        <v>27.59</v>
      </c>
      <c r="H569" s="1414">
        <v>28.58</v>
      </c>
      <c r="I569" s="1477">
        <f t="shared" si="198"/>
        <v>2333.2399999999998</v>
      </c>
      <c r="J569" s="1477">
        <f t="shared" si="199"/>
        <v>2510.69</v>
      </c>
      <c r="K569" s="1477">
        <v>16</v>
      </c>
      <c r="L569" s="1477">
        <f t="shared" si="204"/>
        <v>16</v>
      </c>
      <c r="M569" s="1477">
        <v>75</v>
      </c>
      <c r="N569" s="1477">
        <f t="shared" si="205"/>
        <v>75</v>
      </c>
      <c r="O569" s="1477">
        <f t="shared" si="206"/>
        <v>441.44</v>
      </c>
      <c r="P569" s="1477">
        <f t="shared" si="207"/>
        <v>2069.25</v>
      </c>
      <c r="Q569" s="1477">
        <f t="shared" si="208"/>
        <v>2143.5</v>
      </c>
      <c r="R569" s="1576">
        <f t="shared" si="209"/>
        <v>2584.94</v>
      </c>
      <c r="S569" s="1869">
        <v>91</v>
      </c>
      <c r="T569" s="1866">
        <v>2584.9399999999996</v>
      </c>
      <c r="U569" s="2442"/>
      <c r="V569" s="1866">
        <f t="shared" si="212"/>
        <v>0</v>
      </c>
      <c r="W569" s="1869">
        <f t="shared" si="220"/>
        <v>91</v>
      </c>
      <c r="X569" s="1870">
        <f t="shared" si="210"/>
        <v>2584.9399999999996</v>
      </c>
      <c r="Y569" s="1871">
        <f t="shared" si="213"/>
        <v>0.99999999999999978</v>
      </c>
      <c r="Z569" s="1694">
        <f t="shared" si="221"/>
        <v>0</v>
      </c>
      <c r="AA569" s="1872">
        <f t="shared" si="214"/>
        <v>0</v>
      </c>
      <c r="AB569" s="1873">
        <f t="shared" si="215"/>
        <v>0</v>
      </c>
      <c r="AC569" s="1418">
        <f t="shared" si="200"/>
        <v>4.5474735088646412E-13</v>
      </c>
      <c r="AD569" s="1418">
        <f t="shared" si="201"/>
        <v>0</v>
      </c>
      <c r="AE569" s="1418">
        <v>2584.94</v>
      </c>
      <c r="AF569" s="1418">
        <f t="shared" si="202"/>
        <v>0</v>
      </c>
      <c r="AG569" s="1418">
        <v>28.58</v>
      </c>
      <c r="AH569" s="1418">
        <f t="shared" si="203"/>
        <v>0</v>
      </c>
      <c r="AI569" s="1428"/>
      <c r="AO569" s="2504">
        <v>2584.9399999999996</v>
      </c>
      <c r="AP569" s="1418">
        <f t="shared" si="211"/>
        <v>0</v>
      </c>
    </row>
    <row r="570" spans="1:42" s="1410" customFormat="1" ht="15.75">
      <c r="A570" s="2102"/>
      <c r="B570" s="1268" t="s">
        <v>2617</v>
      </c>
      <c r="C570" s="1241" t="s">
        <v>3352</v>
      </c>
      <c r="D570" s="1245" t="s">
        <v>38</v>
      </c>
      <c r="E570" s="1413">
        <v>131.80000000000001</v>
      </c>
      <c r="F570" s="1555">
        <v>25.99</v>
      </c>
      <c r="G570" s="1480">
        <v>27.94</v>
      </c>
      <c r="H570" s="1414">
        <v>28.93</v>
      </c>
      <c r="I570" s="1477">
        <f t="shared" si="198"/>
        <v>3425.48</v>
      </c>
      <c r="J570" s="1477">
        <f t="shared" si="199"/>
        <v>3682.49</v>
      </c>
      <c r="K570" s="1477">
        <v>78</v>
      </c>
      <c r="L570" s="1477">
        <f t="shared" si="204"/>
        <v>78.000000000000014</v>
      </c>
      <c r="M570" s="1477">
        <v>53.800000000000011</v>
      </c>
      <c r="N570" s="1477">
        <f t="shared" si="205"/>
        <v>53.8</v>
      </c>
      <c r="O570" s="1477">
        <f t="shared" si="206"/>
        <v>2179.3200000000002</v>
      </c>
      <c r="P570" s="1477">
        <f t="shared" si="207"/>
        <v>1503.17</v>
      </c>
      <c r="Q570" s="1477">
        <f t="shared" si="208"/>
        <v>1556.43</v>
      </c>
      <c r="R570" s="1576">
        <f t="shared" si="209"/>
        <v>3735.75</v>
      </c>
      <c r="S570" s="1869">
        <v>131.80000000000001</v>
      </c>
      <c r="T570" s="1866">
        <v>3735.7540000000008</v>
      </c>
      <c r="U570" s="2442"/>
      <c r="V570" s="1866">
        <f t="shared" si="212"/>
        <v>0</v>
      </c>
      <c r="W570" s="1869">
        <f t="shared" si="220"/>
        <v>131.80000000000001</v>
      </c>
      <c r="X570" s="1870">
        <f t="shared" si="210"/>
        <v>3735.7540000000008</v>
      </c>
      <c r="Y570" s="1871">
        <f t="shared" si="213"/>
        <v>1.0000010707354616</v>
      </c>
      <c r="Z570" s="1694">
        <f t="shared" si="221"/>
        <v>0</v>
      </c>
      <c r="AA570" s="1872">
        <f t="shared" si="214"/>
        <v>0</v>
      </c>
      <c r="AB570" s="1873">
        <f t="shared" si="215"/>
        <v>0</v>
      </c>
      <c r="AC570" s="1418">
        <f t="shared" si="200"/>
        <v>-4.0000000008149073E-3</v>
      </c>
      <c r="AD570" s="1418">
        <f t="shared" si="201"/>
        <v>0</v>
      </c>
      <c r="AE570" s="1418">
        <v>3735.7540000000008</v>
      </c>
      <c r="AF570" s="1418">
        <f t="shared" si="202"/>
        <v>4.0000000008149073E-3</v>
      </c>
      <c r="AG570" s="1418">
        <v>28.93</v>
      </c>
      <c r="AH570" s="1418">
        <f t="shared" si="203"/>
        <v>0</v>
      </c>
      <c r="AI570" s="1428"/>
      <c r="AO570" s="2504">
        <v>3735.7540000000008</v>
      </c>
      <c r="AP570" s="1418">
        <f t="shared" si="211"/>
        <v>0</v>
      </c>
    </row>
    <row r="571" spans="1:42" s="1410" customFormat="1" ht="15.75">
      <c r="A571" s="2102"/>
      <c r="B571" s="1268" t="s">
        <v>2618</v>
      </c>
      <c r="C571" s="1241" t="s">
        <v>3353</v>
      </c>
      <c r="D571" s="1245" t="s">
        <v>38</v>
      </c>
      <c r="E571" s="1413">
        <v>53.75</v>
      </c>
      <c r="F571" s="1555">
        <v>31.16</v>
      </c>
      <c r="G571" s="1480">
        <v>33.11</v>
      </c>
      <c r="H571" s="1414">
        <v>34.1</v>
      </c>
      <c r="I571" s="1477">
        <f t="shared" si="198"/>
        <v>1674.85</v>
      </c>
      <c r="J571" s="1477">
        <f t="shared" si="199"/>
        <v>1779.66</v>
      </c>
      <c r="K571" s="1477">
        <v>25</v>
      </c>
      <c r="L571" s="1477">
        <f t="shared" si="204"/>
        <v>25</v>
      </c>
      <c r="M571" s="1477">
        <v>28.75</v>
      </c>
      <c r="N571" s="1477">
        <f t="shared" si="205"/>
        <v>28.75</v>
      </c>
      <c r="O571" s="1477">
        <f t="shared" si="206"/>
        <v>827.75</v>
      </c>
      <c r="P571" s="1477">
        <f t="shared" si="207"/>
        <v>951.91</v>
      </c>
      <c r="Q571" s="1477">
        <f t="shared" si="208"/>
        <v>980.38</v>
      </c>
      <c r="R571" s="1576">
        <f t="shared" si="209"/>
        <v>1808.13</v>
      </c>
      <c r="S571" s="1869">
        <v>53.75</v>
      </c>
      <c r="T571" s="1866">
        <v>1808.125</v>
      </c>
      <c r="U571" s="2442"/>
      <c r="V571" s="1866">
        <f t="shared" si="212"/>
        <v>0</v>
      </c>
      <c r="W571" s="1869">
        <f t="shared" si="220"/>
        <v>53.75</v>
      </c>
      <c r="X571" s="1870">
        <f t="shared" si="210"/>
        <v>1808.125</v>
      </c>
      <c r="Y571" s="1871">
        <f t="shared" si="213"/>
        <v>0.99999723471210578</v>
      </c>
      <c r="Z571" s="1694">
        <f t="shared" si="221"/>
        <v>0</v>
      </c>
      <c r="AA571" s="1872">
        <f t="shared" si="214"/>
        <v>0</v>
      </c>
      <c r="AB571" s="1873">
        <f t="shared" si="215"/>
        <v>0</v>
      </c>
      <c r="AC571" s="1418">
        <f t="shared" si="200"/>
        <v>5.0000000001091394E-3</v>
      </c>
      <c r="AD571" s="1418">
        <f t="shared" si="201"/>
        <v>0</v>
      </c>
      <c r="AE571" s="1418">
        <v>1808.125</v>
      </c>
      <c r="AF571" s="1418">
        <f t="shared" si="202"/>
        <v>-5.0000000001091394E-3</v>
      </c>
      <c r="AG571" s="1418">
        <v>34.1</v>
      </c>
      <c r="AH571" s="1418">
        <f t="shared" si="203"/>
        <v>0</v>
      </c>
      <c r="AI571" s="1428"/>
      <c r="AO571" s="2504">
        <v>1808.125</v>
      </c>
      <c r="AP571" s="1418">
        <f t="shared" si="211"/>
        <v>0</v>
      </c>
    </row>
    <row r="572" spans="1:42" s="1410" customFormat="1" ht="15.75">
      <c r="A572" s="2102"/>
      <c r="B572" s="1272" t="s">
        <v>502</v>
      </c>
      <c r="C572" s="1262" t="s">
        <v>3354</v>
      </c>
      <c r="D572" s="1273"/>
      <c r="E572" s="1415"/>
      <c r="F572" s="1267"/>
      <c r="G572" s="1480"/>
      <c r="H572" s="1416"/>
      <c r="I572" s="1477">
        <f t="shared" si="198"/>
        <v>0</v>
      </c>
      <c r="J572" s="1477">
        <f t="shared" si="199"/>
        <v>0</v>
      </c>
      <c r="K572" s="1477"/>
      <c r="L572" s="1477">
        <f t="shared" si="204"/>
        <v>0</v>
      </c>
      <c r="M572" s="1477"/>
      <c r="N572" s="1477">
        <f t="shared" si="205"/>
        <v>0</v>
      </c>
      <c r="O572" s="1477">
        <f t="shared" si="206"/>
        <v>0</v>
      </c>
      <c r="P572" s="1477">
        <f t="shared" si="207"/>
        <v>0</v>
      </c>
      <c r="Q572" s="1477">
        <f t="shared" si="208"/>
        <v>0</v>
      </c>
      <c r="R572" s="1576"/>
      <c r="S572" s="1869"/>
      <c r="T572" s="1866"/>
      <c r="U572" s="2442"/>
      <c r="V572" s="1866"/>
      <c r="W572" s="1869"/>
      <c r="X572" s="1870"/>
      <c r="Y572" s="1871"/>
      <c r="Z572" s="1694"/>
      <c r="AA572" s="1872"/>
      <c r="AB572" s="1873" t="str">
        <f t="shared" si="215"/>
        <v/>
      </c>
      <c r="AC572" s="1418">
        <f t="shared" si="200"/>
        <v>0</v>
      </c>
      <c r="AD572" s="1418">
        <f t="shared" si="201"/>
        <v>0</v>
      </c>
      <c r="AE572" s="1418"/>
      <c r="AF572" s="1418">
        <f t="shared" si="202"/>
        <v>0</v>
      </c>
      <c r="AG572" s="1418"/>
      <c r="AH572" s="1418">
        <f t="shared" si="203"/>
        <v>0</v>
      </c>
      <c r="AI572" s="1428"/>
      <c r="AO572" s="2504"/>
      <c r="AP572" s="1418">
        <f t="shared" si="211"/>
        <v>0</v>
      </c>
    </row>
    <row r="573" spans="1:42" s="1410" customFormat="1" ht="15.75">
      <c r="A573" s="2102"/>
      <c r="B573" s="1268" t="s">
        <v>2619</v>
      </c>
      <c r="C573" s="1241" t="s">
        <v>3350</v>
      </c>
      <c r="D573" s="1245" t="s">
        <v>38</v>
      </c>
      <c r="E573" s="1413">
        <v>200.1</v>
      </c>
      <c r="F573" s="1555">
        <v>29.97</v>
      </c>
      <c r="G573" s="1480">
        <v>31.92</v>
      </c>
      <c r="H573" s="1414">
        <v>32.909999999999997</v>
      </c>
      <c r="I573" s="1477">
        <f t="shared" si="198"/>
        <v>5997</v>
      </c>
      <c r="J573" s="1477">
        <f t="shared" si="199"/>
        <v>6387.19</v>
      </c>
      <c r="K573" s="1477">
        <v>0</v>
      </c>
      <c r="L573" s="1477">
        <f t="shared" si="204"/>
        <v>0</v>
      </c>
      <c r="M573" s="1477">
        <v>200.1</v>
      </c>
      <c r="N573" s="1477">
        <f t="shared" si="205"/>
        <v>200.1</v>
      </c>
      <c r="O573" s="1477">
        <f t="shared" si="206"/>
        <v>0</v>
      </c>
      <c r="P573" s="1477">
        <f t="shared" si="207"/>
        <v>6387.19</v>
      </c>
      <c r="Q573" s="1477">
        <f t="shared" si="208"/>
        <v>6585.29</v>
      </c>
      <c r="R573" s="1576">
        <f t="shared" si="209"/>
        <v>6585.29</v>
      </c>
      <c r="S573" s="1869">
        <v>200.1</v>
      </c>
      <c r="T573" s="1866">
        <v>6585.2909999999993</v>
      </c>
      <c r="U573" s="2442"/>
      <c r="V573" s="1866">
        <f t="shared" si="212"/>
        <v>0</v>
      </c>
      <c r="W573" s="1869">
        <f>S573+U573</f>
        <v>200.1</v>
      </c>
      <c r="X573" s="1870">
        <f t="shared" si="210"/>
        <v>6585.2909999999993</v>
      </c>
      <c r="Y573" s="1871">
        <f t="shared" si="213"/>
        <v>1.0000001518536008</v>
      </c>
      <c r="Z573" s="1694">
        <f>+E573-W573</f>
        <v>0</v>
      </c>
      <c r="AA573" s="1872">
        <f t="shared" si="214"/>
        <v>0</v>
      </c>
      <c r="AB573" s="1873">
        <f t="shared" si="215"/>
        <v>0</v>
      </c>
      <c r="AC573" s="1418">
        <f t="shared" si="200"/>
        <v>-9.9999999929423211E-4</v>
      </c>
      <c r="AD573" s="1418">
        <f t="shared" si="201"/>
        <v>0</v>
      </c>
      <c r="AE573" s="1418">
        <v>6585.2909999999993</v>
      </c>
      <c r="AF573" s="1418">
        <f t="shared" si="202"/>
        <v>9.9999999929423211E-4</v>
      </c>
      <c r="AG573" s="1418">
        <v>32.909999999999997</v>
      </c>
      <c r="AH573" s="1418">
        <f t="shared" si="203"/>
        <v>0</v>
      </c>
      <c r="AI573" s="1428"/>
      <c r="AO573" s="2504">
        <v>5703.302999999999</v>
      </c>
      <c r="AP573" s="1418">
        <f t="shared" si="211"/>
        <v>-881.98800000000028</v>
      </c>
    </row>
    <row r="574" spans="1:42" s="1410" customFormat="1" ht="15.75">
      <c r="A574" s="2102"/>
      <c r="B574" s="1268" t="s">
        <v>2620</v>
      </c>
      <c r="C574" s="1241" t="s">
        <v>3355</v>
      </c>
      <c r="D574" s="1245" t="s">
        <v>38</v>
      </c>
      <c r="E574" s="1413">
        <v>48.4</v>
      </c>
      <c r="F574" s="1555">
        <v>80.38</v>
      </c>
      <c r="G574" s="1480">
        <v>82.87</v>
      </c>
      <c r="H574" s="1414">
        <v>84.13</v>
      </c>
      <c r="I574" s="1477">
        <f t="shared" si="198"/>
        <v>3890.39</v>
      </c>
      <c r="J574" s="1477">
        <f t="shared" si="199"/>
        <v>4010.91</v>
      </c>
      <c r="K574" s="1477">
        <v>0</v>
      </c>
      <c r="L574" s="1477">
        <f t="shared" si="204"/>
        <v>0</v>
      </c>
      <c r="M574" s="1477">
        <v>48.4</v>
      </c>
      <c r="N574" s="1477">
        <f t="shared" si="205"/>
        <v>48.4</v>
      </c>
      <c r="O574" s="1477">
        <f t="shared" si="206"/>
        <v>0</v>
      </c>
      <c r="P574" s="1477">
        <f t="shared" si="207"/>
        <v>4010.91</v>
      </c>
      <c r="Q574" s="1477">
        <f t="shared" si="208"/>
        <v>4071.89</v>
      </c>
      <c r="R574" s="1576">
        <f t="shared" si="209"/>
        <v>4071.89</v>
      </c>
      <c r="S574" s="1869">
        <v>48.4</v>
      </c>
      <c r="T574" s="1866">
        <v>4071.8919999999994</v>
      </c>
      <c r="U574" s="2442"/>
      <c r="V574" s="1866">
        <f t="shared" si="212"/>
        <v>0</v>
      </c>
      <c r="W574" s="1869">
        <f>S574+U574</f>
        <v>48.4</v>
      </c>
      <c r="X574" s="1870">
        <f t="shared" si="210"/>
        <v>4071.8919999999994</v>
      </c>
      <c r="Y574" s="1871">
        <f t="shared" si="213"/>
        <v>1.0000004911724039</v>
      </c>
      <c r="Z574" s="1694">
        <f>+E574-W574</f>
        <v>0</v>
      </c>
      <c r="AA574" s="1872">
        <f t="shared" si="214"/>
        <v>0</v>
      </c>
      <c r="AB574" s="1873">
        <f t="shared" si="215"/>
        <v>0</v>
      </c>
      <c r="AC574" s="1418">
        <f t="shared" si="200"/>
        <v>-1.9999999994979589E-3</v>
      </c>
      <c r="AD574" s="1418">
        <f t="shared" si="201"/>
        <v>0</v>
      </c>
      <c r="AE574" s="1418">
        <v>4071.8919999999998</v>
      </c>
      <c r="AF574" s="1418">
        <f t="shared" si="202"/>
        <v>1.9999999999527063E-3</v>
      </c>
      <c r="AG574" s="1418">
        <v>84.13</v>
      </c>
      <c r="AH574" s="1418">
        <f t="shared" si="203"/>
        <v>0</v>
      </c>
      <c r="AI574" s="1428"/>
      <c r="AO574" s="2504">
        <v>4071.8919999999994</v>
      </c>
      <c r="AP574" s="1418">
        <f t="shared" si="211"/>
        <v>0</v>
      </c>
    </row>
    <row r="575" spans="1:42" s="1410" customFormat="1" ht="15.75">
      <c r="A575" s="2102"/>
      <c r="B575" s="1268" t="s">
        <v>2621</v>
      </c>
      <c r="C575" s="1241" t="s">
        <v>3356</v>
      </c>
      <c r="D575" s="1245" t="s">
        <v>38</v>
      </c>
      <c r="E575" s="1413">
        <v>102.23</v>
      </c>
      <c r="F575" s="1555">
        <v>173.66</v>
      </c>
      <c r="G575" s="1480">
        <v>183.63</v>
      </c>
      <c r="H575" s="1414">
        <v>188.65</v>
      </c>
      <c r="I575" s="1477">
        <f t="shared" si="198"/>
        <v>17753.259999999998</v>
      </c>
      <c r="J575" s="1477">
        <f t="shared" si="199"/>
        <v>18772.490000000002</v>
      </c>
      <c r="K575" s="1477">
        <v>0</v>
      </c>
      <c r="L575" s="1477">
        <f t="shared" si="204"/>
        <v>0</v>
      </c>
      <c r="M575" s="1477">
        <v>102.23</v>
      </c>
      <c r="N575" s="1477">
        <f t="shared" si="205"/>
        <v>102.23</v>
      </c>
      <c r="O575" s="1477">
        <f t="shared" si="206"/>
        <v>0</v>
      </c>
      <c r="P575" s="1477">
        <f t="shared" si="207"/>
        <v>18772.490000000002</v>
      </c>
      <c r="Q575" s="1477">
        <f t="shared" si="208"/>
        <v>19285.689999999999</v>
      </c>
      <c r="R575" s="1576">
        <f t="shared" si="209"/>
        <v>19285.689999999999</v>
      </c>
      <c r="S575" s="1869">
        <v>102.23</v>
      </c>
      <c r="T575" s="1866">
        <v>19285.6895</v>
      </c>
      <c r="U575" s="2442"/>
      <c r="V575" s="1866">
        <f t="shared" si="212"/>
        <v>0</v>
      </c>
      <c r="W575" s="1869">
        <f>S575+U575</f>
        <v>102.23</v>
      </c>
      <c r="X575" s="1870">
        <f t="shared" si="210"/>
        <v>19285.6895</v>
      </c>
      <c r="Y575" s="1871">
        <f t="shared" si="213"/>
        <v>0.99999997407404151</v>
      </c>
      <c r="Z575" s="1694">
        <f>+E575-W575</f>
        <v>0</v>
      </c>
      <c r="AA575" s="1872">
        <f t="shared" si="214"/>
        <v>0</v>
      </c>
      <c r="AB575" s="1873">
        <f t="shared" si="215"/>
        <v>0</v>
      </c>
      <c r="AC575" s="1418">
        <f t="shared" si="200"/>
        <v>4.99999998282874E-4</v>
      </c>
      <c r="AD575" s="1418">
        <f t="shared" si="201"/>
        <v>0</v>
      </c>
      <c r="AE575" s="1418">
        <v>19285.6895</v>
      </c>
      <c r="AF575" s="1418">
        <f t="shared" si="202"/>
        <v>-4.99999998282874E-4</v>
      </c>
      <c r="AG575" s="1418">
        <v>188.65</v>
      </c>
      <c r="AH575" s="1418">
        <f t="shared" si="203"/>
        <v>0</v>
      </c>
      <c r="AI575" s="1428"/>
      <c r="AO575" s="2504">
        <v>6759.3294999999998</v>
      </c>
      <c r="AP575" s="1418">
        <f t="shared" si="211"/>
        <v>-12526.36</v>
      </c>
    </row>
    <row r="576" spans="1:42" s="1410" customFormat="1" ht="15.75">
      <c r="A576" s="2102"/>
      <c r="B576" s="1272" t="s">
        <v>503</v>
      </c>
      <c r="C576" s="1262" t="s">
        <v>3357</v>
      </c>
      <c r="D576" s="1273"/>
      <c r="E576" s="1415"/>
      <c r="F576" s="1267"/>
      <c r="G576" s="1480"/>
      <c r="H576" s="1416"/>
      <c r="I576" s="1477">
        <f t="shared" si="198"/>
        <v>0</v>
      </c>
      <c r="J576" s="1477">
        <f t="shared" si="199"/>
        <v>0</v>
      </c>
      <c r="K576" s="1477"/>
      <c r="L576" s="1477">
        <f t="shared" si="204"/>
        <v>0</v>
      </c>
      <c r="M576" s="1477"/>
      <c r="N576" s="1477">
        <f t="shared" si="205"/>
        <v>0</v>
      </c>
      <c r="O576" s="1477">
        <f t="shared" si="206"/>
        <v>0</v>
      </c>
      <c r="P576" s="1477">
        <f t="shared" si="207"/>
        <v>0</v>
      </c>
      <c r="Q576" s="1477">
        <f t="shared" si="208"/>
        <v>0</v>
      </c>
      <c r="R576" s="1576">
        <f t="shared" si="209"/>
        <v>0</v>
      </c>
      <c r="S576" s="1869"/>
      <c r="T576" s="1866"/>
      <c r="U576" s="2442"/>
      <c r="V576" s="1866">
        <f t="shared" si="212"/>
        <v>0</v>
      </c>
      <c r="W576" s="1869"/>
      <c r="X576" s="1870"/>
      <c r="Y576" s="1871" t="str">
        <f t="shared" si="213"/>
        <v/>
      </c>
      <c r="Z576" s="1694"/>
      <c r="AA576" s="1872">
        <f t="shared" si="214"/>
        <v>0</v>
      </c>
      <c r="AB576" s="1873" t="str">
        <f t="shared" si="215"/>
        <v/>
      </c>
      <c r="AC576" s="1418">
        <f t="shared" si="200"/>
        <v>0</v>
      </c>
      <c r="AD576" s="1418">
        <f t="shared" si="201"/>
        <v>0</v>
      </c>
      <c r="AE576" s="1418"/>
      <c r="AF576" s="1418">
        <f t="shared" si="202"/>
        <v>0</v>
      </c>
      <c r="AG576" s="1418"/>
      <c r="AH576" s="1418">
        <f t="shared" si="203"/>
        <v>0</v>
      </c>
      <c r="AI576" s="1428"/>
      <c r="AO576" s="2504"/>
      <c r="AP576" s="1418">
        <f t="shared" si="211"/>
        <v>0</v>
      </c>
    </row>
    <row r="577" spans="1:42" s="1410" customFormat="1" ht="15.75">
      <c r="A577" s="2102"/>
      <c r="B577" s="1268" t="s">
        <v>2622</v>
      </c>
      <c r="C577" s="1241" t="s">
        <v>3358</v>
      </c>
      <c r="D577" s="1245" t="s">
        <v>36</v>
      </c>
      <c r="E577" s="1413">
        <v>58</v>
      </c>
      <c r="F577" s="1555">
        <v>23.48</v>
      </c>
      <c r="G577" s="1480">
        <v>25.18</v>
      </c>
      <c r="H577" s="1414">
        <v>26.06</v>
      </c>
      <c r="I577" s="1477">
        <f t="shared" si="198"/>
        <v>1361.84</v>
      </c>
      <c r="J577" s="1477">
        <f t="shared" si="199"/>
        <v>1460.44</v>
      </c>
      <c r="K577" s="1477">
        <v>8</v>
      </c>
      <c r="L577" s="1477">
        <f t="shared" si="204"/>
        <v>8</v>
      </c>
      <c r="M577" s="1477">
        <v>50</v>
      </c>
      <c r="N577" s="1477">
        <f t="shared" si="205"/>
        <v>50</v>
      </c>
      <c r="O577" s="1477">
        <f t="shared" si="206"/>
        <v>201.44</v>
      </c>
      <c r="P577" s="1477">
        <f t="shared" si="207"/>
        <v>1259</v>
      </c>
      <c r="Q577" s="1477">
        <f t="shared" si="208"/>
        <v>1303</v>
      </c>
      <c r="R577" s="1576">
        <f t="shared" si="209"/>
        <v>1504.44</v>
      </c>
      <c r="S577" s="1869">
        <v>58</v>
      </c>
      <c r="T577" s="1866">
        <v>1504.44</v>
      </c>
      <c r="U577" s="2442"/>
      <c r="V577" s="1866">
        <f t="shared" si="212"/>
        <v>0</v>
      </c>
      <c r="W577" s="1869">
        <f t="shared" ref="W577:W593" si="222">S577+U577</f>
        <v>58</v>
      </c>
      <c r="X577" s="1870">
        <f t="shared" si="210"/>
        <v>1504.44</v>
      </c>
      <c r="Y577" s="1871">
        <f t="shared" si="213"/>
        <v>1</v>
      </c>
      <c r="Z577" s="1694">
        <f t="shared" ref="Z577:Z593" si="223">+E577-W577</f>
        <v>0</v>
      </c>
      <c r="AA577" s="1872">
        <f t="shared" si="214"/>
        <v>0</v>
      </c>
      <c r="AB577" s="1873">
        <f t="shared" si="215"/>
        <v>0</v>
      </c>
      <c r="AC577" s="1418">
        <f t="shared" si="200"/>
        <v>0</v>
      </c>
      <c r="AD577" s="1418">
        <f t="shared" si="201"/>
        <v>0</v>
      </c>
      <c r="AE577" s="1418">
        <v>1504.44</v>
      </c>
      <c r="AF577" s="1418">
        <f t="shared" si="202"/>
        <v>0</v>
      </c>
      <c r="AG577" s="1418">
        <v>26.06</v>
      </c>
      <c r="AH577" s="1418">
        <f t="shared" si="203"/>
        <v>0</v>
      </c>
      <c r="AI577" s="1428"/>
      <c r="AO577" s="2504">
        <v>1504.44</v>
      </c>
      <c r="AP577" s="1418">
        <f t="shared" si="211"/>
        <v>0</v>
      </c>
    </row>
    <row r="578" spans="1:42" s="1410" customFormat="1" ht="15.75">
      <c r="A578" s="2102"/>
      <c r="B578" s="1268" t="s">
        <v>2623</v>
      </c>
      <c r="C578" s="1241" t="s">
        <v>3359</v>
      </c>
      <c r="D578" s="1245" t="s">
        <v>36</v>
      </c>
      <c r="E578" s="1413">
        <v>16</v>
      </c>
      <c r="F578" s="1555">
        <v>25.48</v>
      </c>
      <c r="G578" s="1480">
        <v>27.18</v>
      </c>
      <c r="H578" s="1414">
        <v>28.06</v>
      </c>
      <c r="I578" s="1477">
        <f t="shared" si="198"/>
        <v>407.68</v>
      </c>
      <c r="J578" s="1477">
        <f t="shared" si="199"/>
        <v>434.88</v>
      </c>
      <c r="K578" s="1477">
        <v>6</v>
      </c>
      <c r="L578" s="1477">
        <f t="shared" si="204"/>
        <v>6</v>
      </c>
      <c r="M578" s="1477">
        <v>10</v>
      </c>
      <c r="N578" s="1477">
        <f t="shared" si="205"/>
        <v>10</v>
      </c>
      <c r="O578" s="1477">
        <f t="shared" si="206"/>
        <v>163.08000000000001</v>
      </c>
      <c r="P578" s="1477">
        <f t="shared" si="207"/>
        <v>271.8</v>
      </c>
      <c r="Q578" s="1477">
        <f t="shared" si="208"/>
        <v>280.60000000000002</v>
      </c>
      <c r="R578" s="1576">
        <f t="shared" si="209"/>
        <v>443.68000000000006</v>
      </c>
      <c r="S578" s="1869">
        <v>16</v>
      </c>
      <c r="T578" s="1866">
        <v>443.67999999999995</v>
      </c>
      <c r="U578" s="2442"/>
      <c r="V578" s="1866">
        <f t="shared" si="212"/>
        <v>0</v>
      </c>
      <c r="W578" s="1869">
        <f t="shared" si="222"/>
        <v>16</v>
      </c>
      <c r="X578" s="1870">
        <f t="shared" si="210"/>
        <v>443.67999999999995</v>
      </c>
      <c r="Y578" s="1871">
        <f t="shared" si="213"/>
        <v>0.99999999999999978</v>
      </c>
      <c r="Z578" s="1694">
        <f t="shared" si="223"/>
        <v>0</v>
      </c>
      <c r="AA578" s="1872">
        <f t="shared" si="214"/>
        <v>0</v>
      </c>
      <c r="AB578" s="1873">
        <f t="shared" si="215"/>
        <v>0</v>
      </c>
      <c r="AC578" s="1418">
        <f t="shared" si="200"/>
        <v>1.1368683772161603E-13</v>
      </c>
      <c r="AD578" s="1418">
        <f t="shared" si="201"/>
        <v>0</v>
      </c>
      <c r="AE578" s="1418">
        <v>443.67999999999995</v>
      </c>
      <c r="AF578" s="1418">
        <f t="shared" si="202"/>
        <v>0</v>
      </c>
      <c r="AG578" s="1418">
        <v>28.06</v>
      </c>
      <c r="AH578" s="1418">
        <f t="shared" si="203"/>
        <v>0</v>
      </c>
      <c r="AI578" s="1428" t="s">
        <v>3666</v>
      </c>
      <c r="AO578" s="2504">
        <v>443.67999999999995</v>
      </c>
      <c r="AP578" s="1418">
        <f t="shared" si="211"/>
        <v>0</v>
      </c>
    </row>
    <row r="579" spans="1:42" s="1410" customFormat="1" ht="15.75">
      <c r="A579" s="2102"/>
      <c r="B579" s="1268" t="s">
        <v>2624</v>
      </c>
      <c r="C579" s="1241" t="s">
        <v>3360</v>
      </c>
      <c r="D579" s="1245" t="s">
        <v>36</v>
      </c>
      <c r="E579" s="1413">
        <v>15</v>
      </c>
      <c r="F579" s="1555">
        <v>27.58</v>
      </c>
      <c r="G579" s="1480">
        <v>29.28</v>
      </c>
      <c r="H579" s="1414">
        <v>30.16</v>
      </c>
      <c r="I579" s="1477">
        <f t="shared" si="198"/>
        <v>413.7</v>
      </c>
      <c r="J579" s="1477">
        <f t="shared" si="199"/>
        <v>439.2</v>
      </c>
      <c r="K579" s="1477">
        <v>5</v>
      </c>
      <c r="L579" s="1477">
        <f t="shared" si="204"/>
        <v>5</v>
      </c>
      <c r="M579" s="1477">
        <v>10</v>
      </c>
      <c r="N579" s="1477">
        <f t="shared" si="205"/>
        <v>10</v>
      </c>
      <c r="O579" s="1477">
        <f t="shared" si="206"/>
        <v>146.4</v>
      </c>
      <c r="P579" s="1477">
        <f t="shared" si="207"/>
        <v>292.8</v>
      </c>
      <c r="Q579" s="1477">
        <f t="shared" si="208"/>
        <v>301.60000000000002</v>
      </c>
      <c r="R579" s="1576">
        <f t="shared" si="209"/>
        <v>448</v>
      </c>
      <c r="S579" s="1869">
        <v>15</v>
      </c>
      <c r="T579" s="1866">
        <v>448.00000000000006</v>
      </c>
      <c r="U579" s="2442"/>
      <c r="V579" s="1866">
        <f t="shared" si="212"/>
        <v>0</v>
      </c>
      <c r="W579" s="1869">
        <f t="shared" si="222"/>
        <v>15</v>
      </c>
      <c r="X579" s="1870">
        <f t="shared" si="210"/>
        <v>448.00000000000006</v>
      </c>
      <c r="Y579" s="1871">
        <f t="shared" si="213"/>
        <v>1.0000000000000002</v>
      </c>
      <c r="Z579" s="1694">
        <f t="shared" si="223"/>
        <v>0</v>
      </c>
      <c r="AA579" s="1872">
        <f t="shared" si="214"/>
        <v>0</v>
      </c>
      <c r="AB579" s="1873">
        <f t="shared" si="215"/>
        <v>0</v>
      </c>
      <c r="AC579" s="1418">
        <f t="shared" si="200"/>
        <v>-5.6843418860808015E-14</v>
      </c>
      <c r="AD579" s="1418">
        <f t="shared" si="201"/>
        <v>0</v>
      </c>
      <c r="AE579" s="1418">
        <v>447.50000000000006</v>
      </c>
      <c r="AF579" s="1418">
        <f t="shared" si="202"/>
        <v>-0.49999999999994316</v>
      </c>
      <c r="AG579" s="1418">
        <v>30.16</v>
      </c>
      <c r="AH579" s="1418">
        <f t="shared" si="203"/>
        <v>0</v>
      </c>
      <c r="AI579" s="1428"/>
      <c r="AO579" s="2504">
        <v>448.00000000000006</v>
      </c>
      <c r="AP579" s="1418">
        <f t="shared" si="211"/>
        <v>0</v>
      </c>
    </row>
    <row r="580" spans="1:42" s="1410" customFormat="1" ht="15.75">
      <c r="A580" s="2102"/>
      <c r="B580" s="1268" t="s">
        <v>2625</v>
      </c>
      <c r="C580" s="1241" t="s">
        <v>3361</v>
      </c>
      <c r="D580" s="1245" t="s">
        <v>36</v>
      </c>
      <c r="E580" s="1413">
        <v>35</v>
      </c>
      <c r="F580" s="1555">
        <v>25.38</v>
      </c>
      <c r="G580" s="1480">
        <v>27.08</v>
      </c>
      <c r="H580" s="1414">
        <v>27.96</v>
      </c>
      <c r="I580" s="1477">
        <f t="shared" si="198"/>
        <v>888.3</v>
      </c>
      <c r="J580" s="1477">
        <f t="shared" si="199"/>
        <v>947.8</v>
      </c>
      <c r="K580" s="1477">
        <v>12</v>
      </c>
      <c r="L580" s="1477">
        <f t="shared" si="204"/>
        <v>12</v>
      </c>
      <c r="M580" s="1477">
        <v>23</v>
      </c>
      <c r="N580" s="1477">
        <f t="shared" si="205"/>
        <v>23</v>
      </c>
      <c r="O580" s="1477">
        <f t="shared" si="206"/>
        <v>324.95999999999998</v>
      </c>
      <c r="P580" s="1477">
        <f t="shared" si="207"/>
        <v>622.84</v>
      </c>
      <c r="Q580" s="1477">
        <f t="shared" si="208"/>
        <v>643.08000000000004</v>
      </c>
      <c r="R580" s="1576">
        <f t="shared" si="209"/>
        <v>968.04</v>
      </c>
      <c r="S580" s="1869">
        <v>35</v>
      </c>
      <c r="T580" s="1866">
        <v>968.04</v>
      </c>
      <c r="U580" s="2442"/>
      <c r="V580" s="1866">
        <f t="shared" si="212"/>
        <v>0</v>
      </c>
      <c r="W580" s="1869">
        <f t="shared" si="222"/>
        <v>35</v>
      </c>
      <c r="X580" s="1870">
        <f t="shared" si="210"/>
        <v>968.04</v>
      </c>
      <c r="Y580" s="1871">
        <f t="shared" si="213"/>
        <v>1</v>
      </c>
      <c r="Z580" s="1694">
        <f t="shared" si="223"/>
        <v>0</v>
      </c>
      <c r="AA580" s="1872">
        <f t="shared" si="214"/>
        <v>0</v>
      </c>
      <c r="AB580" s="1873">
        <f t="shared" si="215"/>
        <v>0</v>
      </c>
      <c r="AC580" s="1418">
        <f t="shared" si="200"/>
        <v>0</v>
      </c>
      <c r="AD580" s="1418">
        <f t="shared" si="201"/>
        <v>0</v>
      </c>
      <c r="AE580" s="1418">
        <v>968.04</v>
      </c>
      <c r="AF580" s="1418">
        <f t="shared" si="202"/>
        <v>0</v>
      </c>
      <c r="AG580" s="1418">
        <v>27.96</v>
      </c>
      <c r="AH580" s="1418">
        <f t="shared" si="203"/>
        <v>0</v>
      </c>
      <c r="AI580" s="1428"/>
      <c r="AO580" s="2504">
        <v>968.04</v>
      </c>
      <c r="AP580" s="1418">
        <f t="shared" si="211"/>
        <v>0</v>
      </c>
    </row>
    <row r="581" spans="1:42" s="1410" customFormat="1" ht="15.75">
      <c r="A581" s="2102"/>
      <c r="B581" s="1268" t="s">
        <v>2626</v>
      </c>
      <c r="C581" s="1241" t="s">
        <v>3362</v>
      </c>
      <c r="D581" s="1245" t="s">
        <v>36</v>
      </c>
      <c r="E581" s="1413">
        <v>10</v>
      </c>
      <c r="F581" s="1555">
        <v>25.89</v>
      </c>
      <c r="G581" s="1480">
        <v>27.59</v>
      </c>
      <c r="H581" s="1414">
        <v>28.47</v>
      </c>
      <c r="I581" s="1477">
        <f t="shared" si="198"/>
        <v>258.89999999999998</v>
      </c>
      <c r="J581" s="1477">
        <f t="shared" si="199"/>
        <v>275.89999999999998</v>
      </c>
      <c r="K581" s="1477">
        <v>4</v>
      </c>
      <c r="L581" s="1477">
        <f t="shared" si="204"/>
        <v>4</v>
      </c>
      <c r="M581" s="1477">
        <v>6</v>
      </c>
      <c r="N581" s="1477">
        <f t="shared" si="205"/>
        <v>6</v>
      </c>
      <c r="O581" s="1477">
        <f t="shared" si="206"/>
        <v>110.36</v>
      </c>
      <c r="P581" s="1477">
        <f t="shared" si="207"/>
        <v>165.54</v>
      </c>
      <c r="Q581" s="1477">
        <f t="shared" si="208"/>
        <v>170.82</v>
      </c>
      <c r="R581" s="1576">
        <f t="shared" si="209"/>
        <v>281.18</v>
      </c>
      <c r="S581" s="1869">
        <v>10</v>
      </c>
      <c r="T581" s="1866">
        <v>281.18</v>
      </c>
      <c r="U581" s="2442"/>
      <c r="V581" s="1866">
        <f t="shared" si="212"/>
        <v>0</v>
      </c>
      <c r="W581" s="1869">
        <f t="shared" si="222"/>
        <v>10</v>
      </c>
      <c r="X581" s="1870">
        <f t="shared" si="210"/>
        <v>281.18</v>
      </c>
      <c r="Y581" s="1871">
        <f t="shared" si="213"/>
        <v>1</v>
      </c>
      <c r="Z581" s="1694">
        <f t="shared" si="223"/>
        <v>0</v>
      </c>
      <c r="AA581" s="1872">
        <f t="shared" si="214"/>
        <v>0</v>
      </c>
      <c r="AB581" s="1873">
        <f t="shared" si="215"/>
        <v>0</v>
      </c>
      <c r="AC581" s="1418">
        <f t="shared" si="200"/>
        <v>0</v>
      </c>
      <c r="AD581" s="1418">
        <f t="shared" si="201"/>
        <v>0</v>
      </c>
      <c r="AE581" s="1418">
        <v>281.18</v>
      </c>
      <c r="AF581" s="1418">
        <f t="shared" si="202"/>
        <v>0</v>
      </c>
      <c r="AG581" s="1418">
        <v>28.47</v>
      </c>
      <c r="AH581" s="1418">
        <f t="shared" si="203"/>
        <v>0</v>
      </c>
      <c r="AI581" s="1428" t="s">
        <v>3666</v>
      </c>
      <c r="AO581" s="2504">
        <v>281.18</v>
      </c>
      <c r="AP581" s="1418">
        <f t="shared" si="211"/>
        <v>0</v>
      </c>
    </row>
    <row r="582" spans="1:42" s="1410" customFormat="1" ht="15.75">
      <c r="A582" s="2102"/>
      <c r="B582" s="1268" t="s">
        <v>2627</v>
      </c>
      <c r="C582" s="1241" t="s">
        <v>3363</v>
      </c>
      <c r="D582" s="1245" t="s">
        <v>36</v>
      </c>
      <c r="E582" s="1413">
        <v>13</v>
      </c>
      <c r="F582" s="1555">
        <v>28.48</v>
      </c>
      <c r="G582" s="1480">
        <v>30.18</v>
      </c>
      <c r="H582" s="1414">
        <v>31.06</v>
      </c>
      <c r="I582" s="1477">
        <f t="shared" si="198"/>
        <v>370.24</v>
      </c>
      <c r="J582" s="1477">
        <f t="shared" si="199"/>
        <v>392.34</v>
      </c>
      <c r="K582" s="1477">
        <v>10</v>
      </c>
      <c r="L582" s="1477">
        <f t="shared" si="204"/>
        <v>10</v>
      </c>
      <c r="M582" s="1477">
        <v>3</v>
      </c>
      <c r="N582" s="1477">
        <f t="shared" si="205"/>
        <v>3</v>
      </c>
      <c r="O582" s="1477">
        <f t="shared" si="206"/>
        <v>301.8</v>
      </c>
      <c r="P582" s="1477">
        <f t="shared" si="207"/>
        <v>90.54</v>
      </c>
      <c r="Q582" s="1477">
        <f t="shared" si="208"/>
        <v>93.18</v>
      </c>
      <c r="R582" s="1576">
        <f t="shared" si="209"/>
        <v>394.98</v>
      </c>
      <c r="S582" s="1869">
        <v>13</v>
      </c>
      <c r="T582" s="1866">
        <v>394.98</v>
      </c>
      <c r="U582" s="2442"/>
      <c r="V582" s="1866">
        <f t="shared" si="212"/>
        <v>0</v>
      </c>
      <c r="W582" s="1869">
        <f t="shared" si="222"/>
        <v>13</v>
      </c>
      <c r="X582" s="1870">
        <f t="shared" si="210"/>
        <v>394.98</v>
      </c>
      <c r="Y582" s="1871">
        <f t="shared" si="213"/>
        <v>1</v>
      </c>
      <c r="Z582" s="1694">
        <f t="shared" si="223"/>
        <v>0</v>
      </c>
      <c r="AA582" s="1872">
        <f t="shared" si="214"/>
        <v>0</v>
      </c>
      <c r="AB582" s="1873">
        <f t="shared" si="215"/>
        <v>0</v>
      </c>
      <c r="AC582" s="1418">
        <f t="shared" si="200"/>
        <v>0</v>
      </c>
      <c r="AD582" s="1418">
        <f t="shared" si="201"/>
        <v>0</v>
      </c>
      <c r="AE582" s="1418">
        <v>394.98</v>
      </c>
      <c r="AF582" s="1418">
        <f t="shared" si="202"/>
        <v>0</v>
      </c>
      <c r="AG582" s="1418">
        <v>31.06</v>
      </c>
      <c r="AH582" s="1418">
        <f t="shared" si="203"/>
        <v>0</v>
      </c>
      <c r="AI582" s="1428" t="s">
        <v>3666</v>
      </c>
      <c r="AO582" s="2504">
        <v>394.98</v>
      </c>
      <c r="AP582" s="1418">
        <f t="shared" si="211"/>
        <v>0</v>
      </c>
    </row>
    <row r="583" spans="1:42" s="1410" customFormat="1" ht="15.75">
      <c r="A583" s="2102"/>
      <c r="B583" s="1268" t="s">
        <v>2628</v>
      </c>
      <c r="C583" s="1241" t="s">
        <v>3364</v>
      </c>
      <c r="D583" s="1245" t="s">
        <v>36</v>
      </c>
      <c r="E583" s="1413">
        <v>47</v>
      </c>
      <c r="F583" s="1555">
        <v>34.07</v>
      </c>
      <c r="G583" s="1480">
        <v>35.770000000000003</v>
      </c>
      <c r="H583" s="1414">
        <v>36.65</v>
      </c>
      <c r="I583" s="1477">
        <f t="shared" si="198"/>
        <v>1601.29</v>
      </c>
      <c r="J583" s="1477">
        <f t="shared" si="199"/>
        <v>1681.19</v>
      </c>
      <c r="K583" s="1477">
        <v>18</v>
      </c>
      <c r="L583" s="1477">
        <f t="shared" si="204"/>
        <v>18</v>
      </c>
      <c r="M583" s="1477">
        <v>29</v>
      </c>
      <c r="N583" s="1477">
        <f t="shared" si="205"/>
        <v>29</v>
      </c>
      <c r="O583" s="1477">
        <f t="shared" si="206"/>
        <v>643.86</v>
      </c>
      <c r="P583" s="1477">
        <f t="shared" si="207"/>
        <v>1037.33</v>
      </c>
      <c r="Q583" s="1477">
        <f t="shared" si="208"/>
        <v>1062.8499999999999</v>
      </c>
      <c r="R583" s="1576">
        <f t="shared" si="209"/>
        <v>1706.71</v>
      </c>
      <c r="S583" s="1869">
        <v>47</v>
      </c>
      <c r="T583" s="1866">
        <v>1706.71</v>
      </c>
      <c r="U583" s="2442"/>
      <c r="V583" s="1866">
        <f t="shared" si="212"/>
        <v>0</v>
      </c>
      <c r="W583" s="1869">
        <f t="shared" si="222"/>
        <v>47</v>
      </c>
      <c r="X583" s="1870">
        <f t="shared" si="210"/>
        <v>1706.71</v>
      </c>
      <c r="Y583" s="1871">
        <f t="shared" si="213"/>
        <v>1</v>
      </c>
      <c r="Z583" s="1694">
        <f t="shared" si="223"/>
        <v>0</v>
      </c>
      <c r="AA583" s="1872">
        <f t="shared" si="214"/>
        <v>0</v>
      </c>
      <c r="AB583" s="1873">
        <f t="shared" si="215"/>
        <v>0</v>
      </c>
      <c r="AC583" s="1418">
        <f t="shared" si="200"/>
        <v>0</v>
      </c>
      <c r="AD583" s="1418">
        <f t="shared" si="201"/>
        <v>0</v>
      </c>
      <c r="AE583" s="1418">
        <v>1706.71</v>
      </c>
      <c r="AF583" s="1418">
        <f t="shared" si="202"/>
        <v>0</v>
      </c>
      <c r="AG583" s="1418">
        <v>36.65</v>
      </c>
      <c r="AH583" s="1418">
        <f t="shared" si="203"/>
        <v>0</v>
      </c>
      <c r="AI583" s="1428" t="s">
        <v>3666</v>
      </c>
      <c r="AO583" s="2504">
        <v>1706.71</v>
      </c>
      <c r="AP583" s="1418">
        <f t="shared" si="211"/>
        <v>0</v>
      </c>
    </row>
    <row r="584" spans="1:42" s="1410" customFormat="1" ht="15.75">
      <c r="A584" s="2102"/>
      <c r="B584" s="1268" t="s">
        <v>2629</v>
      </c>
      <c r="C584" s="1241" t="s">
        <v>3365</v>
      </c>
      <c r="D584" s="1245" t="s">
        <v>36</v>
      </c>
      <c r="E584" s="1413">
        <v>7</v>
      </c>
      <c r="F584" s="1555">
        <v>26.78</v>
      </c>
      <c r="G584" s="1480">
        <v>28.48</v>
      </c>
      <c r="H584" s="1414">
        <v>29.36</v>
      </c>
      <c r="I584" s="1477">
        <f t="shared" si="198"/>
        <v>187.46</v>
      </c>
      <c r="J584" s="1477">
        <f t="shared" si="199"/>
        <v>199.36</v>
      </c>
      <c r="K584" s="1477">
        <v>7</v>
      </c>
      <c r="L584" s="1477">
        <f t="shared" si="204"/>
        <v>7</v>
      </c>
      <c r="M584" s="1477">
        <v>0</v>
      </c>
      <c r="N584" s="1477">
        <f t="shared" si="205"/>
        <v>0</v>
      </c>
      <c r="O584" s="1477">
        <f t="shared" si="206"/>
        <v>199.36</v>
      </c>
      <c r="P584" s="1477">
        <f t="shared" si="207"/>
        <v>0</v>
      </c>
      <c r="Q584" s="1477">
        <f t="shared" si="208"/>
        <v>0</v>
      </c>
      <c r="R584" s="1576">
        <f t="shared" si="209"/>
        <v>199.36</v>
      </c>
      <c r="S584" s="1869">
        <v>7</v>
      </c>
      <c r="T584" s="1866">
        <v>199.36</v>
      </c>
      <c r="U584" s="2442"/>
      <c r="V584" s="1866">
        <f t="shared" si="212"/>
        <v>0</v>
      </c>
      <c r="W584" s="1869">
        <f t="shared" si="222"/>
        <v>7</v>
      </c>
      <c r="X584" s="1870">
        <f t="shared" si="210"/>
        <v>199.36</v>
      </c>
      <c r="Y584" s="1871">
        <f t="shared" si="213"/>
        <v>1</v>
      </c>
      <c r="Z584" s="1694">
        <f t="shared" si="223"/>
        <v>0</v>
      </c>
      <c r="AA584" s="1872">
        <f t="shared" si="214"/>
        <v>0</v>
      </c>
      <c r="AB584" s="1873">
        <f t="shared" si="215"/>
        <v>0</v>
      </c>
      <c r="AC584" s="1418">
        <f t="shared" si="200"/>
        <v>0</v>
      </c>
      <c r="AD584" s="1418">
        <f t="shared" si="201"/>
        <v>0</v>
      </c>
      <c r="AE584" s="1418">
        <v>199.36</v>
      </c>
      <c r="AF584" s="1418">
        <f t="shared" si="202"/>
        <v>0</v>
      </c>
      <c r="AG584" s="1418">
        <v>31.58</v>
      </c>
      <c r="AH584" s="1418">
        <f t="shared" si="203"/>
        <v>2.2199999999999989</v>
      </c>
      <c r="AI584" s="1428"/>
      <c r="AO584" s="2504">
        <v>199.36</v>
      </c>
      <c r="AP584" s="1418">
        <f t="shared" si="211"/>
        <v>0</v>
      </c>
    </row>
    <row r="585" spans="1:42" s="1410" customFormat="1" ht="15.75">
      <c r="A585" s="2102"/>
      <c r="B585" s="1268" t="s">
        <v>2630</v>
      </c>
      <c r="C585" s="1241" t="s">
        <v>3366</v>
      </c>
      <c r="D585" s="1245" t="s">
        <v>36</v>
      </c>
      <c r="E585" s="1413">
        <v>70</v>
      </c>
      <c r="F585" s="1555">
        <v>28.98</v>
      </c>
      <c r="G585" s="1480">
        <v>30.68</v>
      </c>
      <c r="H585" s="1414">
        <v>31.56</v>
      </c>
      <c r="I585" s="1477">
        <f t="shared" si="198"/>
        <v>2028.6</v>
      </c>
      <c r="J585" s="1477">
        <f t="shared" si="199"/>
        <v>2147.6</v>
      </c>
      <c r="K585" s="1477">
        <v>13</v>
      </c>
      <c r="L585" s="1477">
        <f t="shared" si="204"/>
        <v>13</v>
      </c>
      <c r="M585" s="1477">
        <v>57</v>
      </c>
      <c r="N585" s="1477">
        <f t="shared" si="205"/>
        <v>57</v>
      </c>
      <c r="O585" s="1477">
        <f t="shared" si="206"/>
        <v>398.84</v>
      </c>
      <c r="P585" s="1477">
        <f t="shared" si="207"/>
        <v>1748.76</v>
      </c>
      <c r="Q585" s="1477">
        <f t="shared" si="208"/>
        <v>1798.92</v>
      </c>
      <c r="R585" s="1576">
        <f t="shared" si="209"/>
        <v>2197.7600000000002</v>
      </c>
      <c r="S585" s="1869">
        <v>70</v>
      </c>
      <c r="T585" s="1866">
        <v>2197.7599999999998</v>
      </c>
      <c r="U585" s="2442"/>
      <c r="V585" s="1866">
        <f t="shared" si="212"/>
        <v>0</v>
      </c>
      <c r="W585" s="1869">
        <f t="shared" si="222"/>
        <v>70</v>
      </c>
      <c r="X585" s="1870">
        <f t="shared" si="210"/>
        <v>2197.7599999999998</v>
      </c>
      <c r="Y585" s="1871">
        <f t="shared" si="213"/>
        <v>0.99999999999999978</v>
      </c>
      <c r="Z585" s="1694">
        <f t="shared" si="223"/>
        <v>0</v>
      </c>
      <c r="AA585" s="1872">
        <f t="shared" si="214"/>
        <v>0</v>
      </c>
      <c r="AB585" s="1873">
        <f t="shared" si="215"/>
        <v>0</v>
      </c>
      <c r="AC585" s="1418">
        <f t="shared" si="200"/>
        <v>4.5474735088646412E-13</v>
      </c>
      <c r="AD585" s="1418">
        <f t="shared" si="201"/>
        <v>0</v>
      </c>
      <c r="AE585" s="1418">
        <v>2351.66</v>
      </c>
      <c r="AF585" s="1418">
        <f t="shared" si="202"/>
        <v>153.89999999999964</v>
      </c>
      <c r="AG585" s="1418">
        <v>34.26</v>
      </c>
      <c r="AH585" s="1418">
        <f t="shared" si="203"/>
        <v>2.6999999999999993</v>
      </c>
      <c r="AI585" s="1428"/>
      <c r="AO585" s="2504">
        <v>2197.7599999999998</v>
      </c>
      <c r="AP585" s="1418">
        <f t="shared" si="211"/>
        <v>0</v>
      </c>
    </row>
    <row r="586" spans="1:42" s="1410" customFormat="1" ht="15.75">
      <c r="A586" s="2102"/>
      <c r="B586" s="1268" t="s">
        <v>2631</v>
      </c>
      <c r="C586" s="1241" t="s">
        <v>3367</v>
      </c>
      <c r="D586" s="1245" t="s">
        <v>36</v>
      </c>
      <c r="E586" s="1413">
        <v>18</v>
      </c>
      <c r="F586" s="1555">
        <v>31.68</v>
      </c>
      <c r="G586" s="1480">
        <v>33.380000000000003</v>
      </c>
      <c r="H586" s="1414">
        <v>34.26</v>
      </c>
      <c r="I586" s="1477">
        <f t="shared" si="198"/>
        <v>570.24</v>
      </c>
      <c r="J586" s="1477">
        <f t="shared" si="199"/>
        <v>600.84</v>
      </c>
      <c r="K586" s="1477">
        <v>0</v>
      </c>
      <c r="L586" s="1477">
        <f t="shared" si="204"/>
        <v>0</v>
      </c>
      <c r="M586" s="1477">
        <v>18</v>
      </c>
      <c r="N586" s="1477">
        <f t="shared" si="205"/>
        <v>18</v>
      </c>
      <c r="O586" s="1477">
        <f t="shared" si="206"/>
        <v>0</v>
      </c>
      <c r="P586" s="1477">
        <f t="shared" si="207"/>
        <v>600.84</v>
      </c>
      <c r="Q586" s="1477">
        <f t="shared" si="208"/>
        <v>616.67999999999995</v>
      </c>
      <c r="R586" s="1576">
        <f t="shared" si="209"/>
        <v>616.67999999999995</v>
      </c>
      <c r="S586" s="1869">
        <v>18</v>
      </c>
      <c r="T586" s="1866">
        <v>616.67999999999995</v>
      </c>
      <c r="U586" s="2442"/>
      <c r="V586" s="1866">
        <f t="shared" si="212"/>
        <v>0</v>
      </c>
      <c r="W586" s="1869">
        <f t="shared" si="222"/>
        <v>18</v>
      </c>
      <c r="X586" s="1870">
        <f t="shared" si="210"/>
        <v>616.67999999999995</v>
      </c>
      <c r="Y586" s="1871">
        <f t="shared" si="213"/>
        <v>1</v>
      </c>
      <c r="Z586" s="1694">
        <f t="shared" si="223"/>
        <v>0</v>
      </c>
      <c r="AA586" s="1872">
        <f t="shared" si="214"/>
        <v>0</v>
      </c>
      <c r="AB586" s="1873">
        <f t="shared" si="215"/>
        <v>0</v>
      </c>
      <c r="AC586" s="1418">
        <f t="shared" si="200"/>
        <v>0</v>
      </c>
      <c r="AD586" s="1418">
        <f t="shared" si="201"/>
        <v>0</v>
      </c>
      <c r="AE586" s="1418">
        <v>600.84</v>
      </c>
      <c r="AF586" s="1418">
        <f t="shared" si="202"/>
        <v>-15.839999999999918</v>
      </c>
      <c r="AG586" s="1418">
        <v>33.380000000000003</v>
      </c>
      <c r="AH586" s="1418">
        <f t="shared" si="203"/>
        <v>-0.87999999999999545</v>
      </c>
      <c r="AI586" s="1428"/>
      <c r="AO586" s="2504">
        <v>616.67999999999995</v>
      </c>
      <c r="AP586" s="1418">
        <f t="shared" si="211"/>
        <v>0</v>
      </c>
    </row>
    <row r="587" spans="1:42" s="1410" customFormat="1" ht="15.75">
      <c r="A587" s="2102"/>
      <c r="B587" s="1268" t="s">
        <v>2632</v>
      </c>
      <c r="C587" s="1241" t="s">
        <v>3368</v>
      </c>
      <c r="D587" s="1245" t="s">
        <v>36</v>
      </c>
      <c r="E587" s="1413">
        <v>6</v>
      </c>
      <c r="F587" s="1555">
        <v>24.68</v>
      </c>
      <c r="G587" s="1480">
        <v>26.38</v>
      </c>
      <c r="H587" s="1414">
        <v>27.26</v>
      </c>
      <c r="I587" s="1477">
        <f t="shared" si="198"/>
        <v>148.08000000000001</v>
      </c>
      <c r="J587" s="1477">
        <f t="shared" si="199"/>
        <v>158.28</v>
      </c>
      <c r="K587" s="1477">
        <v>0</v>
      </c>
      <c r="L587" s="1477">
        <f t="shared" si="204"/>
        <v>0</v>
      </c>
      <c r="M587" s="1477">
        <v>6</v>
      </c>
      <c r="N587" s="1477">
        <f t="shared" si="205"/>
        <v>6</v>
      </c>
      <c r="O587" s="1477">
        <f t="shared" si="206"/>
        <v>0</v>
      </c>
      <c r="P587" s="1477">
        <f t="shared" si="207"/>
        <v>158.28</v>
      </c>
      <c r="Q587" s="1477">
        <f t="shared" si="208"/>
        <v>163.56</v>
      </c>
      <c r="R587" s="1576">
        <f t="shared" si="209"/>
        <v>163.56</v>
      </c>
      <c r="S587" s="1869">
        <v>6</v>
      </c>
      <c r="T587" s="1866">
        <v>163.56</v>
      </c>
      <c r="U587" s="2442"/>
      <c r="V587" s="1866">
        <f t="shared" si="212"/>
        <v>0</v>
      </c>
      <c r="W587" s="1869">
        <f t="shared" si="222"/>
        <v>6</v>
      </c>
      <c r="X587" s="1870">
        <f t="shared" si="210"/>
        <v>163.56</v>
      </c>
      <c r="Y587" s="1871">
        <f t="shared" si="213"/>
        <v>1</v>
      </c>
      <c r="Z587" s="1694">
        <f t="shared" si="223"/>
        <v>0</v>
      </c>
      <c r="AA587" s="1872">
        <f t="shared" si="214"/>
        <v>0</v>
      </c>
      <c r="AB587" s="1873">
        <f t="shared" si="215"/>
        <v>0</v>
      </c>
      <c r="AC587" s="1418">
        <f t="shared" si="200"/>
        <v>0</v>
      </c>
      <c r="AD587" s="1418">
        <f t="shared" si="201"/>
        <v>0</v>
      </c>
      <c r="AE587" s="1418">
        <v>163.56</v>
      </c>
      <c r="AF587" s="1418">
        <f t="shared" si="202"/>
        <v>0</v>
      </c>
      <c r="AG587" s="1418">
        <v>27.26</v>
      </c>
      <c r="AH587" s="1418">
        <f t="shared" si="203"/>
        <v>0</v>
      </c>
      <c r="AI587" s="1428"/>
      <c r="AO587" s="2504">
        <v>81.78</v>
      </c>
      <c r="AP587" s="1418">
        <f t="shared" si="211"/>
        <v>-81.78</v>
      </c>
    </row>
    <row r="588" spans="1:42" s="1410" customFormat="1" ht="15.75">
      <c r="A588" s="2102"/>
      <c r="B588" s="1268" t="s">
        <v>2633</v>
      </c>
      <c r="C588" s="1241" t="s">
        <v>3369</v>
      </c>
      <c r="D588" s="1245" t="s">
        <v>36</v>
      </c>
      <c r="E588" s="1413">
        <v>15</v>
      </c>
      <c r="F588" s="1555">
        <v>37.28</v>
      </c>
      <c r="G588" s="1480">
        <v>38.979999999999997</v>
      </c>
      <c r="H588" s="1414">
        <v>39.86</v>
      </c>
      <c r="I588" s="1477">
        <f t="shared" si="198"/>
        <v>559.20000000000005</v>
      </c>
      <c r="J588" s="1477">
        <f t="shared" si="199"/>
        <v>584.70000000000005</v>
      </c>
      <c r="K588" s="1477">
        <v>0</v>
      </c>
      <c r="L588" s="1477">
        <f t="shared" si="204"/>
        <v>0</v>
      </c>
      <c r="M588" s="1477">
        <v>15</v>
      </c>
      <c r="N588" s="1477">
        <f t="shared" si="205"/>
        <v>15</v>
      </c>
      <c r="O588" s="1477">
        <f t="shared" si="206"/>
        <v>0</v>
      </c>
      <c r="P588" s="1477">
        <f t="shared" si="207"/>
        <v>584.70000000000005</v>
      </c>
      <c r="Q588" s="1477">
        <f t="shared" si="208"/>
        <v>597.9</v>
      </c>
      <c r="R588" s="1576">
        <f t="shared" si="209"/>
        <v>597.9</v>
      </c>
      <c r="S588" s="1869">
        <v>15</v>
      </c>
      <c r="T588" s="1866">
        <v>597.9</v>
      </c>
      <c r="U588" s="2442"/>
      <c r="V588" s="1866">
        <f t="shared" si="212"/>
        <v>0</v>
      </c>
      <c r="W588" s="1869">
        <f t="shared" si="222"/>
        <v>15</v>
      </c>
      <c r="X588" s="1870">
        <f t="shared" si="210"/>
        <v>597.9</v>
      </c>
      <c r="Y588" s="1871">
        <f t="shared" si="213"/>
        <v>1</v>
      </c>
      <c r="Z588" s="1694">
        <f t="shared" si="223"/>
        <v>0</v>
      </c>
      <c r="AA588" s="1872">
        <f t="shared" si="214"/>
        <v>0</v>
      </c>
      <c r="AB588" s="1873">
        <f t="shared" si="215"/>
        <v>0</v>
      </c>
      <c r="AC588" s="1418">
        <f t="shared" si="200"/>
        <v>0</v>
      </c>
      <c r="AD588" s="1418">
        <f t="shared" si="201"/>
        <v>0</v>
      </c>
      <c r="AE588" s="1418">
        <v>597.9</v>
      </c>
      <c r="AF588" s="1418">
        <f t="shared" si="202"/>
        <v>0</v>
      </c>
      <c r="AG588" s="1418">
        <v>39.86</v>
      </c>
      <c r="AH588" s="1418">
        <f t="shared" si="203"/>
        <v>0</v>
      </c>
      <c r="AI588" s="1428"/>
      <c r="AO588" s="2504">
        <v>597.9</v>
      </c>
      <c r="AP588" s="1418">
        <f t="shared" si="211"/>
        <v>0</v>
      </c>
    </row>
    <row r="589" spans="1:42" s="1410" customFormat="1" ht="15.75">
      <c r="A589" s="2102"/>
      <c r="B589" s="1268" t="s">
        <v>2634</v>
      </c>
      <c r="C589" s="1241" t="s">
        <v>3370</v>
      </c>
      <c r="D589" s="1245" t="s">
        <v>36</v>
      </c>
      <c r="E589" s="1413">
        <v>42</v>
      </c>
      <c r="F589" s="1555">
        <v>49.44</v>
      </c>
      <c r="G589" s="1480">
        <v>52.83</v>
      </c>
      <c r="H589" s="1414">
        <v>54.58</v>
      </c>
      <c r="I589" s="1477">
        <f t="shared" si="198"/>
        <v>2076.48</v>
      </c>
      <c r="J589" s="1477">
        <f t="shared" si="199"/>
        <v>2218.86</v>
      </c>
      <c r="K589" s="1477">
        <v>0</v>
      </c>
      <c r="L589" s="1477">
        <f t="shared" si="204"/>
        <v>0</v>
      </c>
      <c r="M589" s="1477">
        <v>42</v>
      </c>
      <c r="N589" s="1477">
        <f t="shared" si="205"/>
        <v>42</v>
      </c>
      <c r="O589" s="1477">
        <f t="shared" si="206"/>
        <v>0</v>
      </c>
      <c r="P589" s="1477">
        <f t="shared" si="207"/>
        <v>2218.86</v>
      </c>
      <c r="Q589" s="1477">
        <f t="shared" si="208"/>
        <v>2292.36</v>
      </c>
      <c r="R589" s="1576">
        <f t="shared" si="209"/>
        <v>2292.36</v>
      </c>
      <c r="S589" s="1869">
        <v>0</v>
      </c>
      <c r="T589" s="1866">
        <v>0</v>
      </c>
      <c r="U589" s="2442">
        <v>2</v>
      </c>
      <c r="V589" s="1866">
        <f t="shared" si="212"/>
        <v>109.16</v>
      </c>
      <c r="W589" s="1869">
        <f t="shared" si="222"/>
        <v>2</v>
      </c>
      <c r="X589" s="1870">
        <f t="shared" si="210"/>
        <v>109.16</v>
      </c>
      <c r="Y589" s="1871">
        <f t="shared" si="213"/>
        <v>4.7619047619047616E-2</v>
      </c>
      <c r="Z589" s="1694">
        <f t="shared" si="223"/>
        <v>40</v>
      </c>
      <c r="AA589" s="1872">
        <f t="shared" si="214"/>
        <v>2183.1999999999998</v>
      </c>
      <c r="AB589" s="1873">
        <f t="shared" si="215"/>
        <v>0.95238095238095222</v>
      </c>
      <c r="AC589" s="1418">
        <f t="shared" si="200"/>
        <v>0</v>
      </c>
      <c r="AD589" s="1418">
        <f t="shared" si="201"/>
        <v>0</v>
      </c>
      <c r="AE589" s="1418">
        <v>2292.36</v>
      </c>
      <c r="AF589" s="1418">
        <f t="shared" si="202"/>
        <v>0</v>
      </c>
      <c r="AG589" s="1418">
        <v>54.58</v>
      </c>
      <c r="AH589" s="1418">
        <f t="shared" si="203"/>
        <v>0</v>
      </c>
      <c r="AI589" s="1428"/>
      <c r="AO589" s="2504">
        <v>0</v>
      </c>
      <c r="AP589" s="1418">
        <f t="shared" si="211"/>
        <v>-109.16</v>
      </c>
    </row>
    <row r="590" spans="1:42" s="1410" customFormat="1" ht="15.75">
      <c r="A590" s="2102"/>
      <c r="B590" s="1268" t="s">
        <v>2635</v>
      </c>
      <c r="C590" s="1241" t="s">
        <v>3371</v>
      </c>
      <c r="D590" s="1245" t="s">
        <v>36</v>
      </c>
      <c r="E590" s="1413">
        <v>23</v>
      </c>
      <c r="F590" s="1555">
        <v>56.7</v>
      </c>
      <c r="G590" s="1480">
        <v>60.09</v>
      </c>
      <c r="H590" s="1414">
        <v>61.84</v>
      </c>
      <c r="I590" s="1477">
        <f t="shared" si="198"/>
        <v>1304.0999999999999</v>
      </c>
      <c r="J590" s="1477">
        <f t="shared" si="199"/>
        <v>1382.07</v>
      </c>
      <c r="K590" s="1477">
        <v>0</v>
      </c>
      <c r="L590" s="1477">
        <f t="shared" si="204"/>
        <v>0</v>
      </c>
      <c r="M590" s="1477">
        <v>23</v>
      </c>
      <c r="N590" s="1477">
        <f t="shared" si="205"/>
        <v>23</v>
      </c>
      <c r="O590" s="1477">
        <f t="shared" si="206"/>
        <v>0</v>
      </c>
      <c r="P590" s="1477">
        <f t="shared" si="207"/>
        <v>1382.07</v>
      </c>
      <c r="Q590" s="1477">
        <f t="shared" si="208"/>
        <v>1422.32</v>
      </c>
      <c r="R590" s="1576">
        <f t="shared" si="209"/>
        <v>1422.32</v>
      </c>
      <c r="S590" s="1869">
        <v>0</v>
      </c>
      <c r="T590" s="1866">
        <v>0</v>
      </c>
      <c r="U590" s="2442">
        <v>21</v>
      </c>
      <c r="V590" s="1866">
        <f t="shared" si="212"/>
        <v>1298.6400000000001</v>
      </c>
      <c r="W590" s="1869">
        <f t="shared" si="222"/>
        <v>21</v>
      </c>
      <c r="X590" s="1870">
        <f t="shared" si="210"/>
        <v>1298.6400000000001</v>
      </c>
      <c r="Y590" s="1871">
        <f t="shared" si="213"/>
        <v>0.91304347826086962</v>
      </c>
      <c r="Z590" s="1694">
        <f t="shared" si="223"/>
        <v>2</v>
      </c>
      <c r="AA590" s="1872">
        <f t="shared" si="214"/>
        <v>123.68</v>
      </c>
      <c r="AB590" s="1873">
        <f t="shared" si="215"/>
        <v>8.6956521739130446E-2</v>
      </c>
      <c r="AC590" s="1418">
        <f t="shared" si="200"/>
        <v>-1.7053025658242404E-13</v>
      </c>
      <c r="AD590" s="1418">
        <f t="shared" si="201"/>
        <v>0</v>
      </c>
      <c r="AE590" s="1418">
        <v>1422.3200000000002</v>
      </c>
      <c r="AF590" s="1418">
        <f t="shared" si="202"/>
        <v>0</v>
      </c>
      <c r="AG590" s="1418">
        <v>61.84</v>
      </c>
      <c r="AH590" s="1418">
        <f t="shared" si="203"/>
        <v>0</v>
      </c>
      <c r="AI590" s="1428"/>
      <c r="AO590" s="2504">
        <v>0</v>
      </c>
      <c r="AP590" s="1418">
        <f t="shared" si="211"/>
        <v>-1298.6400000000001</v>
      </c>
    </row>
    <row r="591" spans="1:42" s="1410" customFormat="1" ht="15.75">
      <c r="A591" s="2102"/>
      <c r="B591" s="1268" t="s">
        <v>2636</v>
      </c>
      <c r="C591" s="1241" t="s">
        <v>3372</v>
      </c>
      <c r="D591" s="1245" t="s">
        <v>36</v>
      </c>
      <c r="E591" s="1413">
        <v>26</v>
      </c>
      <c r="F591" s="1555">
        <v>53.95</v>
      </c>
      <c r="G591" s="1480">
        <v>57.34</v>
      </c>
      <c r="H591" s="1414">
        <v>59.09</v>
      </c>
      <c r="I591" s="1477">
        <f t="shared" si="198"/>
        <v>1402.7</v>
      </c>
      <c r="J591" s="1477">
        <f t="shared" si="199"/>
        <v>1490.84</v>
      </c>
      <c r="K591" s="1477">
        <v>0</v>
      </c>
      <c r="L591" s="1477">
        <f t="shared" si="204"/>
        <v>0</v>
      </c>
      <c r="M591" s="1477">
        <v>26</v>
      </c>
      <c r="N591" s="1477">
        <f t="shared" si="205"/>
        <v>26</v>
      </c>
      <c r="O591" s="1477">
        <f t="shared" si="206"/>
        <v>0</v>
      </c>
      <c r="P591" s="1477">
        <f t="shared" si="207"/>
        <v>1490.84</v>
      </c>
      <c r="Q591" s="1477">
        <f t="shared" si="208"/>
        <v>1536.34</v>
      </c>
      <c r="R591" s="1576">
        <f t="shared" si="209"/>
        <v>1536.34</v>
      </c>
      <c r="S591" s="1869">
        <v>2</v>
      </c>
      <c r="T591" s="1866">
        <v>118.18</v>
      </c>
      <c r="U591" s="2442">
        <v>24</v>
      </c>
      <c r="V591" s="1866">
        <f t="shared" si="212"/>
        <v>1418.16</v>
      </c>
      <c r="W591" s="1869">
        <f t="shared" si="222"/>
        <v>26</v>
      </c>
      <c r="X591" s="1870">
        <f t="shared" si="210"/>
        <v>1536.3400000000001</v>
      </c>
      <c r="Y591" s="1871">
        <f t="shared" si="213"/>
        <v>1.0000000000000002</v>
      </c>
      <c r="Z591" s="1694">
        <f t="shared" si="223"/>
        <v>0</v>
      </c>
      <c r="AA591" s="1872">
        <f t="shared" si="214"/>
        <v>0</v>
      </c>
      <c r="AB591" s="1873">
        <f t="shared" si="215"/>
        <v>0</v>
      </c>
      <c r="AC591" s="1418">
        <f t="shared" si="200"/>
        <v>-2.2737367544323206E-13</v>
      </c>
      <c r="AD591" s="1418">
        <f t="shared" si="201"/>
        <v>0</v>
      </c>
      <c r="AE591" s="1418">
        <v>1536.3400000000001</v>
      </c>
      <c r="AF591" s="1418">
        <f t="shared" si="202"/>
        <v>0</v>
      </c>
      <c r="AG591" s="1418">
        <v>59.09</v>
      </c>
      <c r="AH591" s="1418">
        <f t="shared" si="203"/>
        <v>0</v>
      </c>
      <c r="AI591" s="1428"/>
      <c r="AO591" s="2504">
        <v>118.18</v>
      </c>
      <c r="AP591" s="1418">
        <f t="shared" si="211"/>
        <v>-1418.16</v>
      </c>
    </row>
    <row r="592" spans="1:42" s="1410" customFormat="1" ht="15.75">
      <c r="A592" s="2102"/>
      <c r="B592" s="1268" t="s">
        <v>2637</v>
      </c>
      <c r="C592" s="1241" t="s">
        <v>3373</v>
      </c>
      <c r="D592" s="1245" t="s">
        <v>36</v>
      </c>
      <c r="E592" s="1413">
        <v>18</v>
      </c>
      <c r="F592" s="1555">
        <v>25.68</v>
      </c>
      <c r="G592" s="1480">
        <v>27.38</v>
      </c>
      <c r="H592" s="1414">
        <v>28.26</v>
      </c>
      <c r="I592" s="1477">
        <f t="shared" ref="I592:I655" si="224">ROUND(E592*F592,2)</f>
        <v>462.24</v>
      </c>
      <c r="J592" s="1477">
        <f t="shared" ref="J592:J655" si="225">ROUND(E592*G592,2)</f>
        <v>492.84</v>
      </c>
      <c r="K592" s="1477">
        <v>0</v>
      </c>
      <c r="L592" s="1477">
        <f t="shared" si="204"/>
        <v>0</v>
      </c>
      <c r="M592" s="1477">
        <v>18</v>
      </c>
      <c r="N592" s="1477">
        <f t="shared" si="205"/>
        <v>18</v>
      </c>
      <c r="O592" s="1477">
        <f t="shared" si="206"/>
        <v>0</v>
      </c>
      <c r="P592" s="1477">
        <f t="shared" si="207"/>
        <v>492.84</v>
      </c>
      <c r="Q592" s="1477">
        <f t="shared" si="208"/>
        <v>508.68</v>
      </c>
      <c r="R592" s="1576">
        <f t="shared" si="209"/>
        <v>508.68</v>
      </c>
      <c r="S592" s="1869">
        <v>0</v>
      </c>
      <c r="T592" s="1866">
        <v>0</v>
      </c>
      <c r="U592" s="2442"/>
      <c r="V592" s="1866">
        <f t="shared" si="212"/>
        <v>0</v>
      </c>
      <c r="W592" s="1869">
        <f t="shared" si="222"/>
        <v>0</v>
      </c>
      <c r="X592" s="1870">
        <f t="shared" si="210"/>
        <v>0</v>
      </c>
      <c r="Y592" s="1871">
        <f t="shared" si="213"/>
        <v>0</v>
      </c>
      <c r="Z592" s="1694">
        <f t="shared" si="223"/>
        <v>18</v>
      </c>
      <c r="AA592" s="1872">
        <f t="shared" si="214"/>
        <v>508.68</v>
      </c>
      <c r="AB592" s="1873">
        <f t="shared" si="215"/>
        <v>1</v>
      </c>
      <c r="AC592" s="1418">
        <f t="shared" ref="AC592:AC655" si="226">+R592-X592-AA592</f>
        <v>0</v>
      </c>
      <c r="AD592" s="1418">
        <f t="shared" ref="AD592:AD655" si="227">+E592-W592-Z592</f>
        <v>0</v>
      </c>
      <c r="AE592" s="1418">
        <v>508.68</v>
      </c>
      <c r="AF592" s="1418">
        <f t="shared" ref="AF592:AF655" si="228">+AE592-R592</f>
        <v>0</v>
      </c>
      <c r="AG592" s="1418">
        <v>28.26</v>
      </c>
      <c r="AH592" s="1418">
        <f t="shared" ref="AH592:AH655" si="229">+AG592-H592</f>
        <v>0</v>
      </c>
      <c r="AI592" s="1428"/>
      <c r="AO592" s="2504">
        <v>0</v>
      </c>
      <c r="AP592" s="1418">
        <f t="shared" si="211"/>
        <v>0</v>
      </c>
    </row>
    <row r="593" spans="1:42" s="1410" customFormat="1" ht="15.75">
      <c r="A593" s="2102"/>
      <c r="B593" s="1268" t="s">
        <v>2638</v>
      </c>
      <c r="C593" s="1241" t="s">
        <v>3374</v>
      </c>
      <c r="D593" s="1245" t="s">
        <v>36</v>
      </c>
      <c r="E593" s="1413">
        <v>5</v>
      </c>
      <c r="F593" s="1555">
        <v>34.07</v>
      </c>
      <c r="G593" s="1480">
        <v>35.770000000000003</v>
      </c>
      <c r="H593" s="1414">
        <v>36.65</v>
      </c>
      <c r="I593" s="1477">
        <f t="shared" si="224"/>
        <v>170.35</v>
      </c>
      <c r="J593" s="1477">
        <f t="shared" si="225"/>
        <v>178.85</v>
      </c>
      <c r="K593" s="1477">
        <v>0</v>
      </c>
      <c r="L593" s="1477">
        <f t="shared" ref="L593:L656" si="230">E593-N593</f>
        <v>0</v>
      </c>
      <c r="M593" s="1477">
        <v>5</v>
      </c>
      <c r="N593" s="1477">
        <f t="shared" ref="N593:N656" si="231">ROUND(M593,2)</f>
        <v>5</v>
      </c>
      <c r="O593" s="1477">
        <f t="shared" ref="O593:O656" si="232">ROUND(L593*G593,2)</f>
        <v>0</v>
      </c>
      <c r="P593" s="1477">
        <f t="shared" ref="P593:P656" si="233">ROUND(N593*G593,2)</f>
        <v>178.85</v>
      </c>
      <c r="Q593" s="1477">
        <f t="shared" ref="Q593:Q656" si="234">ROUND(N593*H593,2)</f>
        <v>183.25</v>
      </c>
      <c r="R593" s="1576">
        <f t="shared" ref="R593:R656" si="235">O593+Q593</f>
        <v>183.25</v>
      </c>
      <c r="S593" s="1869">
        <v>0</v>
      </c>
      <c r="T593" s="1866">
        <v>0</v>
      </c>
      <c r="U593" s="2442"/>
      <c r="V593" s="1866">
        <f t="shared" si="212"/>
        <v>0</v>
      </c>
      <c r="W593" s="1869">
        <f t="shared" si="222"/>
        <v>0</v>
      </c>
      <c r="X593" s="1870">
        <f t="shared" ref="X593:X656" si="236">+V593+T593</f>
        <v>0</v>
      </c>
      <c r="Y593" s="1871">
        <f t="shared" si="213"/>
        <v>0</v>
      </c>
      <c r="Z593" s="1694">
        <f t="shared" si="223"/>
        <v>5</v>
      </c>
      <c r="AA593" s="1872">
        <f t="shared" si="214"/>
        <v>183.25</v>
      </c>
      <c r="AB593" s="1873">
        <f t="shared" si="215"/>
        <v>1</v>
      </c>
      <c r="AC593" s="1418">
        <f t="shared" si="226"/>
        <v>0</v>
      </c>
      <c r="AD593" s="1418">
        <f t="shared" si="227"/>
        <v>0</v>
      </c>
      <c r="AE593" s="1418">
        <v>183.25</v>
      </c>
      <c r="AF593" s="1418">
        <f t="shared" si="228"/>
        <v>0</v>
      </c>
      <c r="AG593" s="1418">
        <v>36.65</v>
      </c>
      <c r="AH593" s="1418">
        <f t="shared" si="229"/>
        <v>0</v>
      </c>
      <c r="AI593" s="1428"/>
      <c r="AO593" s="2504">
        <v>0</v>
      </c>
      <c r="AP593" s="1418">
        <f t="shared" ref="AP593:AP656" si="237">+AO593-X593</f>
        <v>0</v>
      </c>
    </row>
    <row r="594" spans="1:42" s="1410" customFormat="1" ht="15.75">
      <c r="A594" s="2102"/>
      <c r="B594" s="1272" t="s">
        <v>1033</v>
      </c>
      <c r="C594" s="1262" t="s">
        <v>3375</v>
      </c>
      <c r="D594" s="1273"/>
      <c r="E594" s="1415"/>
      <c r="F594" s="1267"/>
      <c r="G594" s="1480"/>
      <c r="H594" s="1416"/>
      <c r="I594" s="1477">
        <f t="shared" si="224"/>
        <v>0</v>
      </c>
      <c r="J594" s="1477">
        <f t="shared" si="225"/>
        <v>0</v>
      </c>
      <c r="K594" s="1477"/>
      <c r="L594" s="1477">
        <f t="shared" si="230"/>
        <v>0</v>
      </c>
      <c r="M594" s="1477"/>
      <c r="N594" s="1477">
        <f t="shared" si="231"/>
        <v>0</v>
      </c>
      <c r="O594" s="1477">
        <f t="shared" si="232"/>
        <v>0</v>
      </c>
      <c r="P594" s="1477">
        <f t="shared" si="233"/>
        <v>0</v>
      </c>
      <c r="Q594" s="1477">
        <f t="shared" si="234"/>
        <v>0</v>
      </c>
      <c r="R594" s="1576">
        <f t="shared" si="235"/>
        <v>0</v>
      </c>
      <c r="S594" s="1869"/>
      <c r="T594" s="1866"/>
      <c r="U594" s="2442"/>
      <c r="V594" s="1866">
        <f t="shared" ref="V594:V657" si="238">+U594*H594</f>
        <v>0</v>
      </c>
      <c r="W594" s="1869"/>
      <c r="X594" s="1870"/>
      <c r="Y594" s="1871" t="str">
        <f t="shared" ref="Y594:Y657" si="239">+IF(D594=0,"",X594/R594)</f>
        <v/>
      </c>
      <c r="Z594" s="1694"/>
      <c r="AA594" s="1872">
        <f t="shared" ref="AA594:AA657" si="240">+Z594*H594</f>
        <v>0</v>
      </c>
      <c r="AB594" s="1873" t="str">
        <f t="shared" ref="AB594:AB657" si="241">+IF(R594=0,"",AA594/R594)</f>
        <v/>
      </c>
      <c r="AC594" s="1418">
        <f t="shared" si="226"/>
        <v>0</v>
      </c>
      <c r="AD594" s="1418">
        <f t="shared" si="227"/>
        <v>0</v>
      </c>
      <c r="AE594" s="1418"/>
      <c r="AF594" s="1418">
        <f t="shared" si="228"/>
        <v>0</v>
      </c>
      <c r="AG594" s="1418"/>
      <c r="AH594" s="1418">
        <f t="shared" si="229"/>
        <v>0</v>
      </c>
      <c r="AI594" s="1428"/>
      <c r="AO594" s="2504"/>
      <c r="AP594" s="1418">
        <f t="shared" si="237"/>
        <v>0</v>
      </c>
    </row>
    <row r="595" spans="1:42" s="1410" customFormat="1" ht="15.75">
      <c r="A595" s="2102"/>
      <c r="B595" s="1268" t="s">
        <v>2639</v>
      </c>
      <c r="C595" s="1241" t="s">
        <v>3376</v>
      </c>
      <c r="D595" s="1245" t="s">
        <v>36</v>
      </c>
      <c r="E595" s="1413">
        <v>28</v>
      </c>
      <c r="F595" s="1555">
        <v>201.85</v>
      </c>
      <c r="G595" s="1480">
        <v>208.65</v>
      </c>
      <c r="H595" s="1414">
        <v>212.13</v>
      </c>
      <c r="I595" s="1477">
        <f t="shared" si="224"/>
        <v>5651.8</v>
      </c>
      <c r="J595" s="1477">
        <f t="shared" si="225"/>
        <v>5842.2</v>
      </c>
      <c r="K595" s="1477">
        <v>0</v>
      </c>
      <c r="L595" s="1477">
        <f t="shared" si="230"/>
        <v>0</v>
      </c>
      <c r="M595" s="1477">
        <v>28</v>
      </c>
      <c r="N595" s="1477">
        <f t="shared" si="231"/>
        <v>28</v>
      </c>
      <c r="O595" s="1477">
        <f t="shared" si="232"/>
        <v>0</v>
      </c>
      <c r="P595" s="1477">
        <f t="shared" si="233"/>
        <v>5842.2</v>
      </c>
      <c r="Q595" s="1477">
        <f t="shared" si="234"/>
        <v>5939.64</v>
      </c>
      <c r="R595" s="1576">
        <f t="shared" si="235"/>
        <v>5939.64</v>
      </c>
      <c r="S595" s="1869">
        <v>24</v>
      </c>
      <c r="T595" s="1866">
        <v>5091.12</v>
      </c>
      <c r="U595" s="2442"/>
      <c r="V595" s="1866">
        <f t="shared" si="238"/>
        <v>0</v>
      </c>
      <c r="W595" s="1869">
        <f>S595+U595</f>
        <v>24</v>
      </c>
      <c r="X595" s="1870">
        <f t="shared" si="236"/>
        <v>5091.12</v>
      </c>
      <c r="Y595" s="1871">
        <f t="shared" si="239"/>
        <v>0.8571428571428571</v>
      </c>
      <c r="Z595" s="1694">
        <f>+E595-W595</f>
        <v>4</v>
      </c>
      <c r="AA595" s="1872">
        <f t="shared" si="240"/>
        <v>848.52</v>
      </c>
      <c r="AB595" s="1873">
        <f t="shared" si="241"/>
        <v>0.14285714285714285</v>
      </c>
      <c r="AC595" s="1418">
        <f t="shared" si="226"/>
        <v>0</v>
      </c>
      <c r="AD595" s="1418">
        <f t="shared" si="227"/>
        <v>0</v>
      </c>
      <c r="AE595" s="1418">
        <v>5939.6399999999994</v>
      </c>
      <c r="AF595" s="1418">
        <f t="shared" si="228"/>
        <v>0</v>
      </c>
      <c r="AG595" s="1418">
        <v>212.13</v>
      </c>
      <c r="AH595" s="1418">
        <f t="shared" si="229"/>
        <v>0</v>
      </c>
      <c r="AI595" s="1428"/>
      <c r="AO595" s="2504">
        <v>5091.12</v>
      </c>
      <c r="AP595" s="1418">
        <f t="shared" si="237"/>
        <v>0</v>
      </c>
    </row>
    <row r="596" spans="1:42" s="1410" customFormat="1" ht="15.75">
      <c r="A596" s="2102"/>
      <c r="B596" s="1268" t="s">
        <v>2640</v>
      </c>
      <c r="C596" s="1241" t="s">
        <v>3377</v>
      </c>
      <c r="D596" s="1245" t="s">
        <v>36</v>
      </c>
      <c r="E596" s="1413">
        <v>4</v>
      </c>
      <c r="F596" s="1555">
        <v>372.92</v>
      </c>
      <c r="G596" s="1480">
        <v>385.96</v>
      </c>
      <c r="H596" s="1414">
        <v>393.06</v>
      </c>
      <c r="I596" s="1477">
        <f t="shared" si="224"/>
        <v>1491.68</v>
      </c>
      <c r="J596" s="1477">
        <f t="shared" si="225"/>
        <v>1543.84</v>
      </c>
      <c r="K596" s="1477">
        <v>0</v>
      </c>
      <c r="L596" s="1477">
        <f t="shared" si="230"/>
        <v>0</v>
      </c>
      <c r="M596" s="1477">
        <v>4</v>
      </c>
      <c r="N596" s="1477">
        <f t="shared" si="231"/>
        <v>4</v>
      </c>
      <c r="O596" s="1477">
        <f t="shared" si="232"/>
        <v>0</v>
      </c>
      <c r="P596" s="1477">
        <f t="shared" si="233"/>
        <v>1543.84</v>
      </c>
      <c r="Q596" s="1477">
        <f t="shared" si="234"/>
        <v>1572.24</v>
      </c>
      <c r="R596" s="1576">
        <f t="shared" si="235"/>
        <v>1572.24</v>
      </c>
      <c r="S596" s="1869">
        <v>4</v>
      </c>
      <c r="T596" s="1866">
        <v>1572.24</v>
      </c>
      <c r="U596" s="2442"/>
      <c r="V596" s="1866">
        <f t="shared" si="238"/>
        <v>0</v>
      </c>
      <c r="W596" s="1869">
        <f>S596+U596</f>
        <v>4</v>
      </c>
      <c r="X596" s="1870">
        <f t="shared" si="236"/>
        <v>1572.24</v>
      </c>
      <c r="Y596" s="1871">
        <f t="shared" si="239"/>
        <v>1</v>
      </c>
      <c r="Z596" s="1694">
        <f>+E596-W596</f>
        <v>0</v>
      </c>
      <c r="AA596" s="1872">
        <f t="shared" si="240"/>
        <v>0</v>
      </c>
      <c r="AB596" s="1873">
        <f t="shared" si="241"/>
        <v>0</v>
      </c>
      <c r="AC596" s="1418">
        <f t="shared" si="226"/>
        <v>0</v>
      </c>
      <c r="AD596" s="1418">
        <f t="shared" si="227"/>
        <v>0</v>
      </c>
      <c r="AE596" s="1418">
        <v>1572.24</v>
      </c>
      <c r="AF596" s="1418">
        <f t="shared" si="228"/>
        <v>0</v>
      </c>
      <c r="AG596" s="1418">
        <v>393.06</v>
      </c>
      <c r="AH596" s="1418">
        <f t="shared" si="229"/>
        <v>0</v>
      </c>
      <c r="AI596" s="1428"/>
      <c r="AO596" s="2504">
        <v>1572.24</v>
      </c>
      <c r="AP596" s="1418">
        <f t="shared" si="237"/>
        <v>0</v>
      </c>
    </row>
    <row r="597" spans="1:42" s="1410" customFormat="1" ht="15.75">
      <c r="A597" s="2102"/>
      <c r="B597" s="1268" t="s">
        <v>2641</v>
      </c>
      <c r="C597" s="1241" t="s">
        <v>3378</v>
      </c>
      <c r="D597" s="1245" t="s">
        <v>36</v>
      </c>
      <c r="E597" s="1413">
        <v>6</v>
      </c>
      <c r="F597" s="1555">
        <v>646.59</v>
      </c>
      <c r="G597" s="1480">
        <v>669.97</v>
      </c>
      <c r="H597" s="1414">
        <v>682.66</v>
      </c>
      <c r="I597" s="1477">
        <f t="shared" si="224"/>
        <v>3879.54</v>
      </c>
      <c r="J597" s="1477">
        <f t="shared" si="225"/>
        <v>4019.82</v>
      </c>
      <c r="K597" s="1477">
        <v>0</v>
      </c>
      <c r="L597" s="1477">
        <f t="shared" si="230"/>
        <v>0</v>
      </c>
      <c r="M597" s="1477">
        <v>6</v>
      </c>
      <c r="N597" s="1477">
        <f t="shared" si="231"/>
        <v>6</v>
      </c>
      <c r="O597" s="1477">
        <f t="shared" si="232"/>
        <v>0</v>
      </c>
      <c r="P597" s="1477">
        <f t="shared" si="233"/>
        <v>4019.82</v>
      </c>
      <c r="Q597" s="1477">
        <f t="shared" si="234"/>
        <v>4095.96</v>
      </c>
      <c r="R597" s="1576">
        <f t="shared" si="235"/>
        <v>4095.96</v>
      </c>
      <c r="S597" s="1869">
        <v>6</v>
      </c>
      <c r="T597" s="1866">
        <v>4095.96</v>
      </c>
      <c r="U597" s="2442"/>
      <c r="V597" s="1866">
        <f t="shared" si="238"/>
        <v>0</v>
      </c>
      <c r="W597" s="1869">
        <f>S597+U597</f>
        <v>6</v>
      </c>
      <c r="X597" s="1870">
        <f t="shared" si="236"/>
        <v>4095.96</v>
      </c>
      <c r="Y597" s="1871">
        <f t="shared" si="239"/>
        <v>1</v>
      </c>
      <c r="Z597" s="1694">
        <f>+E597-W597</f>
        <v>0</v>
      </c>
      <c r="AA597" s="1872">
        <f t="shared" si="240"/>
        <v>0</v>
      </c>
      <c r="AB597" s="1873">
        <f t="shared" si="241"/>
        <v>0</v>
      </c>
      <c r="AC597" s="1418">
        <f t="shared" si="226"/>
        <v>0</v>
      </c>
      <c r="AD597" s="1418">
        <f t="shared" si="227"/>
        <v>0</v>
      </c>
      <c r="AE597" s="1418">
        <v>4095.96</v>
      </c>
      <c r="AF597" s="1418">
        <f t="shared" si="228"/>
        <v>0</v>
      </c>
      <c r="AG597" s="1418">
        <v>682.66</v>
      </c>
      <c r="AH597" s="1418">
        <f t="shared" si="229"/>
        <v>0</v>
      </c>
      <c r="AI597" s="1428"/>
      <c r="AO597" s="2504">
        <v>4095.96</v>
      </c>
      <c r="AP597" s="1418">
        <f t="shared" si="237"/>
        <v>0</v>
      </c>
    </row>
    <row r="598" spans="1:42" s="1410" customFormat="1" ht="15.75">
      <c r="A598" s="2102"/>
      <c r="B598" s="1268" t="s">
        <v>2642</v>
      </c>
      <c r="C598" s="1241" t="s">
        <v>3379</v>
      </c>
      <c r="D598" s="1245" t="s">
        <v>36</v>
      </c>
      <c r="E598" s="1413">
        <v>2</v>
      </c>
      <c r="F598" s="1555">
        <v>2929.1</v>
      </c>
      <c r="G598" s="1480">
        <v>3004.08</v>
      </c>
      <c r="H598" s="1414">
        <v>3044.29</v>
      </c>
      <c r="I598" s="1477">
        <f t="shared" si="224"/>
        <v>5858.2</v>
      </c>
      <c r="J598" s="1477">
        <f t="shared" si="225"/>
        <v>6008.16</v>
      </c>
      <c r="K598" s="1477">
        <v>0</v>
      </c>
      <c r="L598" s="1477">
        <f t="shared" si="230"/>
        <v>0</v>
      </c>
      <c r="M598" s="1477">
        <v>2</v>
      </c>
      <c r="N598" s="1477">
        <f t="shared" si="231"/>
        <v>2</v>
      </c>
      <c r="O598" s="1477">
        <f t="shared" si="232"/>
        <v>0</v>
      </c>
      <c r="P598" s="1477">
        <f t="shared" si="233"/>
        <v>6008.16</v>
      </c>
      <c r="Q598" s="1477">
        <f t="shared" si="234"/>
        <v>6088.58</v>
      </c>
      <c r="R598" s="1576">
        <f t="shared" si="235"/>
        <v>6088.58</v>
      </c>
      <c r="S598" s="1869">
        <v>1</v>
      </c>
      <c r="T598" s="1866">
        <v>3044.29</v>
      </c>
      <c r="U598" s="2442"/>
      <c r="V598" s="1866">
        <f t="shared" si="238"/>
        <v>0</v>
      </c>
      <c r="W598" s="1869">
        <f>S598+U598</f>
        <v>1</v>
      </c>
      <c r="X598" s="1870">
        <f t="shared" si="236"/>
        <v>3044.29</v>
      </c>
      <c r="Y598" s="1871">
        <f t="shared" si="239"/>
        <v>0.5</v>
      </c>
      <c r="Z598" s="1694">
        <f>+E598-W598</f>
        <v>1</v>
      </c>
      <c r="AA598" s="1872">
        <f t="shared" si="240"/>
        <v>3044.29</v>
      </c>
      <c r="AB598" s="1873">
        <f t="shared" si="241"/>
        <v>0.5</v>
      </c>
      <c r="AC598" s="1418">
        <f t="shared" si="226"/>
        <v>0</v>
      </c>
      <c r="AD598" s="1418">
        <f t="shared" si="227"/>
        <v>0</v>
      </c>
      <c r="AE598" s="1418">
        <v>6088.58</v>
      </c>
      <c r="AF598" s="1418">
        <f t="shared" si="228"/>
        <v>0</v>
      </c>
      <c r="AG598" s="1418">
        <v>3044.29</v>
      </c>
      <c r="AH598" s="1418">
        <f t="shared" si="229"/>
        <v>0</v>
      </c>
      <c r="AI598" s="1428"/>
      <c r="AO598" s="2504">
        <v>3044.29</v>
      </c>
      <c r="AP598" s="1418">
        <f t="shared" si="237"/>
        <v>0</v>
      </c>
    </row>
    <row r="599" spans="1:42" s="1410" customFormat="1" ht="15.75">
      <c r="A599" s="2102"/>
      <c r="B599" s="1272" t="s">
        <v>2643</v>
      </c>
      <c r="C599" s="1262" t="s">
        <v>3380</v>
      </c>
      <c r="D599" s="1273"/>
      <c r="E599" s="1415"/>
      <c r="F599" s="1267"/>
      <c r="G599" s="1480"/>
      <c r="H599" s="1416"/>
      <c r="I599" s="1477">
        <f t="shared" si="224"/>
        <v>0</v>
      </c>
      <c r="J599" s="1477">
        <f t="shared" si="225"/>
        <v>0</v>
      </c>
      <c r="K599" s="1477"/>
      <c r="L599" s="1477">
        <f t="shared" si="230"/>
        <v>0</v>
      </c>
      <c r="M599" s="1477"/>
      <c r="N599" s="1477">
        <f t="shared" si="231"/>
        <v>0</v>
      </c>
      <c r="O599" s="1477">
        <f t="shared" si="232"/>
        <v>0</v>
      </c>
      <c r="P599" s="1477">
        <f t="shared" si="233"/>
        <v>0</v>
      </c>
      <c r="Q599" s="1477">
        <f t="shared" si="234"/>
        <v>0</v>
      </c>
      <c r="R599" s="1576">
        <f t="shared" si="235"/>
        <v>0</v>
      </c>
      <c r="S599" s="1869"/>
      <c r="T599" s="1866"/>
      <c r="U599" s="2442"/>
      <c r="V599" s="1866">
        <f t="shared" si="238"/>
        <v>0</v>
      </c>
      <c r="W599" s="1869"/>
      <c r="X599" s="1870"/>
      <c r="Y599" s="1871" t="str">
        <f t="shared" si="239"/>
        <v/>
      </c>
      <c r="Z599" s="1694"/>
      <c r="AA599" s="1872">
        <f t="shared" si="240"/>
        <v>0</v>
      </c>
      <c r="AB599" s="1873" t="str">
        <f t="shared" si="241"/>
        <v/>
      </c>
      <c r="AC599" s="1418">
        <f t="shared" si="226"/>
        <v>0</v>
      </c>
      <c r="AD599" s="1418">
        <f t="shared" si="227"/>
        <v>0</v>
      </c>
      <c r="AE599" s="1418"/>
      <c r="AF599" s="1418">
        <f t="shared" si="228"/>
        <v>0</v>
      </c>
      <c r="AG599" s="1418"/>
      <c r="AH599" s="1418">
        <f t="shared" si="229"/>
        <v>0</v>
      </c>
      <c r="AI599" s="1428"/>
      <c r="AO599" s="2504"/>
      <c r="AP599" s="1418">
        <f t="shared" si="237"/>
        <v>0</v>
      </c>
    </row>
    <row r="600" spans="1:42" s="1410" customFormat="1" ht="15.75">
      <c r="A600" s="2102"/>
      <c r="B600" s="1268" t="s">
        <v>2644</v>
      </c>
      <c r="C600" s="1241" t="s">
        <v>3381</v>
      </c>
      <c r="D600" s="1245" t="s">
        <v>36</v>
      </c>
      <c r="E600" s="1413">
        <v>2</v>
      </c>
      <c r="F600" s="1555">
        <v>1917.69</v>
      </c>
      <c r="G600" s="1480">
        <v>1925.57</v>
      </c>
      <c r="H600" s="1414">
        <v>1929.87</v>
      </c>
      <c r="I600" s="1477">
        <f t="shared" si="224"/>
        <v>3835.38</v>
      </c>
      <c r="J600" s="1477">
        <f t="shared" si="225"/>
        <v>3851.14</v>
      </c>
      <c r="K600" s="1477">
        <v>0</v>
      </c>
      <c r="L600" s="1477">
        <f t="shared" si="230"/>
        <v>0</v>
      </c>
      <c r="M600" s="1477">
        <v>2</v>
      </c>
      <c r="N600" s="1477">
        <f t="shared" si="231"/>
        <v>2</v>
      </c>
      <c r="O600" s="1477">
        <f t="shared" si="232"/>
        <v>0</v>
      </c>
      <c r="P600" s="1477">
        <f t="shared" si="233"/>
        <v>3851.14</v>
      </c>
      <c r="Q600" s="1477">
        <f t="shared" si="234"/>
        <v>3859.74</v>
      </c>
      <c r="R600" s="1576">
        <f t="shared" si="235"/>
        <v>3859.74</v>
      </c>
      <c r="S600" s="1869">
        <v>2</v>
      </c>
      <c r="T600" s="1866">
        <v>3859.74</v>
      </c>
      <c r="U600" s="2442"/>
      <c r="V600" s="1866">
        <f t="shared" si="238"/>
        <v>0</v>
      </c>
      <c r="W600" s="1869">
        <f>S600+U600</f>
        <v>2</v>
      </c>
      <c r="X600" s="1870">
        <f t="shared" si="236"/>
        <v>3859.74</v>
      </c>
      <c r="Y600" s="1871">
        <f t="shared" si="239"/>
        <v>1</v>
      </c>
      <c r="Z600" s="1694">
        <f>+E600-W600</f>
        <v>0</v>
      </c>
      <c r="AA600" s="1872">
        <f t="shared" si="240"/>
        <v>0</v>
      </c>
      <c r="AB600" s="1873">
        <f t="shared" si="241"/>
        <v>0</v>
      </c>
      <c r="AC600" s="1418">
        <f t="shared" si="226"/>
        <v>0</v>
      </c>
      <c r="AD600" s="1418">
        <f t="shared" si="227"/>
        <v>0</v>
      </c>
      <c r="AE600" s="1418">
        <v>3859.74</v>
      </c>
      <c r="AF600" s="1418">
        <f t="shared" si="228"/>
        <v>0</v>
      </c>
      <c r="AG600" s="1418">
        <v>1929.87</v>
      </c>
      <c r="AH600" s="1418">
        <f t="shared" si="229"/>
        <v>0</v>
      </c>
      <c r="AI600" s="1428"/>
      <c r="AO600" s="2504">
        <v>0</v>
      </c>
      <c r="AP600" s="1418">
        <f t="shared" si="237"/>
        <v>-3859.74</v>
      </c>
    </row>
    <row r="601" spans="1:42" s="1410" customFormat="1" ht="15.75">
      <c r="A601" s="2102" t="s">
        <v>3619</v>
      </c>
      <c r="B601" s="1272" t="s">
        <v>2645</v>
      </c>
      <c r="C601" s="1262" t="s">
        <v>3382</v>
      </c>
      <c r="D601" s="1273"/>
      <c r="E601" s="1415"/>
      <c r="F601" s="1267"/>
      <c r="G601" s="1480"/>
      <c r="H601" s="1416"/>
      <c r="I601" s="1477">
        <f t="shared" si="224"/>
        <v>0</v>
      </c>
      <c r="J601" s="1477">
        <f t="shared" si="225"/>
        <v>0</v>
      </c>
      <c r="K601" s="1477"/>
      <c r="L601" s="1477">
        <f t="shared" si="230"/>
        <v>0</v>
      </c>
      <c r="M601" s="1477"/>
      <c r="N601" s="1477">
        <f t="shared" si="231"/>
        <v>0</v>
      </c>
      <c r="O601" s="1477">
        <f t="shared" si="232"/>
        <v>0</v>
      </c>
      <c r="P601" s="1477">
        <f t="shared" si="233"/>
        <v>0</v>
      </c>
      <c r="Q601" s="1477">
        <f t="shared" si="234"/>
        <v>0</v>
      </c>
      <c r="R601" s="1576">
        <f t="shared" si="235"/>
        <v>0</v>
      </c>
      <c r="S601" s="1869"/>
      <c r="T601" s="1866">
        <v>0</v>
      </c>
      <c r="U601" s="2442"/>
      <c r="V601" s="1866">
        <f t="shared" si="238"/>
        <v>0</v>
      </c>
      <c r="W601" s="1869"/>
      <c r="X601" s="1870">
        <f t="shared" si="236"/>
        <v>0</v>
      </c>
      <c r="Y601" s="1871" t="str">
        <f t="shared" si="239"/>
        <v/>
      </c>
      <c r="Z601" s="1694">
        <f>+E601-W601</f>
        <v>0</v>
      </c>
      <c r="AA601" s="1872">
        <f t="shared" si="240"/>
        <v>0</v>
      </c>
      <c r="AB601" s="1873" t="str">
        <f t="shared" si="241"/>
        <v/>
      </c>
      <c r="AC601" s="1418">
        <f t="shared" si="226"/>
        <v>0</v>
      </c>
      <c r="AD601" s="1418">
        <f t="shared" si="227"/>
        <v>0</v>
      </c>
      <c r="AE601" s="1418"/>
      <c r="AF601" s="1418">
        <f t="shared" si="228"/>
        <v>0</v>
      </c>
      <c r="AG601" s="1418"/>
      <c r="AH601" s="1418">
        <f t="shared" si="229"/>
        <v>0</v>
      </c>
      <c r="AI601" s="1428"/>
      <c r="AO601" s="2504">
        <v>0</v>
      </c>
      <c r="AP601" s="1418">
        <f t="shared" si="237"/>
        <v>0</v>
      </c>
    </row>
    <row r="602" spans="1:42" s="1410" customFormat="1" ht="15.75">
      <c r="A602" s="2102" t="s">
        <v>3619</v>
      </c>
      <c r="B602" s="1268" t="s">
        <v>2646</v>
      </c>
      <c r="C602" s="1241" t="s">
        <v>3383</v>
      </c>
      <c r="D602" s="1245" t="s">
        <v>41</v>
      </c>
      <c r="E602" s="1413">
        <v>9</v>
      </c>
      <c r="F602" s="1555">
        <v>531</v>
      </c>
      <c r="G602" s="1480">
        <v>531</v>
      </c>
      <c r="H602" s="1414">
        <v>531</v>
      </c>
      <c r="I602" s="1477">
        <f t="shared" si="224"/>
        <v>4779</v>
      </c>
      <c r="J602" s="1477">
        <f t="shared" si="225"/>
        <v>4779</v>
      </c>
      <c r="K602" s="1477">
        <v>1</v>
      </c>
      <c r="L602" s="1477">
        <f t="shared" si="230"/>
        <v>1</v>
      </c>
      <c r="M602" s="1477">
        <v>8</v>
      </c>
      <c r="N602" s="1477">
        <f t="shared" si="231"/>
        <v>8</v>
      </c>
      <c r="O602" s="1477">
        <f t="shared" si="232"/>
        <v>531</v>
      </c>
      <c r="P602" s="1477">
        <f t="shared" si="233"/>
        <v>4248</v>
      </c>
      <c r="Q602" s="1477">
        <f t="shared" si="234"/>
        <v>4248</v>
      </c>
      <c r="R602" s="1576">
        <f t="shared" si="235"/>
        <v>4779</v>
      </c>
      <c r="S602" s="1869">
        <v>9</v>
      </c>
      <c r="T602" s="1866">
        <v>4779</v>
      </c>
      <c r="U602" s="2442"/>
      <c r="V602" s="1866">
        <f t="shared" si="238"/>
        <v>0</v>
      </c>
      <c r="W602" s="1869">
        <f>S602+U602</f>
        <v>9</v>
      </c>
      <c r="X602" s="1870">
        <f t="shared" si="236"/>
        <v>4779</v>
      </c>
      <c r="Y602" s="1871">
        <f t="shared" si="239"/>
        <v>1</v>
      </c>
      <c r="Z602" s="1694">
        <f>+E602-W602</f>
        <v>0</v>
      </c>
      <c r="AA602" s="1872">
        <f t="shared" si="240"/>
        <v>0</v>
      </c>
      <c r="AB602" s="1873">
        <f t="shared" si="241"/>
        <v>0</v>
      </c>
      <c r="AC602" s="1418">
        <f t="shared" si="226"/>
        <v>0</v>
      </c>
      <c r="AD602" s="1418">
        <f t="shared" si="227"/>
        <v>0</v>
      </c>
      <c r="AE602" s="1418">
        <v>4779</v>
      </c>
      <c r="AF602" s="1418">
        <f t="shared" si="228"/>
        <v>0</v>
      </c>
      <c r="AG602" s="1418">
        <v>531</v>
      </c>
      <c r="AH602" s="1418">
        <f t="shared" si="229"/>
        <v>0</v>
      </c>
      <c r="AI602" s="1428"/>
      <c r="AO602" s="2504">
        <v>4779</v>
      </c>
      <c r="AP602" s="1418">
        <f t="shared" si="237"/>
        <v>0</v>
      </c>
    </row>
    <row r="603" spans="1:42" s="1410" customFormat="1" ht="15.75">
      <c r="A603" s="2102" t="s">
        <v>3619</v>
      </c>
      <c r="B603" s="1268" t="s">
        <v>2647</v>
      </c>
      <c r="C603" s="1241" t="s">
        <v>3384</v>
      </c>
      <c r="D603" s="1245" t="s">
        <v>41</v>
      </c>
      <c r="E603" s="1413">
        <v>9</v>
      </c>
      <c r="F603" s="1555">
        <v>531</v>
      </c>
      <c r="G603" s="1480">
        <v>531</v>
      </c>
      <c r="H603" s="1414">
        <v>531</v>
      </c>
      <c r="I603" s="1477">
        <f t="shared" si="224"/>
        <v>4779</v>
      </c>
      <c r="J603" s="1477">
        <f t="shared" si="225"/>
        <v>4779</v>
      </c>
      <c r="K603" s="1477">
        <v>1</v>
      </c>
      <c r="L603" s="1477">
        <f t="shared" si="230"/>
        <v>1</v>
      </c>
      <c r="M603" s="1477">
        <v>8</v>
      </c>
      <c r="N603" s="1477">
        <f t="shared" si="231"/>
        <v>8</v>
      </c>
      <c r="O603" s="1477">
        <f t="shared" si="232"/>
        <v>531</v>
      </c>
      <c r="P603" s="1477">
        <f t="shared" si="233"/>
        <v>4248</v>
      </c>
      <c r="Q603" s="1477">
        <f t="shared" si="234"/>
        <v>4248</v>
      </c>
      <c r="R603" s="1576">
        <f t="shared" si="235"/>
        <v>4779</v>
      </c>
      <c r="S603" s="1869">
        <v>4.5</v>
      </c>
      <c r="T603" s="1866">
        <v>2389.5</v>
      </c>
      <c r="U603" s="2442"/>
      <c r="V603" s="1866">
        <f t="shared" si="238"/>
        <v>0</v>
      </c>
      <c r="W603" s="1869">
        <f>S603+U603</f>
        <v>4.5</v>
      </c>
      <c r="X603" s="1870">
        <f t="shared" si="236"/>
        <v>2389.5</v>
      </c>
      <c r="Y603" s="1871">
        <f t="shared" si="239"/>
        <v>0.5</v>
      </c>
      <c r="Z603" s="1694">
        <f>+E603-W603</f>
        <v>4.5</v>
      </c>
      <c r="AA603" s="1872">
        <f t="shared" si="240"/>
        <v>2389.5</v>
      </c>
      <c r="AB603" s="1873">
        <f t="shared" si="241"/>
        <v>0.5</v>
      </c>
      <c r="AC603" s="1418">
        <f t="shared" si="226"/>
        <v>0</v>
      </c>
      <c r="AD603" s="1418">
        <f t="shared" si="227"/>
        <v>0</v>
      </c>
      <c r="AE603" s="1418">
        <v>4779</v>
      </c>
      <c r="AF603" s="1418">
        <f t="shared" si="228"/>
        <v>0</v>
      </c>
      <c r="AG603" s="1418">
        <v>531</v>
      </c>
      <c r="AH603" s="1418">
        <f t="shared" si="229"/>
        <v>0</v>
      </c>
      <c r="AI603" s="1428"/>
      <c r="AO603" s="2504">
        <v>2389.5</v>
      </c>
      <c r="AP603" s="1418">
        <f t="shared" si="237"/>
        <v>0</v>
      </c>
    </row>
    <row r="604" spans="1:42" s="2383" customFormat="1" ht="15.75">
      <c r="A604" s="2373"/>
      <c r="B604" s="2384" t="s">
        <v>510</v>
      </c>
      <c r="C604" s="2375" t="s">
        <v>1382</v>
      </c>
      <c r="D604" s="2376"/>
      <c r="E604" s="2377"/>
      <c r="F604" s="2378"/>
      <c r="G604" s="2379"/>
      <c r="H604" s="2378"/>
      <c r="I604" s="2380">
        <f t="shared" si="224"/>
        <v>0</v>
      </c>
      <c r="J604" s="2380">
        <f t="shared" si="225"/>
        <v>0</v>
      </c>
      <c r="K604" s="2380"/>
      <c r="L604" s="2380">
        <f t="shared" si="230"/>
        <v>0</v>
      </c>
      <c r="M604" s="2380"/>
      <c r="N604" s="2380">
        <f t="shared" si="231"/>
        <v>0</v>
      </c>
      <c r="O604" s="2380">
        <f t="shared" si="232"/>
        <v>0</v>
      </c>
      <c r="P604" s="2380">
        <f t="shared" si="233"/>
        <v>0</v>
      </c>
      <c r="Q604" s="2380">
        <f t="shared" si="234"/>
        <v>0</v>
      </c>
      <c r="R604" s="2380"/>
      <c r="S604" s="2454"/>
      <c r="T604" s="2455"/>
      <c r="U604" s="2463"/>
      <c r="V604" s="2455">
        <f t="shared" si="238"/>
        <v>0</v>
      </c>
      <c r="W604" s="2454"/>
      <c r="X604" s="2457"/>
      <c r="Y604" s="2458" t="str">
        <f t="shared" si="239"/>
        <v/>
      </c>
      <c r="Z604" s="2459"/>
      <c r="AA604" s="2460">
        <f t="shared" si="240"/>
        <v>0</v>
      </c>
      <c r="AB604" s="2461" t="str">
        <f t="shared" si="241"/>
        <v/>
      </c>
      <c r="AC604" s="2370">
        <f t="shared" si="226"/>
        <v>0</v>
      </c>
      <c r="AD604" s="2370">
        <f t="shared" si="227"/>
        <v>0</v>
      </c>
      <c r="AE604" s="2381"/>
      <c r="AF604" s="2381">
        <f t="shared" si="228"/>
        <v>0</v>
      </c>
      <c r="AG604" s="2381"/>
      <c r="AH604" s="2370">
        <f t="shared" si="229"/>
        <v>0</v>
      </c>
      <c r="AI604" s="2382"/>
      <c r="AO604" s="2509"/>
      <c r="AP604" s="1418">
        <f t="shared" si="237"/>
        <v>0</v>
      </c>
    </row>
    <row r="605" spans="1:42" s="1231" customFormat="1" ht="15.75">
      <c r="A605" s="2103"/>
      <c r="B605" s="1263" t="s">
        <v>511</v>
      </c>
      <c r="C605" s="1264" t="s">
        <v>2892</v>
      </c>
      <c r="D605" s="1265"/>
      <c r="E605" s="1266"/>
      <c r="F605" s="1267"/>
      <c r="G605" s="1480"/>
      <c r="H605" s="1267"/>
      <c r="I605" s="1477">
        <f t="shared" si="224"/>
        <v>0</v>
      </c>
      <c r="J605" s="1477">
        <f t="shared" si="225"/>
        <v>0</v>
      </c>
      <c r="K605" s="1477"/>
      <c r="L605" s="1477">
        <f t="shared" si="230"/>
        <v>0</v>
      </c>
      <c r="M605" s="1477"/>
      <c r="N605" s="1477">
        <f t="shared" si="231"/>
        <v>0</v>
      </c>
      <c r="O605" s="1477">
        <f t="shared" si="232"/>
        <v>0</v>
      </c>
      <c r="P605" s="1477">
        <f t="shared" si="233"/>
        <v>0</v>
      </c>
      <c r="Q605" s="1477">
        <f t="shared" si="234"/>
        <v>0</v>
      </c>
      <c r="R605" s="1576"/>
      <c r="S605" s="2452"/>
      <c r="T605" s="1866"/>
      <c r="U605" s="2442"/>
      <c r="V605" s="1866">
        <f t="shared" si="238"/>
        <v>0</v>
      </c>
      <c r="W605" s="2452"/>
      <c r="X605" s="1870"/>
      <c r="Y605" s="1871" t="str">
        <f t="shared" si="239"/>
        <v/>
      </c>
      <c r="Z605" s="1694"/>
      <c r="AA605" s="1872">
        <f t="shared" si="240"/>
        <v>0</v>
      </c>
      <c r="AB605" s="1873" t="str">
        <f t="shared" si="241"/>
        <v/>
      </c>
      <c r="AC605" s="1418">
        <f t="shared" si="226"/>
        <v>0</v>
      </c>
      <c r="AD605" s="1418">
        <f t="shared" si="227"/>
        <v>0</v>
      </c>
      <c r="AE605" s="1230"/>
      <c r="AF605" s="1230">
        <f t="shared" si="228"/>
        <v>0</v>
      </c>
      <c r="AG605" s="1230"/>
      <c r="AH605" s="1418">
        <f t="shared" si="229"/>
        <v>0</v>
      </c>
      <c r="AI605" s="1346"/>
      <c r="AO605" s="1736"/>
      <c r="AP605" s="1418">
        <f t="shared" si="237"/>
        <v>0</v>
      </c>
    </row>
    <row r="606" spans="1:42" s="1410" customFormat="1" ht="15.75">
      <c r="A606" s="2102"/>
      <c r="B606" s="1268" t="s">
        <v>1052</v>
      </c>
      <c r="C606" s="1241" t="s">
        <v>3385</v>
      </c>
      <c r="D606" s="1245" t="s">
        <v>40</v>
      </c>
      <c r="E606" s="1413">
        <v>259.45999999999998</v>
      </c>
      <c r="F606" s="1555">
        <v>42.73</v>
      </c>
      <c r="G606" s="1480">
        <v>46.72</v>
      </c>
      <c r="H606" s="1414">
        <v>48.65</v>
      </c>
      <c r="I606" s="1477">
        <f t="shared" si="224"/>
        <v>11086.73</v>
      </c>
      <c r="J606" s="1477">
        <f t="shared" si="225"/>
        <v>12121.97</v>
      </c>
      <c r="K606" s="1477">
        <v>0</v>
      </c>
      <c r="L606" s="1477">
        <f t="shared" si="230"/>
        <v>0</v>
      </c>
      <c r="M606" s="1477">
        <v>259.45999999999998</v>
      </c>
      <c r="N606" s="1477">
        <f t="shared" si="231"/>
        <v>259.45999999999998</v>
      </c>
      <c r="O606" s="1477">
        <f t="shared" si="232"/>
        <v>0</v>
      </c>
      <c r="P606" s="1477">
        <f t="shared" si="233"/>
        <v>12121.97</v>
      </c>
      <c r="Q606" s="1477">
        <f t="shared" si="234"/>
        <v>12622.73</v>
      </c>
      <c r="R606" s="1576">
        <f t="shared" si="235"/>
        <v>12622.73</v>
      </c>
      <c r="S606" s="1869">
        <v>127.48773333333332</v>
      </c>
      <c r="T606" s="1866">
        <v>6202.2782266666663</v>
      </c>
      <c r="U606" s="2442">
        <v>10</v>
      </c>
      <c r="V606" s="1866">
        <f t="shared" si="238"/>
        <v>486.5</v>
      </c>
      <c r="W606" s="1869">
        <f>S606+U606</f>
        <v>137.48773333333332</v>
      </c>
      <c r="X606" s="1870">
        <f t="shared" si="236"/>
        <v>6688.7782266666663</v>
      </c>
      <c r="Y606" s="1871">
        <f t="shared" si="239"/>
        <v>0.529899492951736</v>
      </c>
      <c r="Z606" s="1694">
        <f>+E606-W606</f>
        <v>121.97226666666666</v>
      </c>
      <c r="AA606" s="1872">
        <f t="shared" si="240"/>
        <v>5933.950773333333</v>
      </c>
      <c r="AB606" s="1873">
        <f t="shared" si="241"/>
        <v>0.4701004278260989</v>
      </c>
      <c r="AC606" s="1418">
        <f t="shared" si="226"/>
        <v>1.0000000002037268E-3</v>
      </c>
      <c r="AD606" s="1418">
        <f t="shared" si="227"/>
        <v>0</v>
      </c>
      <c r="AE606" s="1418">
        <v>12622.728999999999</v>
      </c>
      <c r="AF606" s="1418">
        <f t="shared" si="228"/>
        <v>-1.0000000002037268E-3</v>
      </c>
      <c r="AG606" s="1418">
        <v>48.65</v>
      </c>
      <c r="AH606" s="1418">
        <f t="shared" si="229"/>
        <v>0</v>
      </c>
      <c r="AI606" s="1428"/>
      <c r="AO606" s="2504">
        <v>4986.0282266666663</v>
      </c>
      <c r="AP606" s="1418">
        <f t="shared" si="237"/>
        <v>-1702.75</v>
      </c>
    </row>
    <row r="607" spans="1:42" s="1410" customFormat="1" ht="15.75">
      <c r="A607" s="2102"/>
      <c r="B607" s="1268" t="s">
        <v>1057</v>
      </c>
      <c r="C607" s="1241" t="s">
        <v>3386</v>
      </c>
      <c r="D607" s="1245" t="s">
        <v>40</v>
      </c>
      <c r="E607" s="1413">
        <v>20.76</v>
      </c>
      <c r="F607" s="1555">
        <v>18.309999999999999</v>
      </c>
      <c r="G607" s="1480">
        <v>20.02</v>
      </c>
      <c r="H607" s="1414">
        <v>20.85</v>
      </c>
      <c r="I607" s="1477">
        <f t="shared" si="224"/>
        <v>380.12</v>
      </c>
      <c r="J607" s="1477">
        <f t="shared" si="225"/>
        <v>415.62</v>
      </c>
      <c r="K607" s="1477">
        <v>0</v>
      </c>
      <c r="L607" s="1477">
        <f t="shared" si="230"/>
        <v>0</v>
      </c>
      <c r="M607" s="1477">
        <v>20.76</v>
      </c>
      <c r="N607" s="1477">
        <f t="shared" si="231"/>
        <v>20.76</v>
      </c>
      <c r="O607" s="1477">
        <f t="shared" si="232"/>
        <v>0</v>
      </c>
      <c r="P607" s="1477">
        <f t="shared" si="233"/>
        <v>415.62</v>
      </c>
      <c r="Q607" s="1477">
        <f t="shared" si="234"/>
        <v>432.85</v>
      </c>
      <c r="R607" s="1576">
        <f t="shared" si="235"/>
        <v>432.85</v>
      </c>
      <c r="S607" s="1869">
        <v>20.759999999999998</v>
      </c>
      <c r="T607" s="1866">
        <v>432.846</v>
      </c>
      <c r="U607" s="2442"/>
      <c r="V607" s="1866">
        <f t="shared" si="238"/>
        <v>0</v>
      </c>
      <c r="W607" s="1869">
        <f>S607+U607</f>
        <v>20.759999999999998</v>
      </c>
      <c r="X607" s="1870">
        <f t="shared" si="236"/>
        <v>432.846</v>
      </c>
      <c r="Y607" s="1871">
        <f t="shared" si="239"/>
        <v>0.99999075892341449</v>
      </c>
      <c r="Z607" s="1694">
        <f>+E607-W607</f>
        <v>0</v>
      </c>
      <c r="AA607" s="1872">
        <f t="shared" si="240"/>
        <v>0</v>
      </c>
      <c r="AB607" s="1873">
        <f t="shared" si="241"/>
        <v>0</v>
      </c>
      <c r="AC607" s="1418">
        <f t="shared" si="226"/>
        <v>4.0000000000190994E-3</v>
      </c>
      <c r="AD607" s="1418">
        <f t="shared" si="227"/>
        <v>3.5527136788005009E-15</v>
      </c>
      <c r="AE607" s="1418">
        <v>432.84600000000006</v>
      </c>
      <c r="AF607" s="1418">
        <f t="shared" si="228"/>
        <v>-3.999999999962256E-3</v>
      </c>
      <c r="AG607" s="1418">
        <v>20.85</v>
      </c>
      <c r="AH607" s="1418">
        <f t="shared" si="229"/>
        <v>0</v>
      </c>
      <c r="AI607" s="1428"/>
      <c r="AO607" s="2504">
        <v>314.55144000000001</v>
      </c>
      <c r="AP607" s="1418">
        <f t="shared" si="237"/>
        <v>-118.29455999999999</v>
      </c>
    </row>
    <row r="608" spans="1:42" s="1410" customFormat="1" ht="15.75">
      <c r="A608" s="2102"/>
      <c r="B608" s="1268" t="s">
        <v>1060</v>
      </c>
      <c r="C608" s="1241" t="s">
        <v>3387</v>
      </c>
      <c r="D608" s="1245" t="s">
        <v>40</v>
      </c>
      <c r="E608" s="1413">
        <v>41.49</v>
      </c>
      <c r="F608" s="1555">
        <v>71.11</v>
      </c>
      <c r="G608" s="1480">
        <v>72.819999999999993</v>
      </c>
      <c r="H608" s="1414">
        <v>73.650000000000006</v>
      </c>
      <c r="I608" s="1477">
        <f t="shared" si="224"/>
        <v>2950.35</v>
      </c>
      <c r="J608" s="1477">
        <f t="shared" si="225"/>
        <v>3021.3</v>
      </c>
      <c r="K608" s="1477">
        <v>0</v>
      </c>
      <c r="L608" s="1477">
        <f t="shared" si="230"/>
        <v>0</v>
      </c>
      <c r="M608" s="1477">
        <v>41.49</v>
      </c>
      <c r="N608" s="1477">
        <f t="shared" si="231"/>
        <v>41.49</v>
      </c>
      <c r="O608" s="1477">
        <f t="shared" si="232"/>
        <v>0</v>
      </c>
      <c r="P608" s="1477">
        <f t="shared" si="233"/>
        <v>3021.3</v>
      </c>
      <c r="Q608" s="1477">
        <f t="shared" si="234"/>
        <v>3055.74</v>
      </c>
      <c r="R608" s="1576">
        <f t="shared" si="235"/>
        <v>3055.74</v>
      </c>
      <c r="S608" s="1869">
        <v>23.323599999999999</v>
      </c>
      <c r="T608" s="1866">
        <v>1717.78314</v>
      </c>
      <c r="U608" s="2442">
        <v>3.2</v>
      </c>
      <c r="V608" s="1866">
        <f t="shared" si="238"/>
        <v>235.68000000000004</v>
      </c>
      <c r="W608" s="1869">
        <f>S608+U608</f>
        <v>26.523599999999998</v>
      </c>
      <c r="X608" s="1870">
        <f t="shared" si="236"/>
        <v>1953.4631400000001</v>
      </c>
      <c r="Y608" s="1871">
        <f t="shared" si="239"/>
        <v>0.6392766203930963</v>
      </c>
      <c r="Z608" s="1694">
        <f>+E608-W608</f>
        <v>14.966400000000004</v>
      </c>
      <c r="AA608" s="1872">
        <f t="shared" si="240"/>
        <v>1102.2753600000003</v>
      </c>
      <c r="AB608" s="1873">
        <f t="shared" si="241"/>
        <v>0.36072288872744424</v>
      </c>
      <c r="AC608" s="1418">
        <f t="shared" si="226"/>
        <v>1.4999999993960955E-3</v>
      </c>
      <c r="AD608" s="1418">
        <f t="shared" si="227"/>
        <v>0</v>
      </c>
      <c r="AE608" s="1418">
        <v>3055.7385000000004</v>
      </c>
      <c r="AF608" s="1418">
        <f t="shared" si="228"/>
        <v>-1.4999999993960955E-3</v>
      </c>
      <c r="AG608" s="1418">
        <v>73.650000000000006</v>
      </c>
      <c r="AH608" s="1418">
        <f t="shared" si="229"/>
        <v>0</v>
      </c>
      <c r="AI608" s="1428"/>
      <c r="AO608" s="2504">
        <v>1312.70814</v>
      </c>
      <c r="AP608" s="1418">
        <f t="shared" si="237"/>
        <v>-640.75500000000011</v>
      </c>
    </row>
    <row r="609" spans="1:42" s="1410" customFormat="1" ht="15.75">
      <c r="A609" s="2102"/>
      <c r="B609" s="1268" t="s">
        <v>1066</v>
      </c>
      <c r="C609" s="1241" t="s">
        <v>3388</v>
      </c>
      <c r="D609" s="1245" t="s">
        <v>40</v>
      </c>
      <c r="E609" s="1413">
        <v>197.26</v>
      </c>
      <c r="F609" s="1555">
        <v>18.309999999999999</v>
      </c>
      <c r="G609" s="1480">
        <v>20.02</v>
      </c>
      <c r="H609" s="1414">
        <v>20.85</v>
      </c>
      <c r="I609" s="1477">
        <f t="shared" si="224"/>
        <v>3611.83</v>
      </c>
      <c r="J609" s="1477">
        <f t="shared" si="225"/>
        <v>3949.15</v>
      </c>
      <c r="K609" s="1477">
        <v>0</v>
      </c>
      <c r="L609" s="1477">
        <f t="shared" si="230"/>
        <v>0</v>
      </c>
      <c r="M609" s="1477">
        <v>197.26</v>
      </c>
      <c r="N609" s="1477">
        <f t="shared" si="231"/>
        <v>197.26</v>
      </c>
      <c r="O609" s="1477">
        <f t="shared" si="232"/>
        <v>0</v>
      </c>
      <c r="P609" s="1477">
        <f t="shared" si="233"/>
        <v>3949.15</v>
      </c>
      <c r="Q609" s="1477">
        <f t="shared" si="234"/>
        <v>4112.87</v>
      </c>
      <c r="R609" s="1576">
        <f t="shared" si="235"/>
        <v>4112.87</v>
      </c>
      <c r="S609" s="1869">
        <v>72.633066666666664</v>
      </c>
      <c r="T609" s="1866">
        <v>1514.3994400000001</v>
      </c>
      <c r="U609" s="2442">
        <v>1.2</v>
      </c>
      <c r="V609" s="1866">
        <f t="shared" si="238"/>
        <v>25.02</v>
      </c>
      <c r="W609" s="1869">
        <f>S609+U609</f>
        <v>73.833066666666667</v>
      </c>
      <c r="X609" s="1870">
        <f t="shared" si="236"/>
        <v>1539.4194400000001</v>
      </c>
      <c r="Y609" s="1871">
        <f t="shared" si="239"/>
        <v>0.37429324048657026</v>
      </c>
      <c r="Z609" s="1694">
        <f>+E609-W609</f>
        <v>123.42693333333332</v>
      </c>
      <c r="AA609" s="1872">
        <f t="shared" si="240"/>
        <v>2573.45156</v>
      </c>
      <c r="AB609" s="1873">
        <f t="shared" si="241"/>
        <v>0.62570700265264889</v>
      </c>
      <c r="AC609" s="1418">
        <f t="shared" si="226"/>
        <v>-1.0000000002037268E-3</v>
      </c>
      <c r="AD609" s="1418">
        <f t="shared" si="227"/>
        <v>0</v>
      </c>
      <c r="AE609" s="1418">
        <v>4112.8710000000001</v>
      </c>
      <c r="AF609" s="1418">
        <f t="shared" si="228"/>
        <v>1.0000000002037268E-3</v>
      </c>
      <c r="AG609" s="1418">
        <v>20.85</v>
      </c>
      <c r="AH609" s="1418">
        <f t="shared" si="229"/>
        <v>0</v>
      </c>
      <c r="AI609" s="1428"/>
      <c r="AO609" s="2504">
        <v>1403.89444</v>
      </c>
      <c r="AP609" s="1418">
        <f t="shared" si="237"/>
        <v>-135.52500000000009</v>
      </c>
    </row>
    <row r="610" spans="1:42" s="1410" customFormat="1" ht="15.75">
      <c r="A610" s="2102"/>
      <c r="B610" s="1268" t="s">
        <v>1070</v>
      </c>
      <c r="C610" s="1241" t="s">
        <v>3389</v>
      </c>
      <c r="D610" s="1245" t="s">
        <v>40</v>
      </c>
      <c r="E610" s="1413">
        <v>51.81</v>
      </c>
      <c r="F610" s="1555">
        <v>3.51</v>
      </c>
      <c r="G610" s="1480">
        <v>3.69</v>
      </c>
      <c r="H610" s="1414">
        <v>3.77</v>
      </c>
      <c r="I610" s="1477">
        <f t="shared" si="224"/>
        <v>181.85</v>
      </c>
      <c r="J610" s="1477">
        <f t="shared" si="225"/>
        <v>191.18</v>
      </c>
      <c r="K610" s="1477">
        <v>0</v>
      </c>
      <c r="L610" s="1477">
        <f t="shared" si="230"/>
        <v>0</v>
      </c>
      <c r="M610" s="1477">
        <v>51.81</v>
      </c>
      <c r="N610" s="1477">
        <f t="shared" si="231"/>
        <v>51.81</v>
      </c>
      <c r="O610" s="1477">
        <f t="shared" si="232"/>
        <v>0</v>
      </c>
      <c r="P610" s="1477">
        <f t="shared" si="233"/>
        <v>191.18</v>
      </c>
      <c r="Q610" s="1477">
        <f t="shared" si="234"/>
        <v>195.32</v>
      </c>
      <c r="R610" s="1576">
        <f t="shared" si="235"/>
        <v>195.32</v>
      </c>
      <c r="S610" s="1869">
        <v>51.81</v>
      </c>
      <c r="T610" s="1866">
        <v>195.32369999999997</v>
      </c>
      <c r="U610" s="2442"/>
      <c r="V610" s="1866">
        <f t="shared" si="238"/>
        <v>0</v>
      </c>
      <c r="W610" s="1869">
        <f>S610+U610</f>
        <v>51.81</v>
      </c>
      <c r="X610" s="1870">
        <f t="shared" si="236"/>
        <v>195.32369999999997</v>
      </c>
      <c r="Y610" s="1871">
        <f t="shared" si="239"/>
        <v>1.0000189432725783</v>
      </c>
      <c r="Z610" s="1694">
        <f>+E610-W610</f>
        <v>0</v>
      </c>
      <c r="AA610" s="1872">
        <f t="shared" si="240"/>
        <v>0</v>
      </c>
      <c r="AB610" s="1873">
        <f t="shared" si="241"/>
        <v>0</v>
      </c>
      <c r="AC610" s="1418">
        <f t="shared" si="226"/>
        <v>-3.6999999999807187E-3</v>
      </c>
      <c r="AD610" s="1418">
        <f t="shared" si="227"/>
        <v>0</v>
      </c>
      <c r="AE610" s="1418">
        <v>195.3237</v>
      </c>
      <c r="AF610" s="1418">
        <f t="shared" si="228"/>
        <v>3.7000000000091404E-3</v>
      </c>
      <c r="AG610" s="1418">
        <v>3.77</v>
      </c>
      <c r="AH610" s="1418">
        <f t="shared" si="229"/>
        <v>0</v>
      </c>
      <c r="AI610" s="1428"/>
      <c r="AO610" s="2504">
        <v>119.20136799999999</v>
      </c>
      <c r="AP610" s="1418">
        <f t="shared" si="237"/>
        <v>-76.122331999999986</v>
      </c>
    </row>
    <row r="611" spans="1:42" s="1231" customFormat="1" ht="15.75">
      <c r="A611" s="2103"/>
      <c r="B611" s="1263" t="s">
        <v>512</v>
      </c>
      <c r="C611" s="1264" t="s">
        <v>2899</v>
      </c>
      <c r="D611" s="1265"/>
      <c r="E611" s="1266"/>
      <c r="F611" s="1267"/>
      <c r="G611" s="1480"/>
      <c r="H611" s="1267"/>
      <c r="I611" s="1477">
        <f t="shared" si="224"/>
        <v>0</v>
      </c>
      <c r="J611" s="1477">
        <f t="shared" si="225"/>
        <v>0</v>
      </c>
      <c r="K611" s="1477"/>
      <c r="L611" s="1477">
        <f t="shared" si="230"/>
        <v>0</v>
      </c>
      <c r="M611" s="1477"/>
      <c r="N611" s="1477">
        <f t="shared" si="231"/>
        <v>0</v>
      </c>
      <c r="O611" s="1477">
        <f t="shared" si="232"/>
        <v>0</v>
      </c>
      <c r="P611" s="1477">
        <f t="shared" si="233"/>
        <v>0</v>
      </c>
      <c r="Q611" s="1477">
        <f t="shared" si="234"/>
        <v>0</v>
      </c>
      <c r="R611" s="1576"/>
      <c r="S611" s="2452"/>
      <c r="T611" s="1866"/>
      <c r="U611" s="2442"/>
      <c r="V611" s="1866">
        <f t="shared" si="238"/>
        <v>0</v>
      </c>
      <c r="W611" s="2452"/>
      <c r="X611" s="1870"/>
      <c r="Y611" s="1871" t="str">
        <f t="shared" si="239"/>
        <v/>
      </c>
      <c r="Z611" s="1694"/>
      <c r="AA611" s="1872">
        <f t="shared" si="240"/>
        <v>0</v>
      </c>
      <c r="AB611" s="1873" t="str">
        <f t="shared" si="241"/>
        <v/>
      </c>
      <c r="AC611" s="1418">
        <f t="shared" si="226"/>
        <v>0</v>
      </c>
      <c r="AD611" s="1418">
        <f t="shared" si="227"/>
        <v>0</v>
      </c>
      <c r="AE611" s="1230"/>
      <c r="AF611" s="1230">
        <f t="shared" si="228"/>
        <v>0</v>
      </c>
      <c r="AG611" s="1230"/>
      <c r="AH611" s="1418">
        <f t="shared" si="229"/>
        <v>0</v>
      </c>
      <c r="AI611" s="1346"/>
      <c r="AO611" s="1736"/>
      <c r="AP611" s="1418">
        <f t="shared" si="237"/>
        <v>0</v>
      </c>
    </row>
    <row r="612" spans="1:42" s="1410" customFormat="1" ht="15.75">
      <c r="A612" s="2102"/>
      <c r="B612" s="1268" t="s">
        <v>1086</v>
      </c>
      <c r="C612" s="1241" t="s">
        <v>3390</v>
      </c>
      <c r="D612" s="1245" t="s">
        <v>36</v>
      </c>
      <c r="E612" s="1413">
        <v>19</v>
      </c>
      <c r="F612" s="1555">
        <v>245.26</v>
      </c>
      <c r="G612" s="1480">
        <v>258.86</v>
      </c>
      <c r="H612" s="1414">
        <v>265.82</v>
      </c>
      <c r="I612" s="1477">
        <f t="shared" si="224"/>
        <v>4659.9399999999996</v>
      </c>
      <c r="J612" s="1477">
        <f t="shared" si="225"/>
        <v>4918.34</v>
      </c>
      <c r="K612" s="1477">
        <v>0</v>
      </c>
      <c r="L612" s="1477">
        <f t="shared" si="230"/>
        <v>0</v>
      </c>
      <c r="M612" s="1477">
        <v>19</v>
      </c>
      <c r="N612" s="1477">
        <f t="shared" si="231"/>
        <v>19</v>
      </c>
      <c r="O612" s="1477">
        <f t="shared" si="232"/>
        <v>0</v>
      </c>
      <c r="P612" s="1477">
        <f t="shared" si="233"/>
        <v>4918.34</v>
      </c>
      <c r="Q612" s="1477">
        <f t="shared" si="234"/>
        <v>5050.58</v>
      </c>
      <c r="R612" s="1576">
        <f t="shared" si="235"/>
        <v>5050.58</v>
      </c>
      <c r="S612" s="1869">
        <v>19</v>
      </c>
      <c r="T612" s="1866">
        <v>5050.58</v>
      </c>
      <c r="U612" s="2442"/>
      <c r="V612" s="1866">
        <f t="shared" si="238"/>
        <v>0</v>
      </c>
      <c r="W612" s="1869">
        <f>S612+U612</f>
        <v>19</v>
      </c>
      <c r="X612" s="1870">
        <f t="shared" si="236"/>
        <v>5050.58</v>
      </c>
      <c r="Y612" s="1871">
        <f t="shared" si="239"/>
        <v>1</v>
      </c>
      <c r="Z612" s="1694">
        <f>+E612-W612</f>
        <v>0</v>
      </c>
      <c r="AA612" s="1872">
        <f t="shared" si="240"/>
        <v>0</v>
      </c>
      <c r="AB612" s="1873">
        <f t="shared" si="241"/>
        <v>0</v>
      </c>
      <c r="AC612" s="1418">
        <f t="shared" si="226"/>
        <v>0</v>
      </c>
      <c r="AD612" s="1418">
        <f t="shared" si="227"/>
        <v>0</v>
      </c>
      <c r="AE612" s="1418">
        <v>5050.58</v>
      </c>
      <c r="AF612" s="1418">
        <f t="shared" si="228"/>
        <v>0</v>
      </c>
      <c r="AG612" s="1418">
        <v>265.82</v>
      </c>
      <c r="AH612" s="1418">
        <f t="shared" si="229"/>
        <v>0</v>
      </c>
      <c r="AI612" s="1428"/>
      <c r="AO612" s="2504">
        <v>5050.58</v>
      </c>
      <c r="AP612" s="1418">
        <f t="shared" si="237"/>
        <v>0</v>
      </c>
    </row>
    <row r="613" spans="1:42" s="1410" customFormat="1" ht="15.75">
      <c r="A613" s="2102"/>
      <c r="B613" s="1268" t="s">
        <v>1088</v>
      </c>
      <c r="C613" s="1241" t="s">
        <v>3391</v>
      </c>
      <c r="D613" s="1245" t="s">
        <v>36</v>
      </c>
      <c r="E613" s="1413">
        <v>19</v>
      </c>
      <c r="F613" s="1555">
        <v>207.36</v>
      </c>
      <c r="G613" s="1480">
        <v>222.6</v>
      </c>
      <c r="H613" s="1414">
        <v>230.76</v>
      </c>
      <c r="I613" s="1477">
        <f t="shared" si="224"/>
        <v>3939.84</v>
      </c>
      <c r="J613" s="1477">
        <f t="shared" si="225"/>
        <v>4229.3999999999996</v>
      </c>
      <c r="K613" s="1477">
        <v>0</v>
      </c>
      <c r="L613" s="1477">
        <f t="shared" si="230"/>
        <v>0</v>
      </c>
      <c r="M613" s="1477">
        <v>19</v>
      </c>
      <c r="N613" s="1477">
        <f t="shared" si="231"/>
        <v>19</v>
      </c>
      <c r="O613" s="1477">
        <f t="shared" si="232"/>
        <v>0</v>
      </c>
      <c r="P613" s="1477">
        <f t="shared" si="233"/>
        <v>4229.3999999999996</v>
      </c>
      <c r="Q613" s="1477">
        <f t="shared" si="234"/>
        <v>4384.4399999999996</v>
      </c>
      <c r="R613" s="1576">
        <f t="shared" si="235"/>
        <v>4384.4399999999996</v>
      </c>
      <c r="S613" s="1869">
        <v>5</v>
      </c>
      <c r="T613" s="1866">
        <v>1153.8</v>
      </c>
      <c r="U613" s="2442"/>
      <c r="V613" s="1866">
        <f t="shared" si="238"/>
        <v>0</v>
      </c>
      <c r="W613" s="1869">
        <f>S613+U613</f>
        <v>5</v>
      </c>
      <c r="X613" s="1870">
        <f t="shared" si="236"/>
        <v>1153.8</v>
      </c>
      <c r="Y613" s="1871">
        <f t="shared" si="239"/>
        <v>0.26315789473684215</v>
      </c>
      <c r="Z613" s="1694">
        <f>+E613-W613</f>
        <v>14</v>
      </c>
      <c r="AA613" s="1872">
        <f t="shared" si="240"/>
        <v>3230.64</v>
      </c>
      <c r="AB613" s="1873">
        <f t="shared" si="241"/>
        <v>0.73684210526315796</v>
      </c>
      <c r="AC613" s="1418">
        <f t="shared" si="226"/>
        <v>0</v>
      </c>
      <c r="AD613" s="1418">
        <f t="shared" si="227"/>
        <v>0</v>
      </c>
      <c r="AE613" s="1418">
        <v>4382.54</v>
      </c>
      <c r="AF613" s="1418">
        <f t="shared" si="228"/>
        <v>-1.8999999999996362</v>
      </c>
      <c r="AG613" s="1418">
        <v>230.66</v>
      </c>
      <c r="AH613" s="1418">
        <f t="shared" si="229"/>
        <v>-9.9999999999994316E-2</v>
      </c>
      <c r="AI613" s="1428"/>
      <c r="AO613" s="2504">
        <v>1153.8</v>
      </c>
      <c r="AP613" s="1418">
        <f t="shared" si="237"/>
        <v>0</v>
      </c>
    </row>
    <row r="614" spans="1:42" s="1231" customFormat="1" ht="15.75">
      <c r="A614" s="2103"/>
      <c r="B614" s="1263" t="s">
        <v>1096</v>
      </c>
      <c r="C614" s="1264" t="s">
        <v>3392</v>
      </c>
      <c r="D614" s="1265"/>
      <c r="E614" s="1266"/>
      <c r="F614" s="1267"/>
      <c r="G614" s="1480"/>
      <c r="H614" s="1267"/>
      <c r="I614" s="1477">
        <f t="shared" si="224"/>
        <v>0</v>
      </c>
      <c r="J614" s="1477">
        <f t="shared" si="225"/>
        <v>0</v>
      </c>
      <c r="K614" s="1477"/>
      <c r="L614" s="1477">
        <f t="shared" si="230"/>
        <v>0</v>
      </c>
      <c r="M614" s="1477"/>
      <c r="N614" s="1477">
        <f t="shared" si="231"/>
        <v>0</v>
      </c>
      <c r="O614" s="1477">
        <f t="shared" si="232"/>
        <v>0</v>
      </c>
      <c r="P614" s="1477">
        <f t="shared" si="233"/>
        <v>0</v>
      </c>
      <c r="Q614" s="1477">
        <f t="shared" si="234"/>
        <v>0</v>
      </c>
      <c r="R614" s="1576"/>
      <c r="S614" s="2452"/>
      <c r="T614" s="1866"/>
      <c r="U614" s="2442"/>
      <c r="V614" s="1866">
        <f t="shared" si="238"/>
        <v>0</v>
      </c>
      <c r="W614" s="2452"/>
      <c r="X614" s="1870"/>
      <c r="Y614" s="1871" t="str">
        <f t="shared" si="239"/>
        <v/>
      </c>
      <c r="Z614" s="1694"/>
      <c r="AA614" s="1872">
        <f t="shared" si="240"/>
        <v>0</v>
      </c>
      <c r="AB614" s="1873" t="str">
        <f t="shared" si="241"/>
        <v/>
      </c>
      <c r="AC614" s="1418">
        <f t="shared" si="226"/>
        <v>0</v>
      </c>
      <c r="AD614" s="1418">
        <f t="shared" si="227"/>
        <v>0</v>
      </c>
      <c r="AE614" s="1230"/>
      <c r="AF614" s="1230">
        <f t="shared" si="228"/>
        <v>0</v>
      </c>
      <c r="AG614" s="1230"/>
      <c r="AH614" s="1418">
        <f t="shared" si="229"/>
        <v>0</v>
      </c>
      <c r="AI614" s="1346"/>
      <c r="AO614" s="1736"/>
      <c r="AP614" s="1418">
        <f t="shared" si="237"/>
        <v>0</v>
      </c>
    </row>
    <row r="615" spans="1:42" s="1410" customFormat="1" ht="15.75">
      <c r="A615" s="2102"/>
      <c r="B615" s="1268" t="s">
        <v>1097</v>
      </c>
      <c r="C615" s="1241" t="s">
        <v>3393</v>
      </c>
      <c r="D615" s="1245" t="s">
        <v>1453</v>
      </c>
      <c r="E615" s="1413">
        <v>3</v>
      </c>
      <c r="F615" s="1555">
        <v>1261.31</v>
      </c>
      <c r="G615" s="1480">
        <v>1312.4</v>
      </c>
      <c r="H615" s="1414">
        <v>1337.86</v>
      </c>
      <c r="I615" s="1477">
        <f t="shared" si="224"/>
        <v>3783.93</v>
      </c>
      <c r="J615" s="1477">
        <f t="shared" si="225"/>
        <v>3937.2</v>
      </c>
      <c r="K615" s="1477">
        <v>0</v>
      </c>
      <c r="L615" s="1477">
        <f t="shared" si="230"/>
        <v>0</v>
      </c>
      <c r="M615" s="1477">
        <v>3</v>
      </c>
      <c r="N615" s="1477">
        <f t="shared" si="231"/>
        <v>3</v>
      </c>
      <c r="O615" s="1477">
        <f t="shared" si="232"/>
        <v>0</v>
      </c>
      <c r="P615" s="1477">
        <f t="shared" si="233"/>
        <v>3937.2</v>
      </c>
      <c r="Q615" s="1477">
        <f t="shared" si="234"/>
        <v>4013.58</v>
      </c>
      <c r="R615" s="1576">
        <f t="shared" si="235"/>
        <v>4013.58</v>
      </c>
      <c r="S615" s="1869">
        <v>3</v>
      </c>
      <c r="T615" s="1866">
        <v>4013.58</v>
      </c>
      <c r="U615" s="2442"/>
      <c r="V615" s="1866">
        <f t="shared" si="238"/>
        <v>0</v>
      </c>
      <c r="W615" s="1869">
        <f>S615+U615</f>
        <v>3</v>
      </c>
      <c r="X615" s="1870">
        <f t="shared" si="236"/>
        <v>4013.58</v>
      </c>
      <c r="Y615" s="1871">
        <f t="shared" si="239"/>
        <v>1</v>
      </c>
      <c r="Z615" s="1694">
        <f>+E615-W615</f>
        <v>0</v>
      </c>
      <c r="AA615" s="1872">
        <f t="shared" si="240"/>
        <v>0</v>
      </c>
      <c r="AB615" s="1873">
        <f t="shared" si="241"/>
        <v>0</v>
      </c>
      <c r="AC615" s="1418">
        <f t="shared" si="226"/>
        <v>0</v>
      </c>
      <c r="AD615" s="1418">
        <f t="shared" si="227"/>
        <v>0</v>
      </c>
      <c r="AE615" s="1418">
        <v>4013.58</v>
      </c>
      <c r="AF615" s="1418">
        <f t="shared" si="228"/>
        <v>0</v>
      </c>
      <c r="AG615" s="1418">
        <v>1337.86</v>
      </c>
      <c r="AH615" s="1418">
        <f t="shared" si="229"/>
        <v>0</v>
      </c>
      <c r="AI615" s="1428"/>
      <c r="AO615" s="2504">
        <v>4013.58</v>
      </c>
      <c r="AP615" s="1418">
        <f t="shared" si="237"/>
        <v>0</v>
      </c>
    </row>
    <row r="616" spans="1:42" s="1410" customFormat="1" ht="15.75">
      <c r="A616" s="2102"/>
      <c r="B616" s="1268" t="s">
        <v>1099</v>
      </c>
      <c r="C616" s="1241" t="s">
        <v>3394</v>
      </c>
      <c r="D616" s="1245" t="s">
        <v>36</v>
      </c>
      <c r="E616" s="1413">
        <v>3</v>
      </c>
      <c r="F616" s="1555">
        <v>147.51</v>
      </c>
      <c r="G616" s="1480">
        <v>154.31</v>
      </c>
      <c r="H616" s="1414">
        <v>157.79</v>
      </c>
      <c r="I616" s="1477">
        <f t="shared" si="224"/>
        <v>442.53</v>
      </c>
      <c r="J616" s="1477">
        <f t="shared" si="225"/>
        <v>462.93</v>
      </c>
      <c r="K616" s="1477">
        <v>0</v>
      </c>
      <c r="L616" s="1477">
        <f t="shared" si="230"/>
        <v>0</v>
      </c>
      <c r="M616" s="1477">
        <v>3</v>
      </c>
      <c r="N616" s="1477">
        <f t="shared" si="231"/>
        <v>3</v>
      </c>
      <c r="O616" s="1477">
        <f t="shared" si="232"/>
        <v>0</v>
      </c>
      <c r="P616" s="1477">
        <f t="shared" si="233"/>
        <v>462.93</v>
      </c>
      <c r="Q616" s="1477">
        <f t="shared" si="234"/>
        <v>473.37</v>
      </c>
      <c r="R616" s="1576">
        <f t="shared" si="235"/>
        <v>473.37</v>
      </c>
      <c r="S616" s="1869">
        <v>3</v>
      </c>
      <c r="T616" s="1866">
        <v>473.37</v>
      </c>
      <c r="U616" s="2442"/>
      <c r="V616" s="1866">
        <f t="shared" si="238"/>
        <v>0</v>
      </c>
      <c r="W616" s="1869">
        <f>S616+U616</f>
        <v>3</v>
      </c>
      <c r="X616" s="1870">
        <f t="shared" si="236"/>
        <v>473.37</v>
      </c>
      <c r="Y616" s="1871">
        <f t="shared" si="239"/>
        <v>1</v>
      </c>
      <c r="Z616" s="1694">
        <f>+E616-W616</f>
        <v>0</v>
      </c>
      <c r="AA616" s="1872">
        <f t="shared" si="240"/>
        <v>0</v>
      </c>
      <c r="AB616" s="1873">
        <f t="shared" si="241"/>
        <v>0</v>
      </c>
      <c r="AC616" s="1418">
        <f t="shared" si="226"/>
        <v>0</v>
      </c>
      <c r="AD616" s="1418">
        <f t="shared" si="227"/>
        <v>0</v>
      </c>
      <c r="AE616" s="1418">
        <v>473.37</v>
      </c>
      <c r="AF616" s="1418">
        <f t="shared" si="228"/>
        <v>0</v>
      </c>
      <c r="AG616" s="1418">
        <v>157.79</v>
      </c>
      <c r="AH616" s="1418">
        <f t="shared" si="229"/>
        <v>0</v>
      </c>
      <c r="AI616" s="1428"/>
      <c r="AO616" s="2504">
        <v>473.37</v>
      </c>
      <c r="AP616" s="1418">
        <f t="shared" si="237"/>
        <v>0</v>
      </c>
    </row>
    <row r="617" spans="1:42" s="1231" customFormat="1" ht="15.75">
      <c r="A617" s="2103"/>
      <c r="B617" s="1263" t="s">
        <v>1113</v>
      </c>
      <c r="C617" s="1264" t="s">
        <v>3395</v>
      </c>
      <c r="D617" s="1265"/>
      <c r="E617" s="1266"/>
      <c r="F617" s="1267"/>
      <c r="G617" s="1480"/>
      <c r="H617" s="1267"/>
      <c r="I617" s="1477">
        <f t="shared" si="224"/>
        <v>0</v>
      </c>
      <c r="J617" s="1477">
        <f t="shared" si="225"/>
        <v>0</v>
      </c>
      <c r="K617" s="1477"/>
      <c r="L617" s="1477">
        <f t="shared" si="230"/>
        <v>0</v>
      </c>
      <c r="M617" s="1477"/>
      <c r="N617" s="1477">
        <f t="shared" si="231"/>
        <v>0</v>
      </c>
      <c r="O617" s="1477">
        <f t="shared" si="232"/>
        <v>0</v>
      </c>
      <c r="P617" s="1477">
        <f t="shared" si="233"/>
        <v>0</v>
      </c>
      <c r="Q617" s="1477">
        <f t="shared" si="234"/>
        <v>0</v>
      </c>
      <c r="R617" s="1576"/>
      <c r="S617" s="2452"/>
      <c r="T617" s="1866"/>
      <c r="U617" s="2442"/>
      <c r="V617" s="1866">
        <f t="shared" si="238"/>
        <v>0</v>
      </c>
      <c r="W617" s="2452"/>
      <c r="X617" s="1870"/>
      <c r="Y617" s="1871" t="str">
        <f t="shared" si="239"/>
        <v/>
      </c>
      <c r="Z617" s="1694"/>
      <c r="AA617" s="1872">
        <f t="shared" si="240"/>
        <v>0</v>
      </c>
      <c r="AB617" s="1873" t="str">
        <f t="shared" si="241"/>
        <v/>
      </c>
      <c r="AC617" s="1418">
        <f t="shared" si="226"/>
        <v>0</v>
      </c>
      <c r="AD617" s="1418">
        <f t="shared" si="227"/>
        <v>0</v>
      </c>
      <c r="AE617" s="1230"/>
      <c r="AF617" s="1230">
        <f t="shared" si="228"/>
        <v>0</v>
      </c>
      <c r="AG617" s="1230"/>
      <c r="AH617" s="1418">
        <f t="shared" si="229"/>
        <v>0</v>
      </c>
      <c r="AI617" s="1346"/>
      <c r="AO617" s="1736"/>
      <c r="AP617" s="1418">
        <f t="shared" si="237"/>
        <v>0</v>
      </c>
    </row>
    <row r="618" spans="1:42" s="1410" customFormat="1" ht="15.75">
      <c r="A618" s="2102"/>
      <c r="B618" s="1272" t="s">
        <v>1114</v>
      </c>
      <c r="C618" s="1262" t="s">
        <v>3396</v>
      </c>
      <c r="D618" s="1273"/>
      <c r="E618" s="1415"/>
      <c r="F618" s="1267"/>
      <c r="G618" s="1480"/>
      <c r="H618" s="1416"/>
      <c r="I618" s="1477">
        <f t="shared" si="224"/>
        <v>0</v>
      </c>
      <c r="J618" s="1477">
        <f t="shared" si="225"/>
        <v>0</v>
      </c>
      <c r="K618" s="1477"/>
      <c r="L618" s="1477">
        <f t="shared" si="230"/>
        <v>0</v>
      </c>
      <c r="M618" s="1477"/>
      <c r="N618" s="1477">
        <f t="shared" si="231"/>
        <v>0</v>
      </c>
      <c r="O618" s="1477">
        <f t="shared" si="232"/>
        <v>0</v>
      </c>
      <c r="P618" s="1477">
        <f t="shared" si="233"/>
        <v>0</v>
      </c>
      <c r="Q618" s="1477">
        <f t="shared" si="234"/>
        <v>0</v>
      </c>
      <c r="R618" s="1576"/>
      <c r="S618" s="1869"/>
      <c r="T618" s="1866"/>
      <c r="U618" s="2442"/>
      <c r="V618" s="1866">
        <f t="shared" si="238"/>
        <v>0</v>
      </c>
      <c r="W618" s="1869"/>
      <c r="X618" s="1870"/>
      <c r="Y618" s="1871" t="str">
        <f t="shared" si="239"/>
        <v/>
      </c>
      <c r="Z618" s="1694"/>
      <c r="AA618" s="1872">
        <f t="shared" si="240"/>
        <v>0</v>
      </c>
      <c r="AB618" s="1873" t="str">
        <f t="shared" si="241"/>
        <v/>
      </c>
      <c r="AC618" s="1418">
        <f t="shared" si="226"/>
        <v>0</v>
      </c>
      <c r="AD618" s="1418">
        <f t="shared" si="227"/>
        <v>0</v>
      </c>
      <c r="AE618" s="1418"/>
      <c r="AF618" s="1418">
        <f t="shared" si="228"/>
        <v>0</v>
      </c>
      <c r="AG618" s="1418"/>
      <c r="AH618" s="1418">
        <f t="shared" si="229"/>
        <v>0</v>
      </c>
      <c r="AI618" s="1428"/>
      <c r="AO618" s="2504"/>
      <c r="AP618" s="1418">
        <f t="shared" si="237"/>
        <v>0</v>
      </c>
    </row>
    <row r="619" spans="1:42" s="1410" customFormat="1" ht="15.75">
      <c r="A619" s="2102"/>
      <c r="B619" s="1268" t="s">
        <v>1115</v>
      </c>
      <c r="C619" s="1241" t="s">
        <v>3397</v>
      </c>
      <c r="D619" s="1245" t="s">
        <v>2822</v>
      </c>
      <c r="E619" s="1413">
        <v>1</v>
      </c>
      <c r="F619" s="1555">
        <v>616</v>
      </c>
      <c r="G619" s="1480">
        <v>624.52</v>
      </c>
      <c r="H619" s="1414">
        <v>629.29999999999995</v>
      </c>
      <c r="I619" s="1477">
        <f t="shared" si="224"/>
        <v>616</v>
      </c>
      <c r="J619" s="1477">
        <f t="shared" si="225"/>
        <v>624.52</v>
      </c>
      <c r="K619" s="1477">
        <v>0</v>
      </c>
      <c r="L619" s="1477">
        <f t="shared" si="230"/>
        <v>0</v>
      </c>
      <c r="M619" s="1477">
        <v>1</v>
      </c>
      <c r="N619" s="1477">
        <f t="shared" si="231"/>
        <v>1</v>
      </c>
      <c r="O619" s="1477">
        <f t="shared" si="232"/>
        <v>0</v>
      </c>
      <c r="P619" s="1477">
        <f t="shared" si="233"/>
        <v>624.52</v>
      </c>
      <c r="Q619" s="1477">
        <f t="shared" si="234"/>
        <v>629.29999999999995</v>
      </c>
      <c r="R619" s="1576">
        <f t="shared" si="235"/>
        <v>629.29999999999995</v>
      </c>
      <c r="S619" s="1869">
        <v>0</v>
      </c>
      <c r="T619" s="1866">
        <v>0</v>
      </c>
      <c r="U619" s="2442"/>
      <c r="V619" s="1866">
        <f t="shared" si="238"/>
        <v>0</v>
      </c>
      <c r="W619" s="1869">
        <f t="shared" ref="W619:W644" si="242">S619+U619</f>
        <v>0</v>
      </c>
      <c r="X619" s="1870">
        <f t="shared" si="236"/>
        <v>0</v>
      </c>
      <c r="Y619" s="1871">
        <f t="shared" si="239"/>
        <v>0</v>
      </c>
      <c r="Z619" s="1694">
        <f t="shared" ref="Z619:Z644" si="243">+E619-W619</f>
        <v>1</v>
      </c>
      <c r="AA619" s="1872">
        <f t="shared" si="240"/>
        <v>629.29999999999995</v>
      </c>
      <c r="AB619" s="1873">
        <f t="shared" si="241"/>
        <v>1</v>
      </c>
      <c r="AC619" s="1418">
        <f t="shared" si="226"/>
        <v>0</v>
      </c>
      <c r="AD619" s="1418">
        <f t="shared" si="227"/>
        <v>0</v>
      </c>
      <c r="AE619" s="1418">
        <v>629.29999999999995</v>
      </c>
      <c r="AF619" s="1418">
        <f t="shared" si="228"/>
        <v>0</v>
      </c>
      <c r="AG619" s="1418">
        <v>629.29999999999995</v>
      </c>
      <c r="AH619" s="1418">
        <f t="shared" si="229"/>
        <v>0</v>
      </c>
      <c r="AI619" s="1428"/>
      <c r="AO619" s="2504">
        <v>0</v>
      </c>
      <c r="AP619" s="1418">
        <f t="shared" si="237"/>
        <v>0</v>
      </c>
    </row>
    <row r="620" spans="1:42" s="1410" customFormat="1" ht="15.75">
      <c r="A620" s="2102"/>
      <c r="B620" s="1268" t="s">
        <v>2648</v>
      </c>
      <c r="C620" s="1241" t="s">
        <v>3398</v>
      </c>
      <c r="D620" s="1245" t="s">
        <v>2822</v>
      </c>
      <c r="E620" s="1413">
        <v>1</v>
      </c>
      <c r="F620" s="1555">
        <v>521.6</v>
      </c>
      <c r="G620" s="1480">
        <v>530.12</v>
      </c>
      <c r="H620" s="1414">
        <v>534.9</v>
      </c>
      <c r="I620" s="1477">
        <f t="shared" si="224"/>
        <v>521.6</v>
      </c>
      <c r="J620" s="1477">
        <f t="shared" si="225"/>
        <v>530.12</v>
      </c>
      <c r="K620" s="1477">
        <v>0</v>
      </c>
      <c r="L620" s="1477">
        <f t="shared" si="230"/>
        <v>0</v>
      </c>
      <c r="M620" s="1477">
        <v>1</v>
      </c>
      <c r="N620" s="1477">
        <f t="shared" si="231"/>
        <v>1</v>
      </c>
      <c r="O620" s="1477">
        <f t="shared" si="232"/>
        <v>0</v>
      </c>
      <c r="P620" s="1477">
        <f t="shared" si="233"/>
        <v>530.12</v>
      </c>
      <c r="Q620" s="1477">
        <f t="shared" si="234"/>
        <v>534.9</v>
      </c>
      <c r="R620" s="1576">
        <f t="shared" si="235"/>
        <v>534.9</v>
      </c>
      <c r="S620" s="1869">
        <v>1</v>
      </c>
      <c r="T620" s="1866">
        <v>534.9</v>
      </c>
      <c r="U620" s="2442"/>
      <c r="V620" s="1866">
        <f t="shared" si="238"/>
        <v>0</v>
      </c>
      <c r="W620" s="1869">
        <f t="shared" si="242"/>
        <v>1</v>
      </c>
      <c r="X620" s="1870">
        <f t="shared" si="236"/>
        <v>534.9</v>
      </c>
      <c r="Y620" s="1871">
        <f t="shared" si="239"/>
        <v>1</v>
      </c>
      <c r="Z620" s="1694">
        <f t="shared" si="243"/>
        <v>0</v>
      </c>
      <c r="AA620" s="1872">
        <f t="shared" si="240"/>
        <v>0</v>
      </c>
      <c r="AB620" s="1873">
        <f t="shared" si="241"/>
        <v>0</v>
      </c>
      <c r="AC620" s="1418">
        <f t="shared" si="226"/>
        <v>0</v>
      </c>
      <c r="AD620" s="1418">
        <f t="shared" si="227"/>
        <v>0</v>
      </c>
      <c r="AE620" s="1418">
        <v>534.9</v>
      </c>
      <c r="AF620" s="1418">
        <f t="shared" si="228"/>
        <v>0</v>
      </c>
      <c r="AG620" s="1418">
        <v>534.9</v>
      </c>
      <c r="AH620" s="1418">
        <f t="shared" si="229"/>
        <v>0</v>
      </c>
      <c r="AI620" s="1428"/>
      <c r="AO620" s="2504">
        <v>534.9</v>
      </c>
      <c r="AP620" s="1418">
        <f t="shared" si="237"/>
        <v>0</v>
      </c>
    </row>
    <row r="621" spans="1:42" s="1410" customFormat="1" ht="15.75">
      <c r="A621" s="2102"/>
      <c r="B621" s="1268" t="s">
        <v>2649</v>
      </c>
      <c r="C621" s="1241" t="s">
        <v>3399</v>
      </c>
      <c r="D621" s="1245" t="s">
        <v>2822</v>
      </c>
      <c r="E621" s="1413">
        <v>1</v>
      </c>
      <c r="F621" s="1555">
        <v>521.6</v>
      </c>
      <c r="G621" s="1480">
        <v>530.12</v>
      </c>
      <c r="H621" s="1414">
        <v>534.9</v>
      </c>
      <c r="I621" s="1477">
        <f t="shared" si="224"/>
        <v>521.6</v>
      </c>
      <c r="J621" s="1477">
        <f t="shared" si="225"/>
        <v>530.12</v>
      </c>
      <c r="K621" s="1477">
        <v>0</v>
      </c>
      <c r="L621" s="1477">
        <f t="shared" si="230"/>
        <v>0</v>
      </c>
      <c r="M621" s="1477">
        <v>1</v>
      </c>
      <c r="N621" s="1477">
        <f t="shared" si="231"/>
        <v>1</v>
      </c>
      <c r="O621" s="1477">
        <f t="shared" si="232"/>
        <v>0</v>
      </c>
      <c r="P621" s="1477">
        <f t="shared" si="233"/>
        <v>530.12</v>
      </c>
      <c r="Q621" s="1477">
        <f t="shared" si="234"/>
        <v>534.9</v>
      </c>
      <c r="R621" s="1576">
        <f t="shared" si="235"/>
        <v>534.9</v>
      </c>
      <c r="S621" s="1869">
        <v>1</v>
      </c>
      <c r="T621" s="1866">
        <v>534.9</v>
      </c>
      <c r="U621" s="2442"/>
      <c r="V621" s="1866">
        <f t="shared" si="238"/>
        <v>0</v>
      </c>
      <c r="W621" s="1869">
        <f t="shared" si="242"/>
        <v>1</v>
      </c>
      <c r="X621" s="1870">
        <f t="shared" si="236"/>
        <v>534.9</v>
      </c>
      <c r="Y621" s="1871">
        <f t="shared" si="239"/>
        <v>1</v>
      </c>
      <c r="Z621" s="1694">
        <f t="shared" si="243"/>
        <v>0</v>
      </c>
      <c r="AA621" s="1872">
        <f t="shared" si="240"/>
        <v>0</v>
      </c>
      <c r="AB621" s="1873">
        <f t="shared" si="241"/>
        <v>0</v>
      </c>
      <c r="AC621" s="1418">
        <f t="shared" si="226"/>
        <v>0</v>
      </c>
      <c r="AD621" s="1418">
        <f t="shared" si="227"/>
        <v>0</v>
      </c>
      <c r="AE621" s="1418">
        <v>534.9</v>
      </c>
      <c r="AF621" s="1418">
        <f t="shared" si="228"/>
        <v>0</v>
      </c>
      <c r="AG621" s="1418">
        <v>534.9</v>
      </c>
      <c r="AH621" s="1418">
        <f t="shared" si="229"/>
        <v>0</v>
      </c>
      <c r="AI621" s="1428"/>
      <c r="AO621" s="2504">
        <v>534.9</v>
      </c>
      <c r="AP621" s="1418">
        <f t="shared" si="237"/>
        <v>0</v>
      </c>
    </row>
    <row r="622" spans="1:42" s="1410" customFormat="1" ht="15.75">
      <c r="A622" s="2102"/>
      <c r="B622" s="1268" t="s">
        <v>2650</v>
      </c>
      <c r="C622" s="1241" t="s">
        <v>3400</v>
      </c>
      <c r="D622" s="1245" t="s">
        <v>2822</v>
      </c>
      <c r="E622" s="1413">
        <v>1</v>
      </c>
      <c r="F622" s="1555">
        <v>521.6</v>
      </c>
      <c r="G622" s="1480">
        <v>530.12</v>
      </c>
      <c r="H622" s="1414">
        <v>534.9</v>
      </c>
      <c r="I622" s="1477">
        <f t="shared" si="224"/>
        <v>521.6</v>
      </c>
      <c r="J622" s="1477">
        <f t="shared" si="225"/>
        <v>530.12</v>
      </c>
      <c r="K622" s="1477">
        <v>0</v>
      </c>
      <c r="L622" s="1477">
        <f t="shared" si="230"/>
        <v>0</v>
      </c>
      <c r="M622" s="1477">
        <v>1</v>
      </c>
      <c r="N622" s="1477">
        <f t="shared" si="231"/>
        <v>1</v>
      </c>
      <c r="O622" s="1477">
        <f t="shared" si="232"/>
        <v>0</v>
      </c>
      <c r="P622" s="1477">
        <f t="shared" si="233"/>
        <v>530.12</v>
      </c>
      <c r="Q622" s="1477">
        <f t="shared" si="234"/>
        <v>534.9</v>
      </c>
      <c r="R622" s="1576">
        <f t="shared" si="235"/>
        <v>534.9</v>
      </c>
      <c r="S622" s="1869">
        <v>1</v>
      </c>
      <c r="T622" s="1866">
        <v>534.9</v>
      </c>
      <c r="U622" s="2442"/>
      <c r="V622" s="1866">
        <f t="shared" si="238"/>
        <v>0</v>
      </c>
      <c r="W622" s="1869">
        <f t="shared" si="242"/>
        <v>1</v>
      </c>
      <c r="X622" s="1870">
        <f t="shared" si="236"/>
        <v>534.9</v>
      </c>
      <c r="Y622" s="1871">
        <f t="shared" si="239"/>
        <v>1</v>
      </c>
      <c r="Z622" s="1694">
        <f t="shared" si="243"/>
        <v>0</v>
      </c>
      <c r="AA622" s="1872">
        <f t="shared" si="240"/>
        <v>0</v>
      </c>
      <c r="AB622" s="1873">
        <f t="shared" si="241"/>
        <v>0</v>
      </c>
      <c r="AC622" s="1418">
        <f t="shared" si="226"/>
        <v>0</v>
      </c>
      <c r="AD622" s="1418">
        <f t="shared" si="227"/>
        <v>0</v>
      </c>
      <c r="AE622" s="1418">
        <v>534.9</v>
      </c>
      <c r="AF622" s="1418">
        <f t="shared" si="228"/>
        <v>0</v>
      </c>
      <c r="AG622" s="1418">
        <v>534.9</v>
      </c>
      <c r="AH622" s="1418">
        <f t="shared" si="229"/>
        <v>0</v>
      </c>
      <c r="AI622" s="1428"/>
      <c r="AO622" s="2504">
        <v>534.9</v>
      </c>
      <c r="AP622" s="1418">
        <f t="shared" si="237"/>
        <v>0</v>
      </c>
    </row>
    <row r="623" spans="1:42" s="1410" customFormat="1" ht="15.75">
      <c r="A623" s="2102"/>
      <c r="B623" s="1268" t="s">
        <v>2651</v>
      </c>
      <c r="C623" s="1241" t="s">
        <v>3401</v>
      </c>
      <c r="D623" s="1245" t="s">
        <v>2822</v>
      </c>
      <c r="E623" s="1413">
        <v>1</v>
      </c>
      <c r="F623" s="1555">
        <v>521.6</v>
      </c>
      <c r="G623" s="1480">
        <v>530.12</v>
      </c>
      <c r="H623" s="1414">
        <v>534.9</v>
      </c>
      <c r="I623" s="1477">
        <f t="shared" si="224"/>
        <v>521.6</v>
      </c>
      <c r="J623" s="1477">
        <f t="shared" si="225"/>
        <v>530.12</v>
      </c>
      <c r="K623" s="1477">
        <v>0</v>
      </c>
      <c r="L623" s="1477">
        <f t="shared" si="230"/>
        <v>0</v>
      </c>
      <c r="M623" s="1477">
        <v>1</v>
      </c>
      <c r="N623" s="1477">
        <f t="shared" si="231"/>
        <v>1</v>
      </c>
      <c r="O623" s="1477">
        <f t="shared" si="232"/>
        <v>0</v>
      </c>
      <c r="P623" s="1477">
        <f t="shared" si="233"/>
        <v>530.12</v>
      </c>
      <c r="Q623" s="1477">
        <f t="shared" si="234"/>
        <v>534.9</v>
      </c>
      <c r="R623" s="1576">
        <f t="shared" si="235"/>
        <v>534.9</v>
      </c>
      <c r="S623" s="1869">
        <v>1</v>
      </c>
      <c r="T623" s="1866">
        <v>534.9</v>
      </c>
      <c r="U623" s="2442"/>
      <c r="V623" s="1866">
        <f t="shared" si="238"/>
        <v>0</v>
      </c>
      <c r="W623" s="1869">
        <f t="shared" si="242"/>
        <v>1</v>
      </c>
      <c r="X623" s="1870">
        <f t="shared" si="236"/>
        <v>534.9</v>
      </c>
      <c r="Y623" s="1871">
        <f t="shared" si="239"/>
        <v>1</v>
      </c>
      <c r="Z623" s="1694">
        <f t="shared" si="243"/>
        <v>0</v>
      </c>
      <c r="AA623" s="1872">
        <f t="shared" si="240"/>
        <v>0</v>
      </c>
      <c r="AB623" s="1873">
        <f t="shared" si="241"/>
        <v>0</v>
      </c>
      <c r="AC623" s="1418">
        <f t="shared" si="226"/>
        <v>0</v>
      </c>
      <c r="AD623" s="1418">
        <f t="shared" si="227"/>
        <v>0</v>
      </c>
      <c r="AE623" s="1418">
        <v>534.9</v>
      </c>
      <c r="AF623" s="1418">
        <f t="shared" si="228"/>
        <v>0</v>
      </c>
      <c r="AG623" s="1418">
        <v>534.9</v>
      </c>
      <c r="AH623" s="1418">
        <f t="shared" si="229"/>
        <v>0</v>
      </c>
      <c r="AI623" s="1428"/>
      <c r="AO623" s="2504">
        <v>534.9</v>
      </c>
      <c r="AP623" s="1418">
        <f t="shared" si="237"/>
        <v>0</v>
      </c>
    </row>
    <row r="624" spans="1:42" s="1410" customFormat="1" ht="15.75">
      <c r="A624" s="2102"/>
      <c r="B624" s="1268" t="s">
        <v>2652</v>
      </c>
      <c r="C624" s="1241" t="s">
        <v>3402</v>
      </c>
      <c r="D624" s="1245" t="s">
        <v>2822</v>
      </c>
      <c r="E624" s="1413">
        <v>1</v>
      </c>
      <c r="F624" s="1555">
        <v>604.20000000000005</v>
      </c>
      <c r="G624" s="1480">
        <v>612.72</v>
      </c>
      <c r="H624" s="1414">
        <v>617.5</v>
      </c>
      <c r="I624" s="1477">
        <f t="shared" si="224"/>
        <v>604.20000000000005</v>
      </c>
      <c r="J624" s="1477">
        <f t="shared" si="225"/>
        <v>612.72</v>
      </c>
      <c r="K624" s="1477">
        <v>0</v>
      </c>
      <c r="L624" s="1477">
        <f t="shared" si="230"/>
        <v>0</v>
      </c>
      <c r="M624" s="1477">
        <v>1</v>
      </c>
      <c r="N624" s="1477">
        <f t="shared" si="231"/>
        <v>1</v>
      </c>
      <c r="O624" s="1477">
        <f t="shared" si="232"/>
        <v>0</v>
      </c>
      <c r="P624" s="1477">
        <f t="shared" si="233"/>
        <v>612.72</v>
      </c>
      <c r="Q624" s="1477">
        <f t="shared" si="234"/>
        <v>617.5</v>
      </c>
      <c r="R624" s="1576">
        <f t="shared" si="235"/>
        <v>617.5</v>
      </c>
      <c r="S624" s="1869">
        <v>1</v>
      </c>
      <c r="T624" s="1866">
        <v>617.5</v>
      </c>
      <c r="U624" s="2442"/>
      <c r="V624" s="1866">
        <f t="shared" si="238"/>
        <v>0</v>
      </c>
      <c r="W624" s="1869">
        <f t="shared" si="242"/>
        <v>1</v>
      </c>
      <c r="X624" s="1870">
        <f t="shared" si="236"/>
        <v>617.5</v>
      </c>
      <c r="Y624" s="1871">
        <f t="shared" si="239"/>
        <v>1</v>
      </c>
      <c r="Z624" s="1694">
        <f t="shared" si="243"/>
        <v>0</v>
      </c>
      <c r="AA624" s="1872">
        <f t="shared" si="240"/>
        <v>0</v>
      </c>
      <c r="AB624" s="1873">
        <f t="shared" si="241"/>
        <v>0</v>
      </c>
      <c r="AC624" s="1418">
        <f t="shared" si="226"/>
        <v>0</v>
      </c>
      <c r="AD624" s="1418">
        <f t="shared" si="227"/>
        <v>0</v>
      </c>
      <c r="AE624" s="1418">
        <v>617.5</v>
      </c>
      <c r="AF624" s="1418">
        <f t="shared" si="228"/>
        <v>0</v>
      </c>
      <c r="AG624" s="1418">
        <v>617.5</v>
      </c>
      <c r="AH624" s="1418">
        <f t="shared" si="229"/>
        <v>0</v>
      </c>
      <c r="AI624" s="1428"/>
      <c r="AO624" s="2504">
        <v>617.5</v>
      </c>
      <c r="AP624" s="1418">
        <f t="shared" si="237"/>
        <v>0</v>
      </c>
    </row>
    <row r="625" spans="1:42" s="1410" customFormat="1" ht="15.75">
      <c r="A625" s="2102"/>
      <c r="B625" s="1268" t="s">
        <v>2653</v>
      </c>
      <c r="C625" s="1241" t="s">
        <v>3403</v>
      </c>
      <c r="D625" s="1245" t="s">
        <v>2822</v>
      </c>
      <c r="E625" s="1413">
        <v>1</v>
      </c>
      <c r="F625" s="1555">
        <v>604.20000000000005</v>
      </c>
      <c r="G625" s="1480">
        <v>612.72</v>
      </c>
      <c r="H625" s="1414">
        <v>617.5</v>
      </c>
      <c r="I625" s="1477">
        <f t="shared" si="224"/>
        <v>604.20000000000005</v>
      </c>
      <c r="J625" s="1477">
        <f t="shared" si="225"/>
        <v>612.72</v>
      </c>
      <c r="K625" s="1477">
        <v>0</v>
      </c>
      <c r="L625" s="1477">
        <f t="shared" si="230"/>
        <v>0</v>
      </c>
      <c r="M625" s="1477">
        <v>1</v>
      </c>
      <c r="N625" s="1477">
        <f t="shared" si="231"/>
        <v>1</v>
      </c>
      <c r="O625" s="1477">
        <f t="shared" si="232"/>
        <v>0</v>
      </c>
      <c r="P625" s="1477">
        <f t="shared" si="233"/>
        <v>612.72</v>
      </c>
      <c r="Q625" s="1477">
        <f t="shared" si="234"/>
        <v>617.5</v>
      </c>
      <c r="R625" s="1576">
        <f t="shared" si="235"/>
        <v>617.5</v>
      </c>
      <c r="S625" s="1869">
        <v>1</v>
      </c>
      <c r="T625" s="1866">
        <v>617.5</v>
      </c>
      <c r="U625" s="2442"/>
      <c r="V625" s="1866">
        <f t="shared" si="238"/>
        <v>0</v>
      </c>
      <c r="W625" s="1869">
        <f t="shared" si="242"/>
        <v>1</v>
      </c>
      <c r="X625" s="1870">
        <f t="shared" si="236"/>
        <v>617.5</v>
      </c>
      <c r="Y625" s="1871">
        <f t="shared" si="239"/>
        <v>1</v>
      </c>
      <c r="Z625" s="1694">
        <f t="shared" si="243"/>
        <v>0</v>
      </c>
      <c r="AA625" s="1872">
        <f t="shared" si="240"/>
        <v>0</v>
      </c>
      <c r="AB625" s="1873">
        <f t="shared" si="241"/>
        <v>0</v>
      </c>
      <c r="AC625" s="1418">
        <f t="shared" si="226"/>
        <v>0</v>
      </c>
      <c r="AD625" s="1418">
        <f t="shared" si="227"/>
        <v>0</v>
      </c>
      <c r="AE625" s="1418">
        <v>617.5</v>
      </c>
      <c r="AF625" s="1418">
        <f t="shared" si="228"/>
        <v>0</v>
      </c>
      <c r="AG625" s="1418">
        <v>617.5</v>
      </c>
      <c r="AH625" s="1418">
        <f t="shared" si="229"/>
        <v>0</v>
      </c>
      <c r="AI625" s="1428"/>
      <c r="AO625" s="2504">
        <v>617.5</v>
      </c>
      <c r="AP625" s="1418">
        <f t="shared" si="237"/>
        <v>0</v>
      </c>
    </row>
    <row r="626" spans="1:42" s="1410" customFormat="1" ht="15.75">
      <c r="A626" s="2102"/>
      <c r="B626" s="1268" t="s">
        <v>2654</v>
      </c>
      <c r="C626" s="1241" t="s">
        <v>3404</v>
      </c>
      <c r="D626" s="1245" t="s">
        <v>2822</v>
      </c>
      <c r="E626" s="1413">
        <v>1</v>
      </c>
      <c r="F626" s="1555">
        <v>604.20000000000005</v>
      </c>
      <c r="G626" s="1480">
        <v>612.72</v>
      </c>
      <c r="H626" s="1414">
        <v>617.5</v>
      </c>
      <c r="I626" s="1477">
        <f t="shared" si="224"/>
        <v>604.20000000000005</v>
      </c>
      <c r="J626" s="1477">
        <f t="shared" si="225"/>
        <v>612.72</v>
      </c>
      <c r="K626" s="1477">
        <v>0</v>
      </c>
      <c r="L626" s="1477">
        <f t="shared" si="230"/>
        <v>0</v>
      </c>
      <c r="M626" s="1477">
        <v>1</v>
      </c>
      <c r="N626" s="1477">
        <f t="shared" si="231"/>
        <v>1</v>
      </c>
      <c r="O626" s="1477">
        <f t="shared" si="232"/>
        <v>0</v>
      </c>
      <c r="P626" s="1477">
        <f t="shared" si="233"/>
        <v>612.72</v>
      </c>
      <c r="Q626" s="1477">
        <f t="shared" si="234"/>
        <v>617.5</v>
      </c>
      <c r="R626" s="1576">
        <f t="shared" si="235"/>
        <v>617.5</v>
      </c>
      <c r="S626" s="1869">
        <v>1</v>
      </c>
      <c r="T626" s="1866">
        <v>617.5</v>
      </c>
      <c r="U626" s="2442"/>
      <c r="V626" s="1866">
        <f t="shared" si="238"/>
        <v>0</v>
      </c>
      <c r="W626" s="1869">
        <f t="shared" si="242"/>
        <v>1</v>
      </c>
      <c r="X626" s="1870">
        <f t="shared" si="236"/>
        <v>617.5</v>
      </c>
      <c r="Y626" s="1871">
        <f t="shared" si="239"/>
        <v>1</v>
      </c>
      <c r="Z626" s="1694">
        <f t="shared" si="243"/>
        <v>0</v>
      </c>
      <c r="AA626" s="1872">
        <f t="shared" si="240"/>
        <v>0</v>
      </c>
      <c r="AB626" s="1873">
        <f t="shared" si="241"/>
        <v>0</v>
      </c>
      <c r="AC626" s="1418">
        <f t="shared" si="226"/>
        <v>0</v>
      </c>
      <c r="AD626" s="1418">
        <f t="shared" si="227"/>
        <v>0</v>
      </c>
      <c r="AE626" s="1418">
        <v>617.5</v>
      </c>
      <c r="AF626" s="1418">
        <f t="shared" si="228"/>
        <v>0</v>
      </c>
      <c r="AG626" s="1418">
        <v>617.5</v>
      </c>
      <c r="AH626" s="1418">
        <f t="shared" si="229"/>
        <v>0</v>
      </c>
      <c r="AI626" s="1428"/>
      <c r="AO626" s="2504">
        <v>617.5</v>
      </c>
      <c r="AP626" s="1418">
        <f t="shared" si="237"/>
        <v>0</v>
      </c>
    </row>
    <row r="627" spans="1:42" s="1410" customFormat="1" ht="15.75">
      <c r="A627" s="2102"/>
      <c r="B627" s="1268" t="s">
        <v>2655</v>
      </c>
      <c r="C627" s="1241" t="s">
        <v>3405</v>
      </c>
      <c r="D627" s="1245" t="s">
        <v>2822</v>
      </c>
      <c r="E627" s="1413">
        <v>1</v>
      </c>
      <c r="F627" s="1555">
        <v>604.20000000000005</v>
      </c>
      <c r="G627" s="1480">
        <v>612.72</v>
      </c>
      <c r="H627" s="1414">
        <v>617.5</v>
      </c>
      <c r="I627" s="1477">
        <f t="shared" si="224"/>
        <v>604.20000000000005</v>
      </c>
      <c r="J627" s="1477">
        <f t="shared" si="225"/>
        <v>612.72</v>
      </c>
      <c r="K627" s="1477">
        <v>0</v>
      </c>
      <c r="L627" s="1477">
        <f t="shared" si="230"/>
        <v>0</v>
      </c>
      <c r="M627" s="1477">
        <v>1</v>
      </c>
      <c r="N627" s="1477">
        <f t="shared" si="231"/>
        <v>1</v>
      </c>
      <c r="O627" s="1477">
        <f t="shared" si="232"/>
        <v>0</v>
      </c>
      <c r="P627" s="1477">
        <f t="shared" si="233"/>
        <v>612.72</v>
      </c>
      <c r="Q627" s="1477">
        <f t="shared" si="234"/>
        <v>617.5</v>
      </c>
      <c r="R627" s="1576">
        <f t="shared" si="235"/>
        <v>617.5</v>
      </c>
      <c r="S627" s="1869">
        <v>1</v>
      </c>
      <c r="T627" s="1866">
        <v>617.5</v>
      </c>
      <c r="U627" s="2442"/>
      <c r="V627" s="1866">
        <f t="shared" si="238"/>
        <v>0</v>
      </c>
      <c r="W627" s="1869">
        <f t="shared" si="242"/>
        <v>1</v>
      </c>
      <c r="X627" s="1870">
        <f t="shared" si="236"/>
        <v>617.5</v>
      </c>
      <c r="Y627" s="1871">
        <f t="shared" si="239"/>
        <v>1</v>
      </c>
      <c r="Z627" s="1694">
        <f t="shared" si="243"/>
        <v>0</v>
      </c>
      <c r="AA627" s="1872">
        <f t="shared" si="240"/>
        <v>0</v>
      </c>
      <c r="AB627" s="1873">
        <f t="shared" si="241"/>
        <v>0</v>
      </c>
      <c r="AC627" s="1418">
        <f t="shared" si="226"/>
        <v>0</v>
      </c>
      <c r="AD627" s="1418">
        <f t="shared" si="227"/>
        <v>0</v>
      </c>
      <c r="AE627" s="1418">
        <v>617.5</v>
      </c>
      <c r="AF627" s="1418">
        <f t="shared" si="228"/>
        <v>0</v>
      </c>
      <c r="AG627" s="1418">
        <v>617.5</v>
      </c>
      <c r="AH627" s="1418">
        <f t="shared" si="229"/>
        <v>0</v>
      </c>
      <c r="AI627" s="1428"/>
      <c r="AO627" s="2504">
        <v>617.5</v>
      </c>
      <c r="AP627" s="1418">
        <f t="shared" si="237"/>
        <v>0</v>
      </c>
    </row>
    <row r="628" spans="1:42" s="1410" customFormat="1" ht="15.75">
      <c r="A628" s="2102"/>
      <c r="B628" s="1268" t="s">
        <v>2656</v>
      </c>
      <c r="C628" s="1241" t="s">
        <v>3406</v>
      </c>
      <c r="D628" s="1245" t="s">
        <v>2822</v>
      </c>
      <c r="E628" s="1413">
        <v>1</v>
      </c>
      <c r="F628" s="1555">
        <v>604.20000000000005</v>
      </c>
      <c r="G628" s="1480">
        <v>612.72</v>
      </c>
      <c r="H628" s="1414">
        <v>617.5</v>
      </c>
      <c r="I628" s="1477">
        <f t="shared" si="224"/>
        <v>604.20000000000005</v>
      </c>
      <c r="J628" s="1477">
        <f t="shared" si="225"/>
        <v>612.72</v>
      </c>
      <c r="K628" s="1477">
        <v>0</v>
      </c>
      <c r="L628" s="1477">
        <f t="shared" si="230"/>
        <v>0</v>
      </c>
      <c r="M628" s="1477">
        <v>1</v>
      </c>
      <c r="N628" s="1477">
        <f t="shared" si="231"/>
        <v>1</v>
      </c>
      <c r="O628" s="1477">
        <f t="shared" si="232"/>
        <v>0</v>
      </c>
      <c r="P628" s="1477">
        <f t="shared" si="233"/>
        <v>612.72</v>
      </c>
      <c r="Q628" s="1477">
        <f t="shared" si="234"/>
        <v>617.5</v>
      </c>
      <c r="R628" s="1576">
        <f t="shared" si="235"/>
        <v>617.5</v>
      </c>
      <c r="S628" s="1869">
        <v>1</v>
      </c>
      <c r="T628" s="1866">
        <v>617.5</v>
      </c>
      <c r="U628" s="2442"/>
      <c r="V628" s="1866">
        <f t="shared" si="238"/>
        <v>0</v>
      </c>
      <c r="W628" s="1869">
        <f t="shared" si="242"/>
        <v>1</v>
      </c>
      <c r="X628" s="1870">
        <f t="shared" si="236"/>
        <v>617.5</v>
      </c>
      <c r="Y628" s="1871">
        <f t="shared" si="239"/>
        <v>1</v>
      </c>
      <c r="Z628" s="1694">
        <f t="shared" si="243"/>
        <v>0</v>
      </c>
      <c r="AA628" s="1872">
        <f t="shared" si="240"/>
        <v>0</v>
      </c>
      <c r="AB628" s="1873">
        <f t="shared" si="241"/>
        <v>0</v>
      </c>
      <c r="AC628" s="1418">
        <f t="shared" si="226"/>
        <v>0</v>
      </c>
      <c r="AD628" s="1418">
        <f t="shared" si="227"/>
        <v>0</v>
      </c>
      <c r="AE628" s="1418">
        <v>617.5</v>
      </c>
      <c r="AF628" s="1418">
        <f t="shared" si="228"/>
        <v>0</v>
      </c>
      <c r="AG628" s="1418">
        <v>617.5</v>
      </c>
      <c r="AH628" s="1418">
        <f t="shared" si="229"/>
        <v>0</v>
      </c>
      <c r="AI628" s="1428"/>
      <c r="AO628" s="2504">
        <v>617.5</v>
      </c>
      <c r="AP628" s="1418">
        <f t="shared" si="237"/>
        <v>0</v>
      </c>
    </row>
    <row r="629" spans="1:42" s="1410" customFormat="1" ht="15.75">
      <c r="A629" s="2102"/>
      <c r="B629" s="1268" t="s">
        <v>2657</v>
      </c>
      <c r="C629" s="1241" t="s">
        <v>3407</v>
      </c>
      <c r="D629" s="1245" t="s">
        <v>2822</v>
      </c>
      <c r="E629" s="1413">
        <v>1</v>
      </c>
      <c r="F629" s="1555">
        <v>604.20000000000005</v>
      </c>
      <c r="G629" s="1480">
        <v>612.72</v>
      </c>
      <c r="H629" s="1414">
        <v>617.5</v>
      </c>
      <c r="I629" s="1477">
        <f t="shared" si="224"/>
        <v>604.20000000000005</v>
      </c>
      <c r="J629" s="1477">
        <f t="shared" si="225"/>
        <v>612.72</v>
      </c>
      <c r="K629" s="1477">
        <v>0</v>
      </c>
      <c r="L629" s="1477">
        <f t="shared" si="230"/>
        <v>0</v>
      </c>
      <c r="M629" s="1477">
        <v>1</v>
      </c>
      <c r="N629" s="1477">
        <f t="shared" si="231"/>
        <v>1</v>
      </c>
      <c r="O629" s="1477">
        <f t="shared" si="232"/>
        <v>0</v>
      </c>
      <c r="P629" s="1477">
        <f t="shared" si="233"/>
        <v>612.72</v>
      </c>
      <c r="Q629" s="1477">
        <f t="shared" si="234"/>
        <v>617.5</v>
      </c>
      <c r="R629" s="1576">
        <f t="shared" si="235"/>
        <v>617.5</v>
      </c>
      <c r="S629" s="1869">
        <v>1</v>
      </c>
      <c r="T629" s="1866">
        <v>617.5</v>
      </c>
      <c r="U629" s="2442"/>
      <c r="V629" s="1866">
        <f t="shared" si="238"/>
        <v>0</v>
      </c>
      <c r="W629" s="1869">
        <f t="shared" si="242"/>
        <v>1</v>
      </c>
      <c r="X629" s="1870">
        <f t="shared" si="236"/>
        <v>617.5</v>
      </c>
      <c r="Y629" s="1871">
        <f t="shared" si="239"/>
        <v>1</v>
      </c>
      <c r="Z629" s="1694">
        <f t="shared" si="243"/>
        <v>0</v>
      </c>
      <c r="AA629" s="1872">
        <f t="shared" si="240"/>
        <v>0</v>
      </c>
      <c r="AB629" s="1873">
        <f t="shared" si="241"/>
        <v>0</v>
      </c>
      <c r="AC629" s="1418">
        <f t="shared" si="226"/>
        <v>0</v>
      </c>
      <c r="AD629" s="1418">
        <f t="shared" si="227"/>
        <v>0</v>
      </c>
      <c r="AE629" s="1418">
        <v>617.5</v>
      </c>
      <c r="AF629" s="1418">
        <f t="shared" si="228"/>
        <v>0</v>
      </c>
      <c r="AG629" s="1418">
        <v>617.5</v>
      </c>
      <c r="AH629" s="1418">
        <f t="shared" si="229"/>
        <v>0</v>
      </c>
      <c r="AI629" s="1428"/>
      <c r="AO629" s="2504">
        <v>617.5</v>
      </c>
      <c r="AP629" s="1418">
        <f t="shared" si="237"/>
        <v>0</v>
      </c>
    </row>
    <row r="630" spans="1:42" s="1410" customFormat="1" ht="15.75">
      <c r="A630" s="2102"/>
      <c r="B630" s="1268" t="s">
        <v>2658</v>
      </c>
      <c r="C630" s="1241" t="s">
        <v>3408</v>
      </c>
      <c r="D630" s="1245" t="s">
        <v>2822</v>
      </c>
      <c r="E630" s="1413">
        <v>1</v>
      </c>
      <c r="F630" s="1555">
        <v>604.20000000000005</v>
      </c>
      <c r="G630" s="1480">
        <v>612.72</v>
      </c>
      <c r="H630" s="1414">
        <v>617.5</v>
      </c>
      <c r="I630" s="1477">
        <f t="shared" si="224"/>
        <v>604.20000000000005</v>
      </c>
      <c r="J630" s="1477">
        <f t="shared" si="225"/>
        <v>612.72</v>
      </c>
      <c r="K630" s="1477">
        <v>0</v>
      </c>
      <c r="L630" s="1477">
        <f t="shared" si="230"/>
        <v>0</v>
      </c>
      <c r="M630" s="1477">
        <v>1</v>
      </c>
      <c r="N630" s="1477">
        <f t="shared" si="231"/>
        <v>1</v>
      </c>
      <c r="O630" s="1477">
        <f t="shared" si="232"/>
        <v>0</v>
      </c>
      <c r="P630" s="1477">
        <f t="shared" si="233"/>
        <v>612.72</v>
      </c>
      <c r="Q630" s="1477">
        <f t="shared" si="234"/>
        <v>617.5</v>
      </c>
      <c r="R630" s="1576">
        <f t="shared" si="235"/>
        <v>617.5</v>
      </c>
      <c r="S630" s="1869">
        <v>1</v>
      </c>
      <c r="T630" s="1866">
        <v>617.5</v>
      </c>
      <c r="U630" s="2442"/>
      <c r="V630" s="1866">
        <f t="shared" si="238"/>
        <v>0</v>
      </c>
      <c r="W630" s="1869">
        <f t="shared" si="242"/>
        <v>1</v>
      </c>
      <c r="X630" s="1870">
        <f t="shared" si="236"/>
        <v>617.5</v>
      </c>
      <c r="Y630" s="1871">
        <f t="shared" si="239"/>
        <v>1</v>
      </c>
      <c r="Z630" s="1694">
        <f t="shared" si="243"/>
        <v>0</v>
      </c>
      <c r="AA630" s="1872">
        <f t="shared" si="240"/>
        <v>0</v>
      </c>
      <c r="AB630" s="1873">
        <f t="shared" si="241"/>
        <v>0</v>
      </c>
      <c r="AC630" s="1418">
        <f t="shared" si="226"/>
        <v>0</v>
      </c>
      <c r="AD630" s="1418">
        <f t="shared" si="227"/>
        <v>0</v>
      </c>
      <c r="AE630" s="1418">
        <v>617.5</v>
      </c>
      <c r="AF630" s="1418">
        <f t="shared" si="228"/>
        <v>0</v>
      </c>
      <c r="AG630" s="1418">
        <v>617.5</v>
      </c>
      <c r="AH630" s="1418">
        <f t="shared" si="229"/>
        <v>0</v>
      </c>
      <c r="AI630" s="1428"/>
      <c r="AO630" s="2504">
        <v>617.5</v>
      </c>
      <c r="AP630" s="1418">
        <f t="shared" si="237"/>
        <v>0</v>
      </c>
    </row>
    <row r="631" spans="1:42" s="1410" customFormat="1" ht="15.75">
      <c r="A631" s="2102"/>
      <c r="B631" s="1268" t="s">
        <v>2659</v>
      </c>
      <c r="C631" s="1241" t="s">
        <v>3409</v>
      </c>
      <c r="D631" s="1245" t="s">
        <v>2822</v>
      </c>
      <c r="E631" s="1413">
        <v>1</v>
      </c>
      <c r="F631" s="1555">
        <v>521.6</v>
      </c>
      <c r="G631" s="1480">
        <v>530.12</v>
      </c>
      <c r="H631" s="1414">
        <v>534.9</v>
      </c>
      <c r="I631" s="1477">
        <f t="shared" si="224"/>
        <v>521.6</v>
      </c>
      <c r="J631" s="1477">
        <f t="shared" si="225"/>
        <v>530.12</v>
      </c>
      <c r="K631" s="1477">
        <v>0</v>
      </c>
      <c r="L631" s="1477">
        <f t="shared" si="230"/>
        <v>0</v>
      </c>
      <c r="M631" s="1477">
        <v>1</v>
      </c>
      <c r="N631" s="1477">
        <f t="shared" si="231"/>
        <v>1</v>
      </c>
      <c r="O631" s="1477">
        <f t="shared" si="232"/>
        <v>0</v>
      </c>
      <c r="P631" s="1477">
        <f t="shared" si="233"/>
        <v>530.12</v>
      </c>
      <c r="Q631" s="1477">
        <f t="shared" si="234"/>
        <v>534.9</v>
      </c>
      <c r="R631" s="1576">
        <f t="shared" si="235"/>
        <v>534.9</v>
      </c>
      <c r="S631" s="1869">
        <v>1</v>
      </c>
      <c r="T631" s="1866">
        <v>534.9</v>
      </c>
      <c r="U631" s="2442"/>
      <c r="V631" s="1866">
        <f t="shared" si="238"/>
        <v>0</v>
      </c>
      <c r="W631" s="1869">
        <f t="shared" si="242"/>
        <v>1</v>
      </c>
      <c r="X631" s="1870">
        <f t="shared" si="236"/>
        <v>534.9</v>
      </c>
      <c r="Y631" s="1871">
        <f t="shared" si="239"/>
        <v>1</v>
      </c>
      <c r="Z631" s="1694">
        <f t="shared" si="243"/>
        <v>0</v>
      </c>
      <c r="AA631" s="1872">
        <f t="shared" si="240"/>
        <v>0</v>
      </c>
      <c r="AB631" s="1873">
        <f t="shared" si="241"/>
        <v>0</v>
      </c>
      <c r="AC631" s="1418">
        <f t="shared" si="226"/>
        <v>0</v>
      </c>
      <c r="AD631" s="1418">
        <f t="shared" si="227"/>
        <v>0</v>
      </c>
      <c r="AE631" s="1418">
        <v>534.9</v>
      </c>
      <c r="AF631" s="1418">
        <f t="shared" si="228"/>
        <v>0</v>
      </c>
      <c r="AG631" s="1418">
        <v>534.9</v>
      </c>
      <c r="AH631" s="1418">
        <f t="shared" si="229"/>
        <v>0</v>
      </c>
      <c r="AI631" s="1428"/>
      <c r="AO631" s="2504">
        <v>534.9</v>
      </c>
      <c r="AP631" s="1418">
        <f t="shared" si="237"/>
        <v>0</v>
      </c>
    </row>
    <row r="632" spans="1:42" s="1410" customFormat="1" ht="15.75">
      <c r="A632" s="2102"/>
      <c r="B632" s="1268" t="s">
        <v>2660</v>
      </c>
      <c r="C632" s="1241" t="s">
        <v>3410</v>
      </c>
      <c r="D632" s="1245" t="s">
        <v>2822</v>
      </c>
      <c r="E632" s="1413">
        <v>1</v>
      </c>
      <c r="F632" s="1555">
        <v>604.20000000000005</v>
      </c>
      <c r="G632" s="1480">
        <v>612.72</v>
      </c>
      <c r="H632" s="1414">
        <v>617.5</v>
      </c>
      <c r="I632" s="1477">
        <f t="shared" si="224"/>
        <v>604.20000000000005</v>
      </c>
      <c r="J632" s="1477">
        <f t="shared" si="225"/>
        <v>612.72</v>
      </c>
      <c r="K632" s="1477">
        <v>0</v>
      </c>
      <c r="L632" s="1477">
        <f t="shared" si="230"/>
        <v>0</v>
      </c>
      <c r="M632" s="1477">
        <v>1</v>
      </c>
      <c r="N632" s="1477">
        <f t="shared" si="231"/>
        <v>1</v>
      </c>
      <c r="O632" s="1477">
        <f t="shared" si="232"/>
        <v>0</v>
      </c>
      <c r="P632" s="1477">
        <f t="shared" si="233"/>
        <v>612.72</v>
      </c>
      <c r="Q632" s="1477">
        <f t="shared" si="234"/>
        <v>617.5</v>
      </c>
      <c r="R632" s="1576">
        <f t="shared" si="235"/>
        <v>617.5</v>
      </c>
      <c r="S632" s="1869">
        <v>1</v>
      </c>
      <c r="T632" s="1866">
        <v>617.5</v>
      </c>
      <c r="U632" s="2442"/>
      <c r="V632" s="1866">
        <f t="shared" si="238"/>
        <v>0</v>
      </c>
      <c r="W632" s="1869">
        <f t="shared" si="242"/>
        <v>1</v>
      </c>
      <c r="X632" s="1870">
        <f t="shared" si="236"/>
        <v>617.5</v>
      </c>
      <c r="Y632" s="1871">
        <f t="shared" si="239"/>
        <v>1</v>
      </c>
      <c r="Z632" s="1694">
        <f t="shared" si="243"/>
        <v>0</v>
      </c>
      <c r="AA632" s="1872">
        <f t="shared" si="240"/>
        <v>0</v>
      </c>
      <c r="AB632" s="1873">
        <f t="shared" si="241"/>
        <v>0</v>
      </c>
      <c r="AC632" s="1418">
        <f t="shared" si="226"/>
        <v>0</v>
      </c>
      <c r="AD632" s="1418">
        <f t="shared" si="227"/>
        <v>0</v>
      </c>
      <c r="AE632" s="1418">
        <v>617.5</v>
      </c>
      <c r="AF632" s="1418">
        <f t="shared" si="228"/>
        <v>0</v>
      </c>
      <c r="AG632" s="1418">
        <v>617.5</v>
      </c>
      <c r="AH632" s="1418">
        <f t="shared" si="229"/>
        <v>0</v>
      </c>
      <c r="AI632" s="1428"/>
      <c r="AO632" s="2504">
        <v>617.5</v>
      </c>
      <c r="AP632" s="1418">
        <f t="shared" si="237"/>
        <v>0</v>
      </c>
    </row>
    <row r="633" spans="1:42" s="1410" customFormat="1" ht="15.75">
      <c r="A633" s="2102"/>
      <c r="B633" s="1268" t="s">
        <v>2661</v>
      </c>
      <c r="C633" s="1241" t="s">
        <v>3411</v>
      </c>
      <c r="D633" s="1245" t="s">
        <v>2822</v>
      </c>
      <c r="E633" s="1413">
        <v>1</v>
      </c>
      <c r="F633" s="1555">
        <v>604.20000000000005</v>
      </c>
      <c r="G633" s="1480">
        <v>612.72</v>
      </c>
      <c r="H633" s="1414">
        <v>617.5</v>
      </c>
      <c r="I633" s="1477">
        <f t="shared" si="224"/>
        <v>604.20000000000005</v>
      </c>
      <c r="J633" s="1477">
        <f t="shared" si="225"/>
        <v>612.72</v>
      </c>
      <c r="K633" s="1477">
        <v>0</v>
      </c>
      <c r="L633" s="1477">
        <f t="shared" si="230"/>
        <v>0</v>
      </c>
      <c r="M633" s="1477">
        <v>1</v>
      </c>
      <c r="N633" s="1477">
        <f t="shared" si="231"/>
        <v>1</v>
      </c>
      <c r="O633" s="1477">
        <f t="shared" si="232"/>
        <v>0</v>
      </c>
      <c r="P633" s="1477">
        <f t="shared" si="233"/>
        <v>612.72</v>
      </c>
      <c r="Q633" s="1477">
        <f t="shared" si="234"/>
        <v>617.5</v>
      </c>
      <c r="R633" s="1576">
        <f t="shared" si="235"/>
        <v>617.5</v>
      </c>
      <c r="S633" s="1869">
        <v>1</v>
      </c>
      <c r="T633" s="1866">
        <v>617.5</v>
      </c>
      <c r="U633" s="2442"/>
      <c r="V633" s="1866">
        <f t="shared" si="238"/>
        <v>0</v>
      </c>
      <c r="W633" s="1869">
        <f t="shared" si="242"/>
        <v>1</v>
      </c>
      <c r="X633" s="1870">
        <f t="shared" si="236"/>
        <v>617.5</v>
      </c>
      <c r="Y633" s="1871">
        <f t="shared" si="239"/>
        <v>1</v>
      </c>
      <c r="Z633" s="1694">
        <f t="shared" si="243"/>
        <v>0</v>
      </c>
      <c r="AA633" s="1872">
        <f t="shared" si="240"/>
        <v>0</v>
      </c>
      <c r="AB633" s="1873">
        <f t="shared" si="241"/>
        <v>0</v>
      </c>
      <c r="AC633" s="1418">
        <f t="shared" si="226"/>
        <v>0</v>
      </c>
      <c r="AD633" s="1418">
        <f t="shared" si="227"/>
        <v>0</v>
      </c>
      <c r="AE633" s="1418">
        <v>617.5</v>
      </c>
      <c r="AF633" s="1418">
        <f t="shared" si="228"/>
        <v>0</v>
      </c>
      <c r="AG633" s="1418">
        <v>617.5</v>
      </c>
      <c r="AH633" s="1418">
        <f t="shared" si="229"/>
        <v>0</v>
      </c>
      <c r="AI633" s="1428"/>
      <c r="AO633" s="2504">
        <v>617.5</v>
      </c>
      <c r="AP633" s="1418">
        <f t="shared" si="237"/>
        <v>0</v>
      </c>
    </row>
    <row r="634" spans="1:42" s="1410" customFormat="1" ht="15.75">
      <c r="A634" s="2102"/>
      <c r="B634" s="1268" t="s">
        <v>2662</v>
      </c>
      <c r="C634" s="1241" t="s">
        <v>3412</v>
      </c>
      <c r="D634" s="1245" t="s">
        <v>2822</v>
      </c>
      <c r="E634" s="1413">
        <v>1</v>
      </c>
      <c r="F634" s="1555">
        <v>604.20000000000005</v>
      </c>
      <c r="G634" s="1480">
        <v>612.72</v>
      </c>
      <c r="H634" s="1414">
        <v>617.5</v>
      </c>
      <c r="I634" s="1477">
        <f t="shared" si="224"/>
        <v>604.20000000000005</v>
      </c>
      <c r="J634" s="1477">
        <f t="shared" si="225"/>
        <v>612.72</v>
      </c>
      <c r="K634" s="1477">
        <v>0</v>
      </c>
      <c r="L634" s="1477">
        <f t="shared" si="230"/>
        <v>0</v>
      </c>
      <c r="M634" s="1477">
        <v>1</v>
      </c>
      <c r="N634" s="1477">
        <f t="shared" si="231"/>
        <v>1</v>
      </c>
      <c r="O634" s="1477">
        <f t="shared" si="232"/>
        <v>0</v>
      </c>
      <c r="P634" s="1477">
        <f t="shared" si="233"/>
        <v>612.72</v>
      </c>
      <c r="Q634" s="1477">
        <f t="shared" si="234"/>
        <v>617.5</v>
      </c>
      <c r="R634" s="1576">
        <f t="shared" si="235"/>
        <v>617.5</v>
      </c>
      <c r="S634" s="1869">
        <v>1</v>
      </c>
      <c r="T634" s="1866">
        <v>617.5</v>
      </c>
      <c r="U634" s="2442"/>
      <c r="V634" s="1866">
        <f t="shared" si="238"/>
        <v>0</v>
      </c>
      <c r="W634" s="1869">
        <f t="shared" si="242"/>
        <v>1</v>
      </c>
      <c r="X634" s="1870">
        <f t="shared" si="236"/>
        <v>617.5</v>
      </c>
      <c r="Y634" s="1871">
        <f t="shared" si="239"/>
        <v>1</v>
      </c>
      <c r="Z634" s="1694">
        <f t="shared" si="243"/>
        <v>0</v>
      </c>
      <c r="AA634" s="1872">
        <f t="shared" si="240"/>
        <v>0</v>
      </c>
      <c r="AB634" s="1873">
        <f t="shared" si="241"/>
        <v>0</v>
      </c>
      <c r="AC634" s="1418">
        <f t="shared" si="226"/>
        <v>0</v>
      </c>
      <c r="AD634" s="1418">
        <f t="shared" si="227"/>
        <v>0</v>
      </c>
      <c r="AE634" s="1418">
        <v>617.5</v>
      </c>
      <c r="AF634" s="1418">
        <f t="shared" si="228"/>
        <v>0</v>
      </c>
      <c r="AG634" s="1418">
        <v>617.5</v>
      </c>
      <c r="AH634" s="1418">
        <f t="shared" si="229"/>
        <v>0</v>
      </c>
      <c r="AI634" s="1428"/>
      <c r="AO634" s="2504">
        <v>617.5</v>
      </c>
      <c r="AP634" s="1418">
        <f t="shared" si="237"/>
        <v>0</v>
      </c>
    </row>
    <row r="635" spans="1:42" s="1410" customFormat="1" ht="15.75">
      <c r="A635" s="2102"/>
      <c r="B635" s="1268" t="s">
        <v>2663</v>
      </c>
      <c r="C635" s="1241" t="s">
        <v>3413</v>
      </c>
      <c r="D635" s="1245" t="s">
        <v>2822</v>
      </c>
      <c r="E635" s="1413">
        <v>1</v>
      </c>
      <c r="F635" s="1555">
        <v>604.20000000000005</v>
      </c>
      <c r="G635" s="1480">
        <v>612.72</v>
      </c>
      <c r="H635" s="1414">
        <v>617.5</v>
      </c>
      <c r="I635" s="1477">
        <f t="shared" si="224"/>
        <v>604.20000000000005</v>
      </c>
      <c r="J635" s="1477">
        <f t="shared" si="225"/>
        <v>612.72</v>
      </c>
      <c r="K635" s="1477">
        <v>0</v>
      </c>
      <c r="L635" s="1477">
        <f t="shared" si="230"/>
        <v>0</v>
      </c>
      <c r="M635" s="1477">
        <v>1</v>
      </c>
      <c r="N635" s="1477">
        <f t="shared" si="231"/>
        <v>1</v>
      </c>
      <c r="O635" s="1477">
        <f t="shared" si="232"/>
        <v>0</v>
      </c>
      <c r="P635" s="1477">
        <f t="shared" si="233"/>
        <v>612.72</v>
      </c>
      <c r="Q635" s="1477">
        <f t="shared" si="234"/>
        <v>617.5</v>
      </c>
      <c r="R635" s="1576">
        <f t="shared" si="235"/>
        <v>617.5</v>
      </c>
      <c r="S635" s="1869">
        <v>1</v>
      </c>
      <c r="T635" s="1866">
        <v>617.5</v>
      </c>
      <c r="U635" s="2442"/>
      <c r="V635" s="1866">
        <f t="shared" si="238"/>
        <v>0</v>
      </c>
      <c r="W635" s="1869">
        <f t="shared" si="242"/>
        <v>1</v>
      </c>
      <c r="X635" s="1870">
        <f t="shared" si="236"/>
        <v>617.5</v>
      </c>
      <c r="Y635" s="1871">
        <f t="shared" si="239"/>
        <v>1</v>
      </c>
      <c r="Z635" s="1694">
        <f t="shared" si="243"/>
        <v>0</v>
      </c>
      <c r="AA635" s="1872">
        <f t="shared" si="240"/>
        <v>0</v>
      </c>
      <c r="AB635" s="1873">
        <f t="shared" si="241"/>
        <v>0</v>
      </c>
      <c r="AC635" s="1418">
        <f t="shared" si="226"/>
        <v>0</v>
      </c>
      <c r="AD635" s="1418">
        <f t="shared" si="227"/>
        <v>0</v>
      </c>
      <c r="AE635" s="1418">
        <v>617.5</v>
      </c>
      <c r="AF635" s="1418">
        <f t="shared" si="228"/>
        <v>0</v>
      </c>
      <c r="AG635" s="1418">
        <v>617.5</v>
      </c>
      <c r="AH635" s="1418">
        <f t="shared" si="229"/>
        <v>0</v>
      </c>
      <c r="AI635" s="1428"/>
      <c r="AO635" s="2504">
        <v>617.5</v>
      </c>
      <c r="AP635" s="1418">
        <f t="shared" si="237"/>
        <v>0</v>
      </c>
    </row>
    <row r="636" spans="1:42" s="1410" customFormat="1" ht="15.75">
      <c r="A636" s="2102"/>
      <c r="B636" s="1268" t="s">
        <v>2664</v>
      </c>
      <c r="C636" s="1241" t="s">
        <v>3414</v>
      </c>
      <c r="D636" s="1245" t="s">
        <v>2822</v>
      </c>
      <c r="E636" s="1413">
        <v>1</v>
      </c>
      <c r="F636" s="1555">
        <v>604.20000000000005</v>
      </c>
      <c r="G636" s="1480">
        <v>612.72</v>
      </c>
      <c r="H636" s="1414">
        <v>617.5</v>
      </c>
      <c r="I636" s="1477">
        <f t="shared" si="224"/>
        <v>604.20000000000005</v>
      </c>
      <c r="J636" s="1477">
        <f t="shared" si="225"/>
        <v>612.72</v>
      </c>
      <c r="K636" s="1477">
        <v>0</v>
      </c>
      <c r="L636" s="1477">
        <f t="shared" si="230"/>
        <v>0</v>
      </c>
      <c r="M636" s="1477">
        <v>1</v>
      </c>
      <c r="N636" s="1477">
        <f t="shared" si="231"/>
        <v>1</v>
      </c>
      <c r="O636" s="1477">
        <f t="shared" si="232"/>
        <v>0</v>
      </c>
      <c r="P636" s="1477">
        <f t="shared" si="233"/>
        <v>612.72</v>
      </c>
      <c r="Q636" s="1477">
        <f t="shared" si="234"/>
        <v>617.5</v>
      </c>
      <c r="R636" s="1576">
        <f t="shared" si="235"/>
        <v>617.5</v>
      </c>
      <c r="S636" s="1869">
        <v>1</v>
      </c>
      <c r="T636" s="1866">
        <v>617.5</v>
      </c>
      <c r="U636" s="2442"/>
      <c r="V636" s="1866">
        <f t="shared" si="238"/>
        <v>0</v>
      </c>
      <c r="W636" s="1869">
        <f t="shared" si="242"/>
        <v>1</v>
      </c>
      <c r="X636" s="1870">
        <f t="shared" si="236"/>
        <v>617.5</v>
      </c>
      <c r="Y636" s="1871">
        <f t="shared" si="239"/>
        <v>1</v>
      </c>
      <c r="Z636" s="1694">
        <f t="shared" si="243"/>
        <v>0</v>
      </c>
      <c r="AA636" s="1872">
        <f t="shared" si="240"/>
        <v>0</v>
      </c>
      <c r="AB636" s="1873">
        <f t="shared" si="241"/>
        <v>0</v>
      </c>
      <c r="AC636" s="1418">
        <f t="shared" si="226"/>
        <v>0</v>
      </c>
      <c r="AD636" s="1418">
        <f t="shared" si="227"/>
        <v>0</v>
      </c>
      <c r="AE636" s="1418">
        <v>617.5</v>
      </c>
      <c r="AF636" s="1418">
        <f t="shared" si="228"/>
        <v>0</v>
      </c>
      <c r="AG636" s="1418">
        <v>617.5</v>
      </c>
      <c r="AH636" s="1418">
        <f t="shared" si="229"/>
        <v>0</v>
      </c>
      <c r="AI636" s="1428"/>
      <c r="AO636" s="2504">
        <v>617.5</v>
      </c>
      <c r="AP636" s="1418">
        <f t="shared" si="237"/>
        <v>0</v>
      </c>
    </row>
    <row r="637" spans="1:42" s="1410" customFormat="1" ht="15.75">
      <c r="A637" s="2102"/>
      <c r="B637" s="1268" t="s">
        <v>2665</v>
      </c>
      <c r="C637" s="1241" t="s">
        <v>3415</v>
      </c>
      <c r="D637" s="1245" t="s">
        <v>2822</v>
      </c>
      <c r="E637" s="1413">
        <v>1</v>
      </c>
      <c r="F637" s="1555">
        <v>604.20000000000005</v>
      </c>
      <c r="G637" s="1480">
        <v>612.72</v>
      </c>
      <c r="H637" s="1414">
        <v>617.5</v>
      </c>
      <c r="I637" s="1477">
        <f t="shared" si="224"/>
        <v>604.20000000000005</v>
      </c>
      <c r="J637" s="1477">
        <f t="shared" si="225"/>
        <v>612.72</v>
      </c>
      <c r="K637" s="1477">
        <v>0</v>
      </c>
      <c r="L637" s="1477">
        <f t="shared" si="230"/>
        <v>0</v>
      </c>
      <c r="M637" s="1477">
        <v>1</v>
      </c>
      <c r="N637" s="1477">
        <f t="shared" si="231"/>
        <v>1</v>
      </c>
      <c r="O637" s="1477">
        <f t="shared" si="232"/>
        <v>0</v>
      </c>
      <c r="P637" s="1477">
        <f t="shared" si="233"/>
        <v>612.72</v>
      </c>
      <c r="Q637" s="1477">
        <f t="shared" si="234"/>
        <v>617.5</v>
      </c>
      <c r="R637" s="1576">
        <f t="shared" si="235"/>
        <v>617.5</v>
      </c>
      <c r="S637" s="1869">
        <v>1</v>
      </c>
      <c r="T637" s="1866">
        <v>617.5</v>
      </c>
      <c r="U637" s="2442"/>
      <c r="V637" s="1866">
        <f t="shared" si="238"/>
        <v>0</v>
      </c>
      <c r="W637" s="1869">
        <f t="shared" si="242"/>
        <v>1</v>
      </c>
      <c r="X637" s="1870">
        <f t="shared" si="236"/>
        <v>617.5</v>
      </c>
      <c r="Y637" s="1871">
        <f t="shared" si="239"/>
        <v>1</v>
      </c>
      <c r="Z637" s="1694">
        <f t="shared" si="243"/>
        <v>0</v>
      </c>
      <c r="AA637" s="1872">
        <f t="shared" si="240"/>
        <v>0</v>
      </c>
      <c r="AB637" s="1873">
        <f t="shared" si="241"/>
        <v>0</v>
      </c>
      <c r="AC637" s="1418">
        <f t="shared" si="226"/>
        <v>0</v>
      </c>
      <c r="AD637" s="1418">
        <f t="shared" si="227"/>
        <v>0</v>
      </c>
      <c r="AE637" s="1418">
        <v>617.5</v>
      </c>
      <c r="AF637" s="1418">
        <f t="shared" si="228"/>
        <v>0</v>
      </c>
      <c r="AG637" s="1418">
        <v>617.5</v>
      </c>
      <c r="AH637" s="1418">
        <f t="shared" si="229"/>
        <v>0</v>
      </c>
      <c r="AI637" s="1428"/>
      <c r="AO637" s="2504">
        <v>617.5</v>
      </c>
      <c r="AP637" s="1418">
        <f t="shared" si="237"/>
        <v>0</v>
      </c>
    </row>
    <row r="638" spans="1:42" s="1410" customFormat="1" ht="15.75">
      <c r="A638" s="2102"/>
      <c r="B638" s="1268" t="s">
        <v>2666</v>
      </c>
      <c r="C638" s="1241" t="s">
        <v>3416</v>
      </c>
      <c r="D638" s="1245" t="s">
        <v>2822</v>
      </c>
      <c r="E638" s="1413">
        <v>1</v>
      </c>
      <c r="F638" s="1555">
        <v>604.20000000000005</v>
      </c>
      <c r="G638" s="1480">
        <v>612.72</v>
      </c>
      <c r="H638" s="1414">
        <v>617.5</v>
      </c>
      <c r="I638" s="1477">
        <f t="shared" si="224"/>
        <v>604.20000000000005</v>
      </c>
      <c r="J638" s="1477">
        <f t="shared" si="225"/>
        <v>612.72</v>
      </c>
      <c r="K638" s="1477">
        <v>0</v>
      </c>
      <c r="L638" s="1477">
        <f t="shared" si="230"/>
        <v>0</v>
      </c>
      <c r="M638" s="1477">
        <v>1</v>
      </c>
      <c r="N638" s="1477">
        <f t="shared" si="231"/>
        <v>1</v>
      </c>
      <c r="O638" s="1477">
        <f t="shared" si="232"/>
        <v>0</v>
      </c>
      <c r="P638" s="1477">
        <f t="shared" si="233"/>
        <v>612.72</v>
      </c>
      <c r="Q638" s="1477">
        <f t="shared" si="234"/>
        <v>617.5</v>
      </c>
      <c r="R638" s="1576">
        <f t="shared" si="235"/>
        <v>617.5</v>
      </c>
      <c r="S638" s="1869">
        <v>1</v>
      </c>
      <c r="T638" s="1866">
        <v>617.5</v>
      </c>
      <c r="U638" s="2442"/>
      <c r="V638" s="1866">
        <f t="shared" si="238"/>
        <v>0</v>
      </c>
      <c r="W638" s="1869">
        <f t="shared" si="242"/>
        <v>1</v>
      </c>
      <c r="X638" s="1870">
        <f t="shared" si="236"/>
        <v>617.5</v>
      </c>
      <c r="Y638" s="1871">
        <f t="shared" si="239"/>
        <v>1</v>
      </c>
      <c r="Z638" s="1694">
        <f t="shared" si="243"/>
        <v>0</v>
      </c>
      <c r="AA638" s="1872">
        <f t="shared" si="240"/>
        <v>0</v>
      </c>
      <c r="AB638" s="1873">
        <f t="shared" si="241"/>
        <v>0</v>
      </c>
      <c r="AC638" s="1418">
        <f t="shared" si="226"/>
        <v>0</v>
      </c>
      <c r="AD638" s="1418">
        <f t="shared" si="227"/>
        <v>0</v>
      </c>
      <c r="AE638" s="1418">
        <v>617.5</v>
      </c>
      <c r="AF638" s="1418">
        <f t="shared" si="228"/>
        <v>0</v>
      </c>
      <c r="AG638" s="1418">
        <v>617.5</v>
      </c>
      <c r="AH638" s="1418">
        <f t="shared" si="229"/>
        <v>0</v>
      </c>
      <c r="AI638" s="1428"/>
      <c r="AO638" s="2504">
        <v>617.5</v>
      </c>
      <c r="AP638" s="1418">
        <f t="shared" si="237"/>
        <v>0</v>
      </c>
    </row>
    <row r="639" spans="1:42" s="1410" customFormat="1" ht="15.75">
      <c r="A639" s="2102"/>
      <c r="B639" s="1268" t="s">
        <v>2667</v>
      </c>
      <c r="C639" s="1241" t="s">
        <v>3417</v>
      </c>
      <c r="D639" s="1245" t="s">
        <v>2822</v>
      </c>
      <c r="E639" s="1413">
        <v>1</v>
      </c>
      <c r="F639" s="1555">
        <v>604.20000000000005</v>
      </c>
      <c r="G639" s="1480">
        <v>612.72</v>
      </c>
      <c r="H639" s="1414">
        <v>617.5</v>
      </c>
      <c r="I639" s="1477">
        <f t="shared" si="224"/>
        <v>604.20000000000005</v>
      </c>
      <c r="J639" s="1477">
        <f t="shared" si="225"/>
        <v>612.72</v>
      </c>
      <c r="K639" s="1477">
        <v>0</v>
      </c>
      <c r="L639" s="1477">
        <f t="shared" si="230"/>
        <v>0</v>
      </c>
      <c r="M639" s="1477">
        <v>1</v>
      </c>
      <c r="N639" s="1477">
        <f t="shared" si="231"/>
        <v>1</v>
      </c>
      <c r="O639" s="1477">
        <f t="shared" si="232"/>
        <v>0</v>
      </c>
      <c r="P639" s="1477">
        <f t="shared" si="233"/>
        <v>612.72</v>
      </c>
      <c r="Q639" s="1477">
        <f t="shared" si="234"/>
        <v>617.5</v>
      </c>
      <c r="R639" s="1576">
        <f t="shared" si="235"/>
        <v>617.5</v>
      </c>
      <c r="S639" s="1869">
        <v>1</v>
      </c>
      <c r="T639" s="1866">
        <v>617.5</v>
      </c>
      <c r="U639" s="2442"/>
      <c r="V639" s="1866">
        <f t="shared" si="238"/>
        <v>0</v>
      </c>
      <c r="W639" s="1869">
        <f t="shared" si="242"/>
        <v>1</v>
      </c>
      <c r="X639" s="1870">
        <f t="shared" si="236"/>
        <v>617.5</v>
      </c>
      <c r="Y639" s="1871">
        <f t="shared" si="239"/>
        <v>1</v>
      </c>
      <c r="Z639" s="1694">
        <f t="shared" si="243"/>
        <v>0</v>
      </c>
      <c r="AA639" s="1872">
        <f t="shared" si="240"/>
        <v>0</v>
      </c>
      <c r="AB639" s="1873">
        <f t="shared" si="241"/>
        <v>0</v>
      </c>
      <c r="AC639" s="1418">
        <f t="shared" si="226"/>
        <v>0</v>
      </c>
      <c r="AD639" s="1418">
        <f t="shared" si="227"/>
        <v>0</v>
      </c>
      <c r="AE639" s="1418">
        <v>617.5</v>
      </c>
      <c r="AF639" s="1418">
        <f t="shared" si="228"/>
        <v>0</v>
      </c>
      <c r="AG639" s="1418">
        <v>617.5</v>
      </c>
      <c r="AH639" s="1418">
        <f t="shared" si="229"/>
        <v>0</v>
      </c>
      <c r="AI639" s="1428"/>
      <c r="AO639" s="2504">
        <v>617.5</v>
      </c>
      <c r="AP639" s="1418">
        <f t="shared" si="237"/>
        <v>0</v>
      </c>
    </row>
    <row r="640" spans="1:42" s="1410" customFormat="1" ht="15.75">
      <c r="A640" s="2102"/>
      <c r="B640" s="1268" t="s">
        <v>2668</v>
      </c>
      <c r="C640" s="1241" t="s">
        <v>3418</v>
      </c>
      <c r="D640" s="1245" t="s">
        <v>2822</v>
      </c>
      <c r="E640" s="1413">
        <v>1</v>
      </c>
      <c r="F640" s="1555">
        <v>604.20000000000005</v>
      </c>
      <c r="G640" s="1480">
        <v>612.72</v>
      </c>
      <c r="H640" s="1414">
        <v>617.5</v>
      </c>
      <c r="I640" s="1477">
        <f t="shared" si="224"/>
        <v>604.20000000000005</v>
      </c>
      <c r="J640" s="1477">
        <f t="shared" si="225"/>
        <v>612.72</v>
      </c>
      <c r="K640" s="1477">
        <v>0</v>
      </c>
      <c r="L640" s="1477">
        <f t="shared" si="230"/>
        <v>0</v>
      </c>
      <c r="M640" s="1477">
        <v>1</v>
      </c>
      <c r="N640" s="1477">
        <f t="shared" si="231"/>
        <v>1</v>
      </c>
      <c r="O640" s="1477">
        <f t="shared" si="232"/>
        <v>0</v>
      </c>
      <c r="P640" s="1477">
        <f t="shared" si="233"/>
        <v>612.72</v>
      </c>
      <c r="Q640" s="1477">
        <f t="shared" si="234"/>
        <v>617.5</v>
      </c>
      <c r="R640" s="1576">
        <f t="shared" si="235"/>
        <v>617.5</v>
      </c>
      <c r="S640" s="1869">
        <v>1</v>
      </c>
      <c r="T640" s="1866">
        <v>617.5</v>
      </c>
      <c r="U640" s="2442"/>
      <c r="V640" s="1866">
        <f t="shared" si="238"/>
        <v>0</v>
      </c>
      <c r="W640" s="1869">
        <f t="shared" si="242"/>
        <v>1</v>
      </c>
      <c r="X640" s="1870">
        <f t="shared" si="236"/>
        <v>617.5</v>
      </c>
      <c r="Y640" s="1871">
        <f t="shared" si="239"/>
        <v>1</v>
      </c>
      <c r="Z640" s="1694">
        <f t="shared" si="243"/>
        <v>0</v>
      </c>
      <c r="AA640" s="1872">
        <f t="shared" si="240"/>
        <v>0</v>
      </c>
      <c r="AB640" s="1873">
        <f t="shared" si="241"/>
        <v>0</v>
      </c>
      <c r="AC640" s="1418">
        <f t="shared" si="226"/>
        <v>0</v>
      </c>
      <c r="AD640" s="1418">
        <f t="shared" si="227"/>
        <v>0</v>
      </c>
      <c r="AE640" s="1418">
        <v>617.5</v>
      </c>
      <c r="AF640" s="1418">
        <f t="shared" si="228"/>
        <v>0</v>
      </c>
      <c r="AG640" s="1418">
        <v>617.5</v>
      </c>
      <c r="AH640" s="1418">
        <f t="shared" si="229"/>
        <v>0</v>
      </c>
      <c r="AI640" s="1428"/>
      <c r="AO640" s="2504">
        <v>617.5</v>
      </c>
      <c r="AP640" s="1418">
        <f t="shared" si="237"/>
        <v>0</v>
      </c>
    </row>
    <row r="641" spans="1:42" s="1410" customFormat="1" ht="15.75">
      <c r="A641" s="2102"/>
      <c r="B641" s="1268" t="s">
        <v>2669</v>
      </c>
      <c r="C641" s="1241" t="s">
        <v>3419</v>
      </c>
      <c r="D641" s="1245" t="s">
        <v>2822</v>
      </c>
      <c r="E641" s="1413">
        <v>1</v>
      </c>
      <c r="F641" s="1555">
        <v>521.6</v>
      </c>
      <c r="G641" s="1480">
        <v>530.12</v>
      </c>
      <c r="H641" s="1414">
        <v>534.9</v>
      </c>
      <c r="I641" s="1477">
        <f t="shared" si="224"/>
        <v>521.6</v>
      </c>
      <c r="J641" s="1477">
        <f t="shared" si="225"/>
        <v>530.12</v>
      </c>
      <c r="K641" s="1477">
        <v>0</v>
      </c>
      <c r="L641" s="1477">
        <f t="shared" si="230"/>
        <v>0</v>
      </c>
      <c r="M641" s="1477">
        <v>1</v>
      </c>
      <c r="N641" s="1477">
        <f t="shared" si="231"/>
        <v>1</v>
      </c>
      <c r="O641" s="1477">
        <f t="shared" si="232"/>
        <v>0</v>
      </c>
      <c r="P641" s="1477">
        <f t="shared" si="233"/>
        <v>530.12</v>
      </c>
      <c r="Q641" s="1477">
        <f t="shared" si="234"/>
        <v>534.9</v>
      </c>
      <c r="R641" s="1576">
        <f t="shared" si="235"/>
        <v>534.9</v>
      </c>
      <c r="S641" s="1869">
        <v>1</v>
      </c>
      <c r="T641" s="1866">
        <v>534.9</v>
      </c>
      <c r="U641" s="2442"/>
      <c r="V641" s="1866">
        <f t="shared" si="238"/>
        <v>0</v>
      </c>
      <c r="W641" s="1869">
        <f t="shared" si="242"/>
        <v>1</v>
      </c>
      <c r="X641" s="1870">
        <f t="shared" si="236"/>
        <v>534.9</v>
      </c>
      <c r="Y641" s="1871">
        <f t="shared" si="239"/>
        <v>1</v>
      </c>
      <c r="Z641" s="1694">
        <f t="shared" si="243"/>
        <v>0</v>
      </c>
      <c r="AA641" s="1872">
        <f t="shared" si="240"/>
        <v>0</v>
      </c>
      <c r="AB641" s="1873">
        <f t="shared" si="241"/>
        <v>0</v>
      </c>
      <c r="AC641" s="1418">
        <f t="shared" si="226"/>
        <v>0</v>
      </c>
      <c r="AD641" s="1418">
        <f t="shared" si="227"/>
        <v>0</v>
      </c>
      <c r="AE641" s="1418">
        <v>534.9</v>
      </c>
      <c r="AF641" s="1418">
        <f t="shared" si="228"/>
        <v>0</v>
      </c>
      <c r="AG641" s="1418">
        <v>534.9</v>
      </c>
      <c r="AH641" s="1418">
        <f t="shared" si="229"/>
        <v>0</v>
      </c>
      <c r="AI641" s="1428"/>
      <c r="AO641" s="2504">
        <v>534.9</v>
      </c>
      <c r="AP641" s="1418">
        <f t="shared" si="237"/>
        <v>0</v>
      </c>
    </row>
    <row r="642" spans="1:42" s="1410" customFormat="1" ht="15.75">
      <c r="A642" s="2102"/>
      <c r="B642" s="1268" t="s">
        <v>2670</v>
      </c>
      <c r="C642" s="1241" t="s">
        <v>3420</v>
      </c>
      <c r="D642" s="1245" t="s">
        <v>2822</v>
      </c>
      <c r="E642" s="1413">
        <v>1</v>
      </c>
      <c r="F642" s="1555">
        <v>521.6</v>
      </c>
      <c r="G642" s="1480">
        <v>530.12</v>
      </c>
      <c r="H642" s="1414">
        <v>534.9</v>
      </c>
      <c r="I642" s="1477">
        <f t="shared" si="224"/>
        <v>521.6</v>
      </c>
      <c r="J642" s="1477">
        <f t="shared" si="225"/>
        <v>530.12</v>
      </c>
      <c r="K642" s="1477">
        <v>0</v>
      </c>
      <c r="L642" s="1477">
        <f t="shared" si="230"/>
        <v>0</v>
      </c>
      <c r="M642" s="1477">
        <v>1</v>
      </c>
      <c r="N642" s="1477">
        <f t="shared" si="231"/>
        <v>1</v>
      </c>
      <c r="O642" s="1477">
        <f t="shared" si="232"/>
        <v>0</v>
      </c>
      <c r="P642" s="1477">
        <f t="shared" si="233"/>
        <v>530.12</v>
      </c>
      <c r="Q642" s="1477">
        <f t="shared" si="234"/>
        <v>534.9</v>
      </c>
      <c r="R642" s="1576">
        <f t="shared" si="235"/>
        <v>534.9</v>
      </c>
      <c r="S642" s="1869">
        <v>1</v>
      </c>
      <c r="T642" s="1866">
        <v>534.9</v>
      </c>
      <c r="U642" s="2442"/>
      <c r="V642" s="1866">
        <f t="shared" si="238"/>
        <v>0</v>
      </c>
      <c r="W642" s="1869">
        <f t="shared" si="242"/>
        <v>1</v>
      </c>
      <c r="X642" s="1870">
        <f t="shared" si="236"/>
        <v>534.9</v>
      </c>
      <c r="Y642" s="1871">
        <f t="shared" si="239"/>
        <v>1</v>
      </c>
      <c r="Z642" s="1694">
        <f t="shared" si="243"/>
        <v>0</v>
      </c>
      <c r="AA642" s="1872">
        <f t="shared" si="240"/>
        <v>0</v>
      </c>
      <c r="AB642" s="1873">
        <f t="shared" si="241"/>
        <v>0</v>
      </c>
      <c r="AC642" s="1418">
        <f t="shared" si="226"/>
        <v>0</v>
      </c>
      <c r="AD642" s="1418">
        <f t="shared" si="227"/>
        <v>0</v>
      </c>
      <c r="AE642" s="1418">
        <v>534.9</v>
      </c>
      <c r="AF642" s="1418">
        <f t="shared" si="228"/>
        <v>0</v>
      </c>
      <c r="AG642" s="1418">
        <v>534.9</v>
      </c>
      <c r="AH642" s="1418">
        <f t="shared" si="229"/>
        <v>0</v>
      </c>
      <c r="AI642" s="1428"/>
      <c r="AO642" s="2504">
        <v>534.9</v>
      </c>
      <c r="AP642" s="1418">
        <f t="shared" si="237"/>
        <v>0</v>
      </c>
    </row>
    <row r="643" spans="1:42" s="1410" customFormat="1" ht="15.75">
      <c r="A643" s="2102"/>
      <c r="B643" s="1268" t="s">
        <v>2671</v>
      </c>
      <c r="C643" s="1241" t="s">
        <v>3421</v>
      </c>
      <c r="D643" s="1245" t="s">
        <v>2822</v>
      </c>
      <c r="E643" s="1413">
        <v>1</v>
      </c>
      <c r="F643" s="1555">
        <v>521.6</v>
      </c>
      <c r="G643" s="1480">
        <v>530.12</v>
      </c>
      <c r="H643" s="1414">
        <v>534.9</v>
      </c>
      <c r="I643" s="1477">
        <f t="shared" si="224"/>
        <v>521.6</v>
      </c>
      <c r="J643" s="1477">
        <f t="shared" si="225"/>
        <v>530.12</v>
      </c>
      <c r="K643" s="1477">
        <v>0</v>
      </c>
      <c r="L643" s="1477">
        <f t="shared" si="230"/>
        <v>0</v>
      </c>
      <c r="M643" s="1477">
        <v>1</v>
      </c>
      <c r="N643" s="1477">
        <f t="shared" si="231"/>
        <v>1</v>
      </c>
      <c r="O643" s="1477">
        <f t="shared" si="232"/>
        <v>0</v>
      </c>
      <c r="P643" s="1477">
        <f t="shared" si="233"/>
        <v>530.12</v>
      </c>
      <c r="Q643" s="1477">
        <f t="shared" si="234"/>
        <v>534.9</v>
      </c>
      <c r="R643" s="1576">
        <f t="shared" si="235"/>
        <v>534.9</v>
      </c>
      <c r="S643" s="1869">
        <v>1</v>
      </c>
      <c r="T643" s="1866">
        <v>534.9</v>
      </c>
      <c r="U643" s="2442"/>
      <c r="V643" s="1866">
        <f t="shared" si="238"/>
        <v>0</v>
      </c>
      <c r="W643" s="1869">
        <f t="shared" si="242"/>
        <v>1</v>
      </c>
      <c r="X643" s="1870">
        <f t="shared" si="236"/>
        <v>534.9</v>
      </c>
      <c r="Y643" s="1871">
        <f t="shared" si="239"/>
        <v>1</v>
      </c>
      <c r="Z643" s="1694">
        <f t="shared" si="243"/>
        <v>0</v>
      </c>
      <c r="AA643" s="1872">
        <f t="shared" si="240"/>
        <v>0</v>
      </c>
      <c r="AB643" s="1873">
        <f t="shared" si="241"/>
        <v>0</v>
      </c>
      <c r="AC643" s="1418">
        <f t="shared" si="226"/>
        <v>0</v>
      </c>
      <c r="AD643" s="1418">
        <f t="shared" si="227"/>
        <v>0</v>
      </c>
      <c r="AE643" s="1418">
        <v>534.9</v>
      </c>
      <c r="AF643" s="1418">
        <f t="shared" si="228"/>
        <v>0</v>
      </c>
      <c r="AG643" s="1418">
        <v>534.9</v>
      </c>
      <c r="AH643" s="1418">
        <f t="shared" si="229"/>
        <v>0</v>
      </c>
      <c r="AI643" s="1428"/>
      <c r="AO643" s="2504">
        <v>534.9</v>
      </c>
      <c r="AP643" s="1418">
        <f t="shared" si="237"/>
        <v>0</v>
      </c>
    </row>
    <row r="644" spans="1:42" s="1410" customFormat="1" ht="15.75">
      <c r="A644" s="2102"/>
      <c r="B644" s="1268" t="s">
        <v>2672</v>
      </c>
      <c r="C644" s="1241" t="s">
        <v>3422</v>
      </c>
      <c r="D644" s="1245" t="s">
        <v>2822</v>
      </c>
      <c r="E644" s="1413">
        <v>1</v>
      </c>
      <c r="F644" s="1555">
        <v>521.6</v>
      </c>
      <c r="G644" s="1480">
        <v>530.12</v>
      </c>
      <c r="H644" s="1414">
        <v>534.9</v>
      </c>
      <c r="I644" s="1477">
        <f t="shared" si="224"/>
        <v>521.6</v>
      </c>
      <c r="J644" s="1477">
        <f t="shared" si="225"/>
        <v>530.12</v>
      </c>
      <c r="K644" s="1477">
        <v>0</v>
      </c>
      <c r="L644" s="1477">
        <f t="shared" si="230"/>
        <v>0</v>
      </c>
      <c r="M644" s="1477">
        <v>1</v>
      </c>
      <c r="N644" s="1477">
        <f t="shared" si="231"/>
        <v>1</v>
      </c>
      <c r="O644" s="1477">
        <f t="shared" si="232"/>
        <v>0</v>
      </c>
      <c r="P644" s="1477">
        <f t="shared" si="233"/>
        <v>530.12</v>
      </c>
      <c r="Q644" s="1477">
        <f t="shared" si="234"/>
        <v>534.9</v>
      </c>
      <c r="R644" s="1576">
        <f t="shared" si="235"/>
        <v>534.9</v>
      </c>
      <c r="S644" s="1869">
        <v>1</v>
      </c>
      <c r="T644" s="1866">
        <v>534.9</v>
      </c>
      <c r="U644" s="2442"/>
      <c r="V644" s="1866">
        <f t="shared" si="238"/>
        <v>0</v>
      </c>
      <c r="W644" s="1869">
        <f t="shared" si="242"/>
        <v>1</v>
      </c>
      <c r="X644" s="1870">
        <f t="shared" si="236"/>
        <v>534.9</v>
      </c>
      <c r="Y644" s="1871">
        <f t="shared" si="239"/>
        <v>1</v>
      </c>
      <c r="Z644" s="1694">
        <f t="shared" si="243"/>
        <v>0</v>
      </c>
      <c r="AA644" s="1872">
        <f t="shared" si="240"/>
        <v>0</v>
      </c>
      <c r="AB644" s="1873">
        <f t="shared" si="241"/>
        <v>0</v>
      </c>
      <c r="AC644" s="1418">
        <f t="shared" si="226"/>
        <v>0</v>
      </c>
      <c r="AD644" s="1418">
        <f t="shared" si="227"/>
        <v>0</v>
      </c>
      <c r="AE644" s="1418">
        <v>534.9</v>
      </c>
      <c r="AF644" s="1418">
        <f t="shared" si="228"/>
        <v>0</v>
      </c>
      <c r="AG644" s="1418">
        <v>534.9</v>
      </c>
      <c r="AH644" s="1418">
        <f t="shared" si="229"/>
        <v>0</v>
      </c>
      <c r="AI644" s="1428"/>
      <c r="AO644" s="2504">
        <v>534.9</v>
      </c>
      <c r="AP644" s="1418">
        <f t="shared" si="237"/>
        <v>0</v>
      </c>
    </row>
    <row r="645" spans="1:42" s="1410" customFormat="1" ht="15.75">
      <c r="A645" s="2102"/>
      <c r="B645" s="1272" t="s">
        <v>1116</v>
      </c>
      <c r="C645" s="1262" t="s">
        <v>3423</v>
      </c>
      <c r="D645" s="1273"/>
      <c r="E645" s="1415"/>
      <c r="F645" s="1267"/>
      <c r="G645" s="1480"/>
      <c r="H645" s="1416"/>
      <c r="I645" s="1477">
        <f t="shared" si="224"/>
        <v>0</v>
      </c>
      <c r="J645" s="1477">
        <f t="shared" si="225"/>
        <v>0</v>
      </c>
      <c r="K645" s="1477"/>
      <c r="L645" s="1477">
        <f t="shared" si="230"/>
        <v>0</v>
      </c>
      <c r="M645" s="1477"/>
      <c r="N645" s="1477">
        <f t="shared" si="231"/>
        <v>0</v>
      </c>
      <c r="O645" s="1477">
        <f t="shared" si="232"/>
        <v>0</v>
      </c>
      <c r="P645" s="1477">
        <f t="shared" si="233"/>
        <v>0</v>
      </c>
      <c r="Q645" s="1477">
        <f t="shared" si="234"/>
        <v>0</v>
      </c>
      <c r="R645" s="1576">
        <f t="shared" si="235"/>
        <v>0</v>
      </c>
      <c r="S645" s="1869"/>
      <c r="T645" s="1866"/>
      <c r="U645" s="2442"/>
      <c r="V645" s="1866">
        <f t="shared" si="238"/>
        <v>0</v>
      </c>
      <c r="W645" s="1869"/>
      <c r="X645" s="1870"/>
      <c r="Y645" s="1871" t="str">
        <f t="shared" si="239"/>
        <v/>
      </c>
      <c r="Z645" s="1694"/>
      <c r="AA645" s="1872">
        <f t="shared" si="240"/>
        <v>0</v>
      </c>
      <c r="AB645" s="1873" t="str">
        <f t="shared" si="241"/>
        <v/>
      </c>
      <c r="AC645" s="1418">
        <f t="shared" si="226"/>
        <v>0</v>
      </c>
      <c r="AD645" s="1418">
        <f t="shared" si="227"/>
        <v>0</v>
      </c>
      <c r="AE645" s="1418"/>
      <c r="AF645" s="1418">
        <f t="shared" si="228"/>
        <v>0</v>
      </c>
      <c r="AG645" s="1418"/>
      <c r="AH645" s="1418">
        <f t="shared" si="229"/>
        <v>0</v>
      </c>
      <c r="AI645" s="1428"/>
      <c r="AO645" s="2504"/>
      <c r="AP645" s="1418">
        <f t="shared" si="237"/>
        <v>0</v>
      </c>
    </row>
    <row r="646" spans="1:42" s="1410" customFormat="1" ht="15.75">
      <c r="A646" s="2102"/>
      <c r="B646" s="1268" t="s">
        <v>1117</v>
      </c>
      <c r="C646" s="1241" t="s">
        <v>3424</v>
      </c>
      <c r="D646" s="1245" t="s">
        <v>2822</v>
      </c>
      <c r="E646" s="1413">
        <v>1</v>
      </c>
      <c r="F646" s="1555">
        <v>2150.87</v>
      </c>
      <c r="G646" s="1480">
        <v>2152.15</v>
      </c>
      <c r="H646" s="1414">
        <v>2152.83</v>
      </c>
      <c r="I646" s="1477">
        <f t="shared" si="224"/>
        <v>2150.87</v>
      </c>
      <c r="J646" s="1477">
        <f t="shared" si="225"/>
        <v>2152.15</v>
      </c>
      <c r="K646" s="1477">
        <v>0</v>
      </c>
      <c r="L646" s="1477">
        <f t="shared" si="230"/>
        <v>0</v>
      </c>
      <c r="M646" s="1477">
        <v>1</v>
      </c>
      <c r="N646" s="1477">
        <f t="shared" si="231"/>
        <v>1</v>
      </c>
      <c r="O646" s="1477">
        <f t="shared" si="232"/>
        <v>0</v>
      </c>
      <c r="P646" s="1477">
        <f t="shared" si="233"/>
        <v>2152.15</v>
      </c>
      <c r="Q646" s="1477">
        <f t="shared" si="234"/>
        <v>2152.83</v>
      </c>
      <c r="R646" s="1576">
        <f t="shared" si="235"/>
        <v>2152.83</v>
      </c>
      <c r="S646" s="1869">
        <v>0</v>
      </c>
      <c r="T646" s="1866">
        <v>0</v>
      </c>
      <c r="U646" s="2442"/>
      <c r="V646" s="1866">
        <f t="shared" si="238"/>
        <v>0</v>
      </c>
      <c r="W646" s="1869">
        <f t="shared" ref="W646:W663" si="244">S646+U646</f>
        <v>0</v>
      </c>
      <c r="X646" s="1870">
        <f t="shared" si="236"/>
        <v>0</v>
      </c>
      <c r="Y646" s="1871">
        <f t="shared" si="239"/>
        <v>0</v>
      </c>
      <c r="Z646" s="1694">
        <f t="shared" ref="Z646:Z663" si="245">+E646-W646</f>
        <v>1</v>
      </c>
      <c r="AA646" s="1872">
        <f t="shared" si="240"/>
        <v>2152.83</v>
      </c>
      <c r="AB646" s="1873">
        <f t="shared" si="241"/>
        <v>1</v>
      </c>
      <c r="AC646" s="1418">
        <f t="shared" si="226"/>
        <v>0</v>
      </c>
      <c r="AD646" s="1418">
        <f t="shared" si="227"/>
        <v>0</v>
      </c>
      <c r="AE646" s="1418">
        <v>2152.83</v>
      </c>
      <c r="AF646" s="1418">
        <f t="shared" si="228"/>
        <v>0</v>
      </c>
      <c r="AG646" s="1418">
        <v>2152.83</v>
      </c>
      <c r="AH646" s="1418">
        <f t="shared" si="229"/>
        <v>0</v>
      </c>
      <c r="AI646" s="1428"/>
      <c r="AO646" s="2504">
        <v>0</v>
      </c>
      <c r="AP646" s="1418">
        <f t="shared" si="237"/>
        <v>0</v>
      </c>
    </row>
    <row r="647" spans="1:42" s="1410" customFormat="1" ht="15.75">
      <c r="A647" s="2102"/>
      <c r="B647" s="1268" t="s">
        <v>2673</v>
      </c>
      <c r="C647" s="1241" t="s">
        <v>3425</v>
      </c>
      <c r="D647" s="1245" t="s">
        <v>2822</v>
      </c>
      <c r="E647" s="1413">
        <v>1</v>
      </c>
      <c r="F647" s="1555">
        <v>533.09</v>
      </c>
      <c r="G647" s="1480">
        <v>534.37</v>
      </c>
      <c r="H647" s="1414">
        <v>535.04999999999995</v>
      </c>
      <c r="I647" s="1477">
        <f t="shared" si="224"/>
        <v>533.09</v>
      </c>
      <c r="J647" s="1477">
        <f t="shared" si="225"/>
        <v>534.37</v>
      </c>
      <c r="K647" s="1477">
        <v>0</v>
      </c>
      <c r="L647" s="1477">
        <f t="shared" si="230"/>
        <v>0</v>
      </c>
      <c r="M647" s="1477">
        <v>1</v>
      </c>
      <c r="N647" s="1477">
        <f t="shared" si="231"/>
        <v>1</v>
      </c>
      <c r="O647" s="1477">
        <f t="shared" si="232"/>
        <v>0</v>
      </c>
      <c r="P647" s="1477">
        <f t="shared" si="233"/>
        <v>534.37</v>
      </c>
      <c r="Q647" s="1477">
        <f t="shared" si="234"/>
        <v>535.04999999999995</v>
      </c>
      <c r="R647" s="1576">
        <f t="shared" si="235"/>
        <v>535.04999999999995</v>
      </c>
      <c r="S647" s="1869">
        <v>0</v>
      </c>
      <c r="T647" s="1866">
        <v>0</v>
      </c>
      <c r="U647" s="2442"/>
      <c r="V647" s="1866">
        <f t="shared" si="238"/>
        <v>0</v>
      </c>
      <c r="W647" s="1869">
        <f t="shared" si="244"/>
        <v>0</v>
      </c>
      <c r="X647" s="1870">
        <f t="shared" si="236"/>
        <v>0</v>
      </c>
      <c r="Y647" s="1871">
        <f t="shared" si="239"/>
        <v>0</v>
      </c>
      <c r="Z647" s="1694">
        <f t="shared" si="245"/>
        <v>1</v>
      </c>
      <c r="AA647" s="1872">
        <f t="shared" si="240"/>
        <v>535.04999999999995</v>
      </c>
      <c r="AB647" s="1873">
        <f t="shared" si="241"/>
        <v>1</v>
      </c>
      <c r="AC647" s="1418">
        <f t="shared" si="226"/>
        <v>0</v>
      </c>
      <c r="AD647" s="1418">
        <f t="shared" si="227"/>
        <v>0</v>
      </c>
      <c r="AE647" s="1418">
        <v>535.04999999999995</v>
      </c>
      <c r="AF647" s="1418">
        <f t="shared" si="228"/>
        <v>0</v>
      </c>
      <c r="AG647" s="1418">
        <v>535.04999999999995</v>
      </c>
      <c r="AH647" s="1418">
        <f t="shared" si="229"/>
        <v>0</v>
      </c>
      <c r="AI647" s="1428"/>
      <c r="AO647" s="2504">
        <v>0</v>
      </c>
      <c r="AP647" s="1418">
        <f t="shared" si="237"/>
        <v>0</v>
      </c>
    </row>
    <row r="648" spans="1:42" s="1410" customFormat="1" ht="15.75">
      <c r="A648" s="2102"/>
      <c r="B648" s="1268" t="s">
        <v>2674</v>
      </c>
      <c r="C648" s="1241" t="s">
        <v>3426</v>
      </c>
      <c r="D648" s="1245" t="s">
        <v>2822</v>
      </c>
      <c r="E648" s="1413">
        <v>1</v>
      </c>
      <c r="F648" s="1555">
        <v>533.09</v>
      </c>
      <c r="G648" s="1480">
        <v>534.37</v>
      </c>
      <c r="H648" s="1414">
        <v>535.04999999999995</v>
      </c>
      <c r="I648" s="1477">
        <f t="shared" si="224"/>
        <v>533.09</v>
      </c>
      <c r="J648" s="1477">
        <f t="shared" si="225"/>
        <v>534.37</v>
      </c>
      <c r="K648" s="1477">
        <v>0</v>
      </c>
      <c r="L648" s="1477">
        <f t="shared" si="230"/>
        <v>0</v>
      </c>
      <c r="M648" s="1477">
        <v>1</v>
      </c>
      <c r="N648" s="1477">
        <f t="shared" si="231"/>
        <v>1</v>
      </c>
      <c r="O648" s="1477">
        <f t="shared" si="232"/>
        <v>0</v>
      </c>
      <c r="P648" s="1477">
        <f t="shared" si="233"/>
        <v>534.37</v>
      </c>
      <c r="Q648" s="1477">
        <f t="shared" si="234"/>
        <v>535.04999999999995</v>
      </c>
      <c r="R648" s="1576">
        <f t="shared" si="235"/>
        <v>535.04999999999995</v>
      </c>
      <c r="S648" s="1869">
        <v>0</v>
      </c>
      <c r="T648" s="1866">
        <v>0</v>
      </c>
      <c r="U648" s="2442"/>
      <c r="V648" s="1866">
        <f t="shared" si="238"/>
        <v>0</v>
      </c>
      <c r="W648" s="1869">
        <f t="shared" si="244"/>
        <v>0</v>
      </c>
      <c r="X648" s="1870">
        <f t="shared" si="236"/>
        <v>0</v>
      </c>
      <c r="Y648" s="1871">
        <f t="shared" si="239"/>
        <v>0</v>
      </c>
      <c r="Z648" s="1694">
        <f t="shared" si="245"/>
        <v>1</v>
      </c>
      <c r="AA648" s="1872">
        <f t="shared" si="240"/>
        <v>535.04999999999995</v>
      </c>
      <c r="AB648" s="1873">
        <f t="shared" si="241"/>
        <v>1</v>
      </c>
      <c r="AC648" s="1418">
        <f t="shared" si="226"/>
        <v>0</v>
      </c>
      <c r="AD648" s="1418">
        <f t="shared" si="227"/>
        <v>0</v>
      </c>
      <c r="AE648" s="1418">
        <v>535.04999999999995</v>
      </c>
      <c r="AF648" s="1418">
        <f t="shared" si="228"/>
        <v>0</v>
      </c>
      <c r="AG648" s="1418">
        <v>535.04999999999995</v>
      </c>
      <c r="AH648" s="1418">
        <f t="shared" si="229"/>
        <v>0</v>
      </c>
      <c r="AI648" s="1428"/>
      <c r="AO648" s="2504">
        <v>0</v>
      </c>
      <c r="AP648" s="1418">
        <f t="shared" si="237"/>
        <v>0</v>
      </c>
    </row>
    <row r="649" spans="1:42" s="1410" customFormat="1" ht="15.75">
      <c r="A649" s="2102"/>
      <c r="B649" s="1268" t="s">
        <v>2675</v>
      </c>
      <c r="C649" s="1241" t="s">
        <v>3427</v>
      </c>
      <c r="D649" s="1245" t="s">
        <v>2822</v>
      </c>
      <c r="E649" s="1413">
        <v>3</v>
      </c>
      <c r="F649" s="1555">
        <v>322.77</v>
      </c>
      <c r="G649" s="1480">
        <v>324.05</v>
      </c>
      <c r="H649" s="1414">
        <v>324.73</v>
      </c>
      <c r="I649" s="1477">
        <f t="shared" si="224"/>
        <v>968.31</v>
      </c>
      <c r="J649" s="1477">
        <f t="shared" si="225"/>
        <v>972.15</v>
      </c>
      <c r="K649" s="1477">
        <v>0</v>
      </c>
      <c r="L649" s="1477">
        <f t="shared" si="230"/>
        <v>0</v>
      </c>
      <c r="M649" s="1477">
        <v>3</v>
      </c>
      <c r="N649" s="1477">
        <f t="shared" si="231"/>
        <v>3</v>
      </c>
      <c r="O649" s="1477">
        <f t="shared" si="232"/>
        <v>0</v>
      </c>
      <c r="P649" s="1477">
        <f t="shared" si="233"/>
        <v>972.15</v>
      </c>
      <c r="Q649" s="1477">
        <f t="shared" si="234"/>
        <v>974.19</v>
      </c>
      <c r="R649" s="1576">
        <f t="shared" si="235"/>
        <v>974.19</v>
      </c>
      <c r="S649" s="1869">
        <v>0</v>
      </c>
      <c r="T649" s="1866">
        <v>0</v>
      </c>
      <c r="U649" s="2442"/>
      <c r="V649" s="1866">
        <f t="shared" si="238"/>
        <v>0</v>
      </c>
      <c r="W649" s="1869">
        <f t="shared" si="244"/>
        <v>0</v>
      </c>
      <c r="X649" s="1870">
        <f t="shared" si="236"/>
        <v>0</v>
      </c>
      <c r="Y649" s="1871">
        <f t="shared" si="239"/>
        <v>0</v>
      </c>
      <c r="Z649" s="1694">
        <f t="shared" si="245"/>
        <v>3</v>
      </c>
      <c r="AA649" s="1872">
        <f t="shared" si="240"/>
        <v>974.19</v>
      </c>
      <c r="AB649" s="1873">
        <f t="shared" si="241"/>
        <v>1</v>
      </c>
      <c r="AC649" s="1418">
        <f t="shared" si="226"/>
        <v>0</v>
      </c>
      <c r="AD649" s="1418">
        <f t="shared" si="227"/>
        <v>0</v>
      </c>
      <c r="AE649" s="1418">
        <v>974.19</v>
      </c>
      <c r="AF649" s="1418">
        <f t="shared" si="228"/>
        <v>0</v>
      </c>
      <c r="AG649" s="1418">
        <v>324.73</v>
      </c>
      <c r="AH649" s="1418">
        <f t="shared" si="229"/>
        <v>0</v>
      </c>
      <c r="AI649" s="1428"/>
      <c r="AO649" s="2504">
        <v>0</v>
      </c>
      <c r="AP649" s="1418">
        <f t="shared" si="237"/>
        <v>0</v>
      </c>
    </row>
    <row r="650" spans="1:42" s="1410" customFormat="1" ht="15.75">
      <c r="A650" s="2102"/>
      <c r="B650" s="1268" t="s">
        <v>2676</v>
      </c>
      <c r="C650" s="1241" t="s">
        <v>3428</v>
      </c>
      <c r="D650" s="1245" t="s">
        <v>2822</v>
      </c>
      <c r="E650" s="1413">
        <v>4</v>
      </c>
      <c r="F650" s="1555">
        <v>322.77</v>
      </c>
      <c r="G650" s="1480">
        <v>324.05</v>
      </c>
      <c r="H650" s="1414">
        <v>324.73</v>
      </c>
      <c r="I650" s="1477">
        <f t="shared" si="224"/>
        <v>1291.08</v>
      </c>
      <c r="J650" s="1477">
        <f t="shared" si="225"/>
        <v>1296.2</v>
      </c>
      <c r="K650" s="1477">
        <v>0</v>
      </c>
      <c r="L650" s="1477">
        <f t="shared" si="230"/>
        <v>0</v>
      </c>
      <c r="M650" s="1477">
        <v>4</v>
      </c>
      <c r="N650" s="1477">
        <f t="shared" si="231"/>
        <v>4</v>
      </c>
      <c r="O650" s="1477">
        <f t="shared" si="232"/>
        <v>0</v>
      </c>
      <c r="P650" s="1477">
        <f t="shared" si="233"/>
        <v>1296.2</v>
      </c>
      <c r="Q650" s="1477">
        <f t="shared" si="234"/>
        <v>1298.92</v>
      </c>
      <c r="R650" s="1576">
        <f t="shared" si="235"/>
        <v>1298.92</v>
      </c>
      <c r="S650" s="1869">
        <v>4</v>
      </c>
      <c r="T650" s="1866">
        <v>1298.92</v>
      </c>
      <c r="U650" s="2442"/>
      <c r="V650" s="1866">
        <f t="shared" si="238"/>
        <v>0</v>
      </c>
      <c r="W650" s="1869">
        <f t="shared" si="244"/>
        <v>4</v>
      </c>
      <c r="X650" s="1870">
        <f t="shared" si="236"/>
        <v>1298.92</v>
      </c>
      <c r="Y650" s="1871">
        <f t="shared" si="239"/>
        <v>1</v>
      </c>
      <c r="Z650" s="1694">
        <f t="shared" si="245"/>
        <v>0</v>
      </c>
      <c r="AA650" s="1872">
        <f t="shared" si="240"/>
        <v>0</v>
      </c>
      <c r="AB650" s="1873">
        <f t="shared" si="241"/>
        <v>0</v>
      </c>
      <c r="AC650" s="1418">
        <f t="shared" si="226"/>
        <v>0</v>
      </c>
      <c r="AD650" s="1418">
        <f t="shared" si="227"/>
        <v>0</v>
      </c>
      <c r="AE650" s="1418">
        <v>1298.92</v>
      </c>
      <c r="AF650" s="1418">
        <f t="shared" si="228"/>
        <v>0</v>
      </c>
      <c r="AG650" s="1418">
        <v>324.73</v>
      </c>
      <c r="AH650" s="1418">
        <f t="shared" si="229"/>
        <v>0</v>
      </c>
      <c r="AI650" s="1428"/>
      <c r="AO650" s="2504">
        <v>1298.92</v>
      </c>
      <c r="AP650" s="1418">
        <f t="shared" si="237"/>
        <v>0</v>
      </c>
    </row>
    <row r="651" spans="1:42" s="1410" customFormat="1" ht="15.75">
      <c r="A651" s="2102"/>
      <c r="B651" s="1268" t="s">
        <v>2677</v>
      </c>
      <c r="C651" s="1241" t="s">
        <v>3429</v>
      </c>
      <c r="D651" s="1245" t="s">
        <v>2822</v>
      </c>
      <c r="E651" s="1413">
        <v>3</v>
      </c>
      <c r="F651" s="1555">
        <v>89.72</v>
      </c>
      <c r="G651" s="1480">
        <v>91</v>
      </c>
      <c r="H651" s="1414">
        <v>91.68</v>
      </c>
      <c r="I651" s="1477">
        <f t="shared" si="224"/>
        <v>269.16000000000003</v>
      </c>
      <c r="J651" s="1477">
        <f t="shared" si="225"/>
        <v>273</v>
      </c>
      <c r="K651" s="1477">
        <v>0</v>
      </c>
      <c r="L651" s="1477">
        <f t="shared" si="230"/>
        <v>0</v>
      </c>
      <c r="M651" s="1477">
        <v>3</v>
      </c>
      <c r="N651" s="1477">
        <f t="shared" si="231"/>
        <v>3</v>
      </c>
      <c r="O651" s="1477">
        <f t="shared" si="232"/>
        <v>0</v>
      </c>
      <c r="P651" s="1477">
        <f t="shared" si="233"/>
        <v>273</v>
      </c>
      <c r="Q651" s="1477">
        <f t="shared" si="234"/>
        <v>275.04000000000002</v>
      </c>
      <c r="R651" s="1576">
        <f t="shared" si="235"/>
        <v>275.04000000000002</v>
      </c>
      <c r="S651" s="1869">
        <v>3</v>
      </c>
      <c r="T651" s="1866">
        <v>275.04000000000002</v>
      </c>
      <c r="U651" s="2442"/>
      <c r="V651" s="1866">
        <f t="shared" si="238"/>
        <v>0</v>
      </c>
      <c r="W651" s="1869">
        <f t="shared" si="244"/>
        <v>3</v>
      </c>
      <c r="X651" s="1870">
        <f t="shared" si="236"/>
        <v>275.04000000000002</v>
      </c>
      <c r="Y651" s="1871">
        <f t="shared" si="239"/>
        <v>1</v>
      </c>
      <c r="Z651" s="1694">
        <f t="shared" si="245"/>
        <v>0</v>
      </c>
      <c r="AA651" s="1872">
        <f t="shared" si="240"/>
        <v>0</v>
      </c>
      <c r="AB651" s="1873">
        <f t="shared" si="241"/>
        <v>0</v>
      </c>
      <c r="AC651" s="1418">
        <f t="shared" si="226"/>
        <v>0</v>
      </c>
      <c r="AD651" s="1418">
        <f t="shared" si="227"/>
        <v>0</v>
      </c>
      <c r="AE651" s="1418">
        <v>275.04000000000002</v>
      </c>
      <c r="AF651" s="1418">
        <f t="shared" si="228"/>
        <v>0</v>
      </c>
      <c r="AG651" s="1418">
        <v>91.68</v>
      </c>
      <c r="AH651" s="1418">
        <f t="shared" si="229"/>
        <v>0</v>
      </c>
      <c r="AI651" s="1428"/>
      <c r="AO651" s="2504">
        <v>275.04000000000002</v>
      </c>
      <c r="AP651" s="1418">
        <f t="shared" si="237"/>
        <v>0</v>
      </c>
    </row>
    <row r="652" spans="1:42" s="1410" customFormat="1" ht="15.75">
      <c r="A652" s="2102"/>
      <c r="B652" s="1268" t="s">
        <v>2678</v>
      </c>
      <c r="C652" s="1241" t="s">
        <v>3430</v>
      </c>
      <c r="D652" s="1245" t="s">
        <v>2822</v>
      </c>
      <c r="E652" s="1413">
        <v>2</v>
      </c>
      <c r="F652" s="1555">
        <v>89.72</v>
      </c>
      <c r="G652" s="1480">
        <v>91</v>
      </c>
      <c r="H652" s="1414">
        <v>91.68</v>
      </c>
      <c r="I652" s="1477">
        <f t="shared" si="224"/>
        <v>179.44</v>
      </c>
      <c r="J652" s="1477">
        <f t="shared" si="225"/>
        <v>182</v>
      </c>
      <c r="K652" s="1477">
        <v>0</v>
      </c>
      <c r="L652" s="1477">
        <f t="shared" si="230"/>
        <v>0</v>
      </c>
      <c r="M652" s="1477">
        <v>2</v>
      </c>
      <c r="N652" s="1477">
        <f t="shared" si="231"/>
        <v>2</v>
      </c>
      <c r="O652" s="1477">
        <f t="shared" si="232"/>
        <v>0</v>
      </c>
      <c r="P652" s="1477">
        <f t="shared" si="233"/>
        <v>182</v>
      </c>
      <c r="Q652" s="1477">
        <f t="shared" si="234"/>
        <v>183.36</v>
      </c>
      <c r="R652" s="1576">
        <f t="shared" si="235"/>
        <v>183.36</v>
      </c>
      <c r="S652" s="1869">
        <v>2</v>
      </c>
      <c r="T652" s="1866">
        <v>183.36</v>
      </c>
      <c r="U652" s="2442"/>
      <c r="V652" s="1866">
        <f t="shared" si="238"/>
        <v>0</v>
      </c>
      <c r="W652" s="1869">
        <f t="shared" si="244"/>
        <v>2</v>
      </c>
      <c r="X652" s="1870">
        <f t="shared" si="236"/>
        <v>183.36</v>
      </c>
      <c r="Y652" s="1871">
        <f t="shared" si="239"/>
        <v>1</v>
      </c>
      <c r="Z652" s="1694">
        <f t="shared" si="245"/>
        <v>0</v>
      </c>
      <c r="AA652" s="1872">
        <f t="shared" si="240"/>
        <v>0</v>
      </c>
      <c r="AB652" s="1873">
        <f t="shared" si="241"/>
        <v>0</v>
      </c>
      <c r="AC652" s="1418">
        <f t="shared" si="226"/>
        <v>0</v>
      </c>
      <c r="AD652" s="1418">
        <f t="shared" si="227"/>
        <v>0</v>
      </c>
      <c r="AE652" s="1418">
        <v>183.36</v>
      </c>
      <c r="AF652" s="1418">
        <f t="shared" si="228"/>
        <v>0</v>
      </c>
      <c r="AG652" s="1418">
        <v>91.68</v>
      </c>
      <c r="AH652" s="1418">
        <f t="shared" si="229"/>
        <v>0</v>
      </c>
      <c r="AI652" s="1428"/>
      <c r="AO652" s="2504">
        <v>183.36</v>
      </c>
      <c r="AP652" s="1418">
        <f t="shared" si="237"/>
        <v>0</v>
      </c>
    </row>
    <row r="653" spans="1:42" s="1410" customFormat="1" ht="15.75">
      <c r="A653" s="2102"/>
      <c r="B653" s="1268" t="s">
        <v>2679</v>
      </c>
      <c r="C653" s="1241" t="s">
        <v>3431</v>
      </c>
      <c r="D653" s="1245" t="s">
        <v>2822</v>
      </c>
      <c r="E653" s="1413">
        <v>3</v>
      </c>
      <c r="F653" s="1555">
        <v>89.72</v>
      </c>
      <c r="G653" s="1480">
        <v>91</v>
      </c>
      <c r="H653" s="1414">
        <v>91.68</v>
      </c>
      <c r="I653" s="1477">
        <f t="shared" si="224"/>
        <v>269.16000000000003</v>
      </c>
      <c r="J653" s="1477">
        <f t="shared" si="225"/>
        <v>273</v>
      </c>
      <c r="K653" s="1477">
        <v>0</v>
      </c>
      <c r="L653" s="1477">
        <f t="shared" si="230"/>
        <v>0</v>
      </c>
      <c r="M653" s="1477">
        <v>3</v>
      </c>
      <c r="N653" s="1477">
        <f t="shared" si="231"/>
        <v>3</v>
      </c>
      <c r="O653" s="1477">
        <f t="shared" si="232"/>
        <v>0</v>
      </c>
      <c r="P653" s="1477">
        <f t="shared" si="233"/>
        <v>273</v>
      </c>
      <c r="Q653" s="1477">
        <f t="shared" si="234"/>
        <v>275.04000000000002</v>
      </c>
      <c r="R653" s="1576">
        <f t="shared" si="235"/>
        <v>275.04000000000002</v>
      </c>
      <c r="S653" s="1869">
        <v>3</v>
      </c>
      <c r="T653" s="1866">
        <v>275.04000000000002</v>
      </c>
      <c r="U653" s="2442"/>
      <c r="V653" s="1866">
        <f t="shared" si="238"/>
        <v>0</v>
      </c>
      <c r="W653" s="1869">
        <f t="shared" si="244"/>
        <v>3</v>
      </c>
      <c r="X653" s="1870">
        <f t="shared" si="236"/>
        <v>275.04000000000002</v>
      </c>
      <c r="Y653" s="1871">
        <f t="shared" si="239"/>
        <v>1</v>
      </c>
      <c r="Z653" s="1694">
        <f t="shared" si="245"/>
        <v>0</v>
      </c>
      <c r="AA653" s="1872">
        <f t="shared" si="240"/>
        <v>0</v>
      </c>
      <c r="AB653" s="1873">
        <f t="shared" si="241"/>
        <v>0</v>
      </c>
      <c r="AC653" s="1418">
        <f t="shared" si="226"/>
        <v>0</v>
      </c>
      <c r="AD653" s="1418">
        <f t="shared" si="227"/>
        <v>0</v>
      </c>
      <c r="AE653" s="1418">
        <v>275.04000000000002</v>
      </c>
      <c r="AF653" s="1418">
        <f t="shared" si="228"/>
        <v>0</v>
      </c>
      <c r="AG653" s="1418">
        <v>91.68</v>
      </c>
      <c r="AH653" s="1418">
        <f t="shared" si="229"/>
        <v>0</v>
      </c>
      <c r="AI653" s="1428"/>
      <c r="AO653" s="2504">
        <v>275.04000000000002</v>
      </c>
      <c r="AP653" s="1418">
        <f t="shared" si="237"/>
        <v>0</v>
      </c>
    </row>
    <row r="654" spans="1:42" s="1410" customFormat="1" ht="15.75">
      <c r="A654" s="2102"/>
      <c r="B654" s="1268" t="s">
        <v>2680</v>
      </c>
      <c r="C654" s="1241" t="s">
        <v>3432</v>
      </c>
      <c r="D654" s="1245" t="s">
        <v>2822</v>
      </c>
      <c r="E654" s="1413">
        <v>3</v>
      </c>
      <c r="F654" s="1555">
        <v>80.540000000000006</v>
      </c>
      <c r="G654" s="1480">
        <v>81.819999999999993</v>
      </c>
      <c r="H654" s="1414">
        <v>82.5</v>
      </c>
      <c r="I654" s="1477">
        <f t="shared" si="224"/>
        <v>241.62</v>
      </c>
      <c r="J654" s="1477">
        <f t="shared" si="225"/>
        <v>245.46</v>
      </c>
      <c r="K654" s="1477">
        <v>0</v>
      </c>
      <c r="L654" s="1477">
        <f t="shared" si="230"/>
        <v>0</v>
      </c>
      <c r="M654" s="1477">
        <v>3</v>
      </c>
      <c r="N654" s="1477">
        <f t="shared" si="231"/>
        <v>3</v>
      </c>
      <c r="O654" s="1477">
        <f t="shared" si="232"/>
        <v>0</v>
      </c>
      <c r="P654" s="1477">
        <f t="shared" si="233"/>
        <v>245.46</v>
      </c>
      <c r="Q654" s="1477">
        <f t="shared" si="234"/>
        <v>247.5</v>
      </c>
      <c r="R654" s="1576">
        <f t="shared" si="235"/>
        <v>247.5</v>
      </c>
      <c r="S654" s="1869">
        <v>3</v>
      </c>
      <c r="T654" s="1866">
        <v>247.5</v>
      </c>
      <c r="U654" s="2442"/>
      <c r="V654" s="1866">
        <f t="shared" si="238"/>
        <v>0</v>
      </c>
      <c r="W654" s="1869">
        <f t="shared" si="244"/>
        <v>3</v>
      </c>
      <c r="X654" s="1870">
        <f t="shared" si="236"/>
        <v>247.5</v>
      </c>
      <c r="Y654" s="1871">
        <f t="shared" si="239"/>
        <v>1</v>
      </c>
      <c r="Z654" s="1694">
        <f t="shared" si="245"/>
        <v>0</v>
      </c>
      <c r="AA654" s="1872">
        <f t="shared" si="240"/>
        <v>0</v>
      </c>
      <c r="AB654" s="1873">
        <f t="shared" si="241"/>
        <v>0</v>
      </c>
      <c r="AC654" s="1418">
        <f t="shared" si="226"/>
        <v>0</v>
      </c>
      <c r="AD654" s="1418">
        <f t="shared" si="227"/>
        <v>0</v>
      </c>
      <c r="AE654" s="1418">
        <v>247.5</v>
      </c>
      <c r="AF654" s="1418">
        <f t="shared" si="228"/>
        <v>0</v>
      </c>
      <c r="AG654" s="1418">
        <v>82.5</v>
      </c>
      <c r="AH654" s="1418">
        <f t="shared" si="229"/>
        <v>0</v>
      </c>
      <c r="AI654" s="1428"/>
      <c r="AO654" s="2504">
        <v>247.5</v>
      </c>
      <c r="AP654" s="1418">
        <f t="shared" si="237"/>
        <v>0</v>
      </c>
    </row>
    <row r="655" spans="1:42" s="1410" customFormat="1" ht="15.75">
      <c r="A655" s="2102"/>
      <c r="B655" s="1268" t="s">
        <v>2681</v>
      </c>
      <c r="C655" s="1241" t="s">
        <v>3433</v>
      </c>
      <c r="D655" s="1245" t="s">
        <v>2822</v>
      </c>
      <c r="E655" s="1413">
        <v>3</v>
      </c>
      <c r="F655" s="1555">
        <v>50.72</v>
      </c>
      <c r="G655" s="1480">
        <v>52</v>
      </c>
      <c r="H655" s="1414">
        <v>52.68</v>
      </c>
      <c r="I655" s="1477">
        <f t="shared" si="224"/>
        <v>152.16</v>
      </c>
      <c r="J655" s="1477">
        <f t="shared" si="225"/>
        <v>156</v>
      </c>
      <c r="K655" s="1477">
        <v>0</v>
      </c>
      <c r="L655" s="1477">
        <f t="shared" si="230"/>
        <v>0</v>
      </c>
      <c r="M655" s="1477">
        <v>3</v>
      </c>
      <c r="N655" s="1477">
        <f t="shared" si="231"/>
        <v>3</v>
      </c>
      <c r="O655" s="1477">
        <f t="shared" si="232"/>
        <v>0</v>
      </c>
      <c r="P655" s="1477">
        <f t="shared" si="233"/>
        <v>156</v>
      </c>
      <c r="Q655" s="1477">
        <f t="shared" si="234"/>
        <v>158.04</v>
      </c>
      <c r="R655" s="1576">
        <f t="shared" si="235"/>
        <v>158.04</v>
      </c>
      <c r="S655" s="1869">
        <v>3</v>
      </c>
      <c r="T655" s="1866">
        <v>158.04</v>
      </c>
      <c r="U655" s="2442"/>
      <c r="V655" s="1866">
        <f t="shared" si="238"/>
        <v>0</v>
      </c>
      <c r="W655" s="1869">
        <f t="shared" si="244"/>
        <v>3</v>
      </c>
      <c r="X655" s="1870">
        <f t="shared" si="236"/>
        <v>158.04</v>
      </c>
      <c r="Y655" s="1871">
        <f t="shared" si="239"/>
        <v>1</v>
      </c>
      <c r="Z655" s="1694">
        <f t="shared" si="245"/>
        <v>0</v>
      </c>
      <c r="AA655" s="1872">
        <f t="shared" si="240"/>
        <v>0</v>
      </c>
      <c r="AB655" s="1873">
        <f t="shared" si="241"/>
        <v>0</v>
      </c>
      <c r="AC655" s="1418">
        <f t="shared" si="226"/>
        <v>0</v>
      </c>
      <c r="AD655" s="1418">
        <f t="shared" si="227"/>
        <v>0</v>
      </c>
      <c r="AE655" s="1418">
        <v>158.04</v>
      </c>
      <c r="AF655" s="1418">
        <f t="shared" si="228"/>
        <v>0</v>
      </c>
      <c r="AG655" s="1418">
        <v>52.68</v>
      </c>
      <c r="AH655" s="1418">
        <f t="shared" si="229"/>
        <v>0</v>
      </c>
      <c r="AI655" s="1428"/>
      <c r="AO655" s="2504">
        <v>158.04</v>
      </c>
      <c r="AP655" s="1418">
        <f t="shared" si="237"/>
        <v>0</v>
      </c>
    </row>
    <row r="656" spans="1:42" s="1410" customFormat="1" ht="15.75">
      <c r="A656" s="2102"/>
      <c r="B656" s="1268" t="s">
        <v>2682</v>
      </c>
      <c r="C656" s="1241" t="s">
        <v>3434</v>
      </c>
      <c r="D656" s="1245" t="s">
        <v>2822</v>
      </c>
      <c r="E656" s="1413">
        <v>4</v>
      </c>
      <c r="F656" s="1555">
        <v>40.03</v>
      </c>
      <c r="G656" s="1480">
        <v>41.31</v>
      </c>
      <c r="H656" s="1414">
        <v>41.99</v>
      </c>
      <c r="I656" s="1477">
        <f t="shared" ref="I656:I719" si="246">ROUND(E656*F656,2)</f>
        <v>160.12</v>
      </c>
      <c r="J656" s="1477">
        <f t="shared" ref="J656:J719" si="247">ROUND(E656*G656,2)</f>
        <v>165.24</v>
      </c>
      <c r="K656" s="1477">
        <v>0</v>
      </c>
      <c r="L656" s="1477">
        <f t="shared" si="230"/>
        <v>0</v>
      </c>
      <c r="M656" s="1477">
        <v>4</v>
      </c>
      <c r="N656" s="1477">
        <f t="shared" si="231"/>
        <v>4</v>
      </c>
      <c r="O656" s="1477">
        <f t="shared" si="232"/>
        <v>0</v>
      </c>
      <c r="P656" s="1477">
        <f t="shared" si="233"/>
        <v>165.24</v>
      </c>
      <c r="Q656" s="1477">
        <f t="shared" si="234"/>
        <v>167.96</v>
      </c>
      <c r="R656" s="1576">
        <f t="shared" si="235"/>
        <v>167.96</v>
      </c>
      <c r="S656" s="1869">
        <v>4</v>
      </c>
      <c r="T656" s="1866">
        <v>167.96</v>
      </c>
      <c r="U656" s="2442"/>
      <c r="V656" s="1866">
        <f t="shared" si="238"/>
        <v>0</v>
      </c>
      <c r="W656" s="1869">
        <f t="shared" si="244"/>
        <v>4</v>
      </c>
      <c r="X656" s="1870">
        <f t="shared" si="236"/>
        <v>167.96</v>
      </c>
      <c r="Y656" s="1871">
        <f t="shared" si="239"/>
        <v>1</v>
      </c>
      <c r="Z656" s="1694">
        <f t="shared" si="245"/>
        <v>0</v>
      </c>
      <c r="AA656" s="1872">
        <f t="shared" si="240"/>
        <v>0</v>
      </c>
      <c r="AB656" s="1873">
        <f t="shared" si="241"/>
        <v>0</v>
      </c>
      <c r="AC656" s="1418">
        <f t="shared" ref="AC656:AC719" si="248">+R656-X656-AA656</f>
        <v>0</v>
      </c>
      <c r="AD656" s="1418">
        <f t="shared" ref="AD656:AD719" si="249">+E656-W656-Z656</f>
        <v>0</v>
      </c>
      <c r="AE656" s="1418">
        <v>167.96</v>
      </c>
      <c r="AF656" s="1418">
        <f t="shared" ref="AF656:AF719" si="250">+AE656-R656</f>
        <v>0</v>
      </c>
      <c r="AG656" s="1418">
        <v>41.99</v>
      </c>
      <c r="AH656" s="1418">
        <f t="shared" ref="AH656:AH719" si="251">+AG656-H656</f>
        <v>0</v>
      </c>
      <c r="AI656" s="1428"/>
      <c r="AO656" s="2504">
        <v>167.96</v>
      </c>
      <c r="AP656" s="1418">
        <f t="shared" si="237"/>
        <v>0</v>
      </c>
    </row>
    <row r="657" spans="1:42" s="1410" customFormat="1" ht="15.75">
      <c r="A657" s="2102"/>
      <c r="B657" s="1268" t="s">
        <v>2683</v>
      </c>
      <c r="C657" s="1241" t="s">
        <v>3435</v>
      </c>
      <c r="D657" s="1245" t="s">
        <v>2822</v>
      </c>
      <c r="E657" s="1413">
        <v>40</v>
      </c>
      <c r="F657" s="1555">
        <v>40.03</v>
      </c>
      <c r="G657" s="1480">
        <v>41.31</v>
      </c>
      <c r="H657" s="1414">
        <v>41.99</v>
      </c>
      <c r="I657" s="1477">
        <f t="shared" si="246"/>
        <v>1601.2</v>
      </c>
      <c r="J657" s="1477">
        <f t="shared" si="247"/>
        <v>1652.4</v>
      </c>
      <c r="K657" s="1477">
        <v>0</v>
      </c>
      <c r="L657" s="1477">
        <f t="shared" ref="L657:L720" si="252">E657-N657</f>
        <v>0</v>
      </c>
      <c r="M657" s="1477">
        <v>40</v>
      </c>
      <c r="N657" s="1477">
        <f t="shared" ref="N657:N720" si="253">ROUND(M657,2)</f>
        <v>40</v>
      </c>
      <c r="O657" s="1477">
        <f t="shared" ref="O657:O720" si="254">ROUND(L657*G657,2)</f>
        <v>0</v>
      </c>
      <c r="P657" s="1477">
        <f t="shared" ref="P657:P720" si="255">ROUND(N657*G657,2)</f>
        <v>1652.4</v>
      </c>
      <c r="Q657" s="1477">
        <f t="shared" ref="Q657:Q720" si="256">ROUND(N657*H657,2)</f>
        <v>1679.6</v>
      </c>
      <c r="R657" s="1576">
        <f t="shared" ref="R657:R720" si="257">O657+Q657</f>
        <v>1679.6</v>
      </c>
      <c r="S657" s="1869">
        <v>40</v>
      </c>
      <c r="T657" s="1866">
        <v>1679.6000000000001</v>
      </c>
      <c r="U657" s="2442"/>
      <c r="V657" s="1866">
        <f t="shared" si="238"/>
        <v>0</v>
      </c>
      <c r="W657" s="1869">
        <f t="shared" si="244"/>
        <v>40</v>
      </c>
      <c r="X657" s="1870">
        <f t="shared" ref="X657:X719" si="258">+V657+T657</f>
        <v>1679.6000000000001</v>
      </c>
      <c r="Y657" s="1871">
        <f t="shared" si="239"/>
        <v>1.0000000000000002</v>
      </c>
      <c r="Z657" s="1694">
        <f t="shared" si="245"/>
        <v>0</v>
      </c>
      <c r="AA657" s="1872">
        <f t="shared" si="240"/>
        <v>0</v>
      </c>
      <c r="AB657" s="1873">
        <f t="shared" si="241"/>
        <v>0</v>
      </c>
      <c r="AC657" s="1418">
        <f t="shared" si="248"/>
        <v>-2.2737367544323206E-13</v>
      </c>
      <c r="AD657" s="1418">
        <f t="shared" si="249"/>
        <v>0</v>
      </c>
      <c r="AE657" s="1418">
        <v>1679.6000000000001</v>
      </c>
      <c r="AF657" s="1418">
        <f t="shared" si="250"/>
        <v>0</v>
      </c>
      <c r="AG657" s="1418">
        <v>41.99</v>
      </c>
      <c r="AH657" s="1418">
        <f t="shared" si="251"/>
        <v>0</v>
      </c>
      <c r="AI657" s="1428"/>
      <c r="AO657" s="2504">
        <v>1679.6000000000001</v>
      </c>
      <c r="AP657" s="1418">
        <f t="shared" ref="AP657:AP720" si="259">+AO657-X657</f>
        <v>0</v>
      </c>
    </row>
    <row r="658" spans="1:42" s="1410" customFormat="1" ht="15.75">
      <c r="A658" s="2102"/>
      <c r="B658" s="1268" t="s">
        <v>2684</v>
      </c>
      <c r="C658" s="1241" t="s">
        <v>3436</v>
      </c>
      <c r="D658" s="1245" t="s">
        <v>2822</v>
      </c>
      <c r="E658" s="1413">
        <v>40</v>
      </c>
      <c r="F658" s="1555">
        <v>40.03</v>
      </c>
      <c r="G658" s="1480">
        <v>41.31</v>
      </c>
      <c r="H658" s="1414">
        <v>41.99</v>
      </c>
      <c r="I658" s="1477">
        <f t="shared" si="246"/>
        <v>1601.2</v>
      </c>
      <c r="J658" s="1477">
        <f t="shared" si="247"/>
        <v>1652.4</v>
      </c>
      <c r="K658" s="1477">
        <v>0</v>
      </c>
      <c r="L658" s="1477">
        <f t="shared" si="252"/>
        <v>0</v>
      </c>
      <c r="M658" s="1477">
        <v>40</v>
      </c>
      <c r="N658" s="1477">
        <f t="shared" si="253"/>
        <v>40</v>
      </c>
      <c r="O658" s="1477">
        <f t="shared" si="254"/>
        <v>0</v>
      </c>
      <c r="P658" s="1477">
        <f t="shared" si="255"/>
        <v>1652.4</v>
      </c>
      <c r="Q658" s="1477">
        <f t="shared" si="256"/>
        <v>1679.6</v>
      </c>
      <c r="R658" s="1576">
        <f t="shared" si="257"/>
        <v>1679.6</v>
      </c>
      <c r="S658" s="1869">
        <v>40</v>
      </c>
      <c r="T658" s="1866">
        <v>1679.6000000000001</v>
      </c>
      <c r="U658" s="2442"/>
      <c r="V658" s="1866">
        <f t="shared" ref="V658:V721" si="260">+U658*H658</f>
        <v>0</v>
      </c>
      <c r="W658" s="1869">
        <f t="shared" si="244"/>
        <v>40</v>
      </c>
      <c r="X658" s="1870">
        <f t="shared" si="258"/>
        <v>1679.6000000000001</v>
      </c>
      <c r="Y658" s="1871">
        <f t="shared" ref="Y658:Y721" si="261">+IF(D658=0,"",X658/R658)</f>
        <v>1.0000000000000002</v>
      </c>
      <c r="Z658" s="1694">
        <f t="shared" si="245"/>
        <v>0</v>
      </c>
      <c r="AA658" s="1872">
        <f t="shared" ref="AA658:AA721" si="262">+Z658*H658</f>
        <v>0</v>
      </c>
      <c r="AB658" s="1873">
        <f t="shared" ref="AB658:AB721" si="263">+IF(R658=0,"",AA658/R658)</f>
        <v>0</v>
      </c>
      <c r="AC658" s="1418">
        <f t="shared" si="248"/>
        <v>-2.2737367544323206E-13</v>
      </c>
      <c r="AD658" s="1418">
        <f t="shared" si="249"/>
        <v>0</v>
      </c>
      <c r="AE658" s="1418">
        <v>1679.6000000000001</v>
      </c>
      <c r="AF658" s="1418">
        <f t="shared" si="250"/>
        <v>0</v>
      </c>
      <c r="AG658" s="1418">
        <v>41.99</v>
      </c>
      <c r="AH658" s="1418">
        <f t="shared" si="251"/>
        <v>0</v>
      </c>
      <c r="AI658" s="1428"/>
      <c r="AO658" s="2504">
        <v>1679.6000000000001</v>
      </c>
      <c r="AP658" s="1418">
        <f t="shared" si="259"/>
        <v>0</v>
      </c>
    </row>
    <row r="659" spans="1:42" s="1410" customFormat="1" ht="15.75">
      <c r="A659" s="2102"/>
      <c r="B659" s="1268" t="s">
        <v>2685</v>
      </c>
      <c r="C659" s="1241" t="s">
        <v>3437</v>
      </c>
      <c r="D659" s="1245" t="s">
        <v>2822</v>
      </c>
      <c r="E659" s="1413">
        <v>3</v>
      </c>
      <c r="F659" s="1555">
        <v>345.47</v>
      </c>
      <c r="G659" s="1480">
        <v>346.75</v>
      </c>
      <c r="H659" s="1414">
        <v>347.43</v>
      </c>
      <c r="I659" s="1477">
        <f t="shared" si="246"/>
        <v>1036.4100000000001</v>
      </c>
      <c r="J659" s="1477">
        <f t="shared" si="247"/>
        <v>1040.25</v>
      </c>
      <c r="K659" s="1477">
        <v>0</v>
      </c>
      <c r="L659" s="1477">
        <f t="shared" si="252"/>
        <v>0</v>
      </c>
      <c r="M659" s="1477">
        <v>3</v>
      </c>
      <c r="N659" s="1477">
        <f t="shared" si="253"/>
        <v>3</v>
      </c>
      <c r="O659" s="1477">
        <f t="shared" si="254"/>
        <v>0</v>
      </c>
      <c r="P659" s="1477">
        <f t="shared" si="255"/>
        <v>1040.25</v>
      </c>
      <c r="Q659" s="1477">
        <f t="shared" si="256"/>
        <v>1042.29</v>
      </c>
      <c r="R659" s="1576">
        <f t="shared" si="257"/>
        <v>1042.29</v>
      </c>
      <c r="S659" s="1869">
        <v>3</v>
      </c>
      <c r="T659" s="1866">
        <v>1042.29</v>
      </c>
      <c r="U659" s="2442"/>
      <c r="V659" s="1866">
        <f t="shared" si="260"/>
        <v>0</v>
      </c>
      <c r="W659" s="1869">
        <f t="shared" si="244"/>
        <v>3</v>
      </c>
      <c r="X659" s="1870">
        <f t="shared" si="258"/>
        <v>1042.29</v>
      </c>
      <c r="Y659" s="1871">
        <f t="shared" si="261"/>
        <v>1</v>
      </c>
      <c r="Z659" s="1694">
        <f t="shared" si="245"/>
        <v>0</v>
      </c>
      <c r="AA659" s="1872">
        <f t="shared" si="262"/>
        <v>0</v>
      </c>
      <c r="AB659" s="1873">
        <f t="shared" si="263"/>
        <v>0</v>
      </c>
      <c r="AC659" s="1418">
        <f t="shared" si="248"/>
        <v>0</v>
      </c>
      <c r="AD659" s="1418">
        <f t="shared" si="249"/>
        <v>0</v>
      </c>
      <c r="AE659" s="1418">
        <v>1042.29</v>
      </c>
      <c r="AF659" s="1418">
        <f t="shared" si="250"/>
        <v>0</v>
      </c>
      <c r="AG659" s="1418">
        <v>347.43</v>
      </c>
      <c r="AH659" s="1418">
        <f t="shared" si="251"/>
        <v>0</v>
      </c>
      <c r="AI659" s="1428"/>
      <c r="AO659" s="2504">
        <v>1042.29</v>
      </c>
      <c r="AP659" s="1418">
        <f t="shared" si="259"/>
        <v>0</v>
      </c>
    </row>
    <row r="660" spans="1:42" s="1410" customFormat="1" ht="15.75">
      <c r="A660" s="2102"/>
      <c r="B660" s="1268" t="s">
        <v>2686</v>
      </c>
      <c r="C660" s="1241" t="s">
        <v>3438</v>
      </c>
      <c r="D660" s="1245" t="s">
        <v>2822</v>
      </c>
      <c r="E660" s="1413">
        <v>2</v>
      </c>
      <c r="F660" s="1555">
        <v>180.27</v>
      </c>
      <c r="G660" s="1480">
        <v>181.55</v>
      </c>
      <c r="H660" s="1414">
        <v>182.23</v>
      </c>
      <c r="I660" s="1477">
        <f t="shared" si="246"/>
        <v>360.54</v>
      </c>
      <c r="J660" s="1477">
        <f t="shared" si="247"/>
        <v>363.1</v>
      </c>
      <c r="K660" s="1477">
        <v>0</v>
      </c>
      <c r="L660" s="1477">
        <f t="shared" si="252"/>
        <v>0</v>
      </c>
      <c r="M660" s="1477">
        <v>2</v>
      </c>
      <c r="N660" s="1477">
        <f t="shared" si="253"/>
        <v>2</v>
      </c>
      <c r="O660" s="1477">
        <f t="shared" si="254"/>
        <v>0</v>
      </c>
      <c r="P660" s="1477">
        <f t="shared" si="255"/>
        <v>363.1</v>
      </c>
      <c r="Q660" s="1477">
        <f t="shared" si="256"/>
        <v>364.46</v>
      </c>
      <c r="R660" s="1576">
        <f t="shared" si="257"/>
        <v>364.46</v>
      </c>
      <c r="S660" s="1869">
        <v>0</v>
      </c>
      <c r="T660" s="1866">
        <v>0</v>
      </c>
      <c r="U660" s="2442"/>
      <c r="V660" s="1866">
        <f t="shared" si="260"/>
        <v>0</v>
      </c>
      <c r="W660" s="1869">
        <f t="shared" si="244"/>
        <v>0</v>
      </c>
      <c r="X660" s="1870">
        <f t="shared" si="258"/>
        <v>0</v>
      </c>
      <c r="Y660" s="1871">
        <f t="shared" si="261"/>
        <v>0</v>
      </c>
      <c r="Z660" s="1694">
        <f t="shared" si="245"/>
        <v>2</v>
      </c>
      <c r="AA660" s="1872">
        <f t="shared" si="262"/>
        <v>364.46</v>
      </c>
      <c r="AB660" s="1873">
        <f t="shared" si="263"/>
        <v>1</v>
      </c>
      <c r="AC660" s="1418">
        <f t="shared" si="248"/>
        <v>0</v>
      </c>
      <c r="AD660" s="1418">
        <f t="shared" si="249"/>
        <v>0</v>
      </c>
      <c r="AE660" s="1418">
        <v>364.46</v>
      </c>
      <c r="AF660" s="1418">
        <f t="shared" si="250"/>
        <v>0</v>
      </c>
      <c r="AG660" s="1418">
        <v>182.23</v>
      </c>
      <c r="AH660" s="1418">
        <f t="shared" si="251"/>
        <v>0</v>
      </c>
      <c r="AI660" s="1428"/>
      <c r="AO660" s="2504">
        <v>0</v>
      </c>
      <c r="AP660" s="1418">
        <f t="shared" si="259"/>
        <v>0</v>
      </c>
    </row>
    <row r="661" spans="1:42" s="1410" customFormat="1" ht="15.75">
      <c r="A661" s="2102"/>
      <c r="B661" s="1268" t="s">
        <v>2687</v>
      </c>
      <c r="C661" s="1241" t="s">
        <v>3439</v>
      </c>
      <c r="D661" s="1245" t="s">
        <v>2822</v>
      </c>
      <c r="E661" s="1413">
        <v>2</v>
      </c>
      <c r="F661" s="1555">
        <v>333.67</v>
      </c>
      <c r="G661" s="1480">
        <v>334.95</v>
      </c>
      <c r="H661" s="1414">
        <v>335.63</v>
      </c>
      <c r="I661" s="1477">
        <f t="shared" si="246"/>
        <v>667.34</v>
      </c>
      <c r="J661" s="1477">
        <f t="shared" si="247"/>
        <v>669.9</v>
      </c>
      <c r="K661" s="1477">
        <v>0</v>
      </c>
      <c r="L661" s="1477">
        <f t="shared" si="252"/>
        <v>0</v>
      </c>
      <c r="M661" s="1477">
        <v>2</v>
      </c>
      <c r="N661" s="1477">
        <f t="shared" si="253"/>
        <v>2</v>
      </c>
      <c r="O661" s="1477">
        <f t="shared" si="254"/>
        <v>0</v>
      </c>
      <c r="P661" s="1477">
        <f t="shared" si="255"/>
        <v>669.9</v>
      </c>
      <c r="Q661" s="1477">
        <f t="shared" si="256"/>
        <v>671.26</v>
      </c>
      <c r="R661" s="1576">
        <f t="shared" si="257"/>
        <v>671.26</v>
      </c>
      <c r="S661" s="1869">
        <v>0</v>
      </c>
      <c r="T661" s="1866">
        <v>0</v>
      </c>
      <c r="U661" s="2442"/>
      <c r="V661" s="1866">
        <f t="shared" si="260"/>
        <v>0</v>
      </c>
      <c r="W661" s="1869">
        <f t="shared" si="244"/>
        <v>0</v>
      </c>
      <c r="X661" s="1870">
        <f t="shared" si="258"/>
        <v>0</v>
      </c>
      <c r="Y661" s="1871">
        <f t="shared" si="261"/>
        <v>0</v>
      </c>
      <c r="Z661" s="1694">
        <f t="shared" si="245"/>
        <v>2</v>
      </c>
      <c r="AA661" s="1872">
        <f t="shared" si="262"/>
        <v>671.26</v>
      </c>
      <c r="AB661" s="1873">
        <f t="shared" si="263"/>
        <v>1</v>
      </c>
      <c r="AC661" s="1418">
        <f t="shared" si="248"/>
        <v>0</v>
      </c>
      <c r="AD661" s="1418">
        <f t="shared" si="249"/>
        <v>0</v>
      </c>
      <c r="AE661" s="1418">
        <v>671.26</v>
      </c>
      <c r="AF661" s="1418">
        <f t="shared" si="250"/>
        <v>0</v>
      </c>
      <c r="AG661" s="1418">
        <v>335.63</v>
      </c>
      <c r="AH661" s="1418">
        <f t="shared" si="251"/>
        <v>0</v>
      </c>
      <c r="AI661" s="1428"/>
      <c r="AO661" s="2504">
        <v>0</v>
      </c>
      <c r="AP661" s="1418">
        <f t="shared" si="259"/>
        <v>0</v>
      </c>
    </row>
    <row r="662" spans="1:42" s="1410" customFormat="1" ht="15.75">
      <c r="A662" s="2102"/>
      <c r="B662" s="1268" t="s">
        <v>2688</v>
      </c>
      <c r="C662" s="1241" t="s">
        <v>3440</v>
      </c>
      <c r="D662" s="1245" t="s">
        <v>2822</v>
      </c>
      <c r="E662" s="1413">
        <v>50</v>
      </c>
      <c r="F662" s="1555">
        <v>95.29</v>
      </c>
      <c r="G662" s="1480">
        <v>96.57</v>
      </c>
      <c r="H662" s="1414">
        <v>97.25</v>
      </c>
      <c r="I662" s="1477">
        <f t="shared" si="246"/>
        <v>4764.5</v>
      </c>
      <c r="J662" s="1477">
        <f t="shared" si="247"/>
        <v>4828.5</v>
      </c>
      <c r="K662" s="1477">
        <v>0</v>
      </c>
      <c r="L662" s="1477">
        <f t="shared" si="252"/>
        <v>0</v>
      </c>
      <c r="M662" s="1477">
        <v>50</v>
      </c>
      <c r="N662" s="1477">
        <f t="shared" si="253"/>
        <v>50</v>
      </c>
      <c r="O662" s="1477">
        <f t="shared" si="254"/>
        <v>0</v>
      </c>
      <c r="P662" s="1477">
        <f t="shared" si="255"/>
        <v>4828.5</v>
      </c>
      <c r="Q662" s="1477">
        <f t="shared" si="256"/>
        <v>4862.5</v>
      </c>
      <c r="R662" s="1576">
        <f t="shared" si="257"/>
        <v>4862.5</v>
      </c>
      <c r="S662" s="1869">
        <v>50</v>
      </c>
      <c r="T662" s="1866">
        <v>4862.5</v>
      </c>
      <c r="U662" s="2442"/>
      <c r="V662" s="1866">
        <f t="shared" si="260"/>
        <v>0</v>
      </c>
      <c r="W662" s="1869">
        <f t="shared" si="244"/>
        <v>50</v>
      </c>
      <c r="X662" s="1870">
        <f t="shared" si="258"/>
        <v>4862.5</v>
      </c>
      <c r="Y662" s="1871">
        <f t="shared" si="261"/>
        <v>1</v>
      </c>
      <c r="Z662" s="1694">
        <f t="shared" si="245"/>
        <v>0</v>
      </c>
      <c r="AA662" s="1872">
        <f t="shared" si="262"/>
        <v>0</v>
      </c>
      <c r="AB662" s="1873">
        <f t="shared" si="263"/>
        <v>0</v>
      </c>
      <c r="AC662" s="1418">
        <f t="shared" si="248"/>
        <v>0</v>
      </c>
      <c r="AD662" s="1418">
        <f t="shared" si="249"/>
        <v>0</v>
      </c>
      <c r="AE662" s="1418">
        <v>4862.5</v>
      </c>
      <c r="AF662" s="1418">
        <f t="shared" si="250"/>
        <v>0</v>
      </c>
      <c r="AG662" s="1418">
        <v>97.25</v>
      </c>
      <c r="AH662" s="1418">
        <f t="shared" si="251"/>
        <v>0</v>
      </c>
      <c r="AI662" s="1428"/>
      <c r="AO662" s="2504">
        <v>4862.5</v>
      </c>
      <c r="AP662" s="1418">
        <f t="shared" si="259"/>
        <v>0</v>
      </c>
    </row>
    <row r="663" spans="1:42" s="1410" customFormat="1" ht="15.75">
      <c r="A663" s="2102"/>
      <c r="B663" s="1268" t="s">
        <v>2689</v>
      </c>
      <c r="C663" s="1241" t="s">
        <v>3441</v>
      </c>
      <c r="D663" s="1245" t="s">
        <v>2822</v>
      </c>
      <c r="E663" s="1413">
        <v>50</v>
      </c>
      <c r="F663" s="1555">
        <v>95.29</v>
      </c>
      <c r="G663" s="1480">
        <v>96.57</v>
      </c>
      <c r="H663" s="1414">
        <v>97.25</v>
      </c>
      <c r="I663" s="1477">
        <f t="shared" si="246"/>
        <v>4764.5</v>
      </c>
      <c r="J663" s="1477">
        <f t="shared" si="247"/>
        <v>4828.5</v>
      </c>
      <c r="K663" s="1477">
        <v>0</v>
      </c>
      <c r="L663" s="1477">
        <f t="shared" si="252"/>
        <v>0</v>
      </c>
      <c r="M663" s="1477">
        <v>50</v>
      </c>
      <c r="N663" s="1477">
        <f t="shared" si="253"/>
        <v>50</v>
      </c>
      <c r="O663" s="1477">
        <f t="shared" si="254"/>
        <v>0</v>
      </c>
      <c r="P663" s="1477">
        <f t="shared" si="255"/>
        <v>4828.5</v>
      </c>
      <c r="Q663" s="1477">
        <f t="shared" si="256"/>
        <v>4862.5</v>
      </c>
      <c r="R663" s="1576">
        <f t="shared" si="257"/>
        <v>4862.5</v>
      </c>
      <c r="S663" s="1869">
        <v>50</v>
      </c>
      <c r="T663" s="1866">
        <v>4862.5</v>
      </c>
      <c r="U663" s="2442"/>
      <c r="V663" s="1866">
        <f t="shared" si="260"/>
        <v>0</v>
      </c>
      <c r="W663" s="1869">
        <f t="shared" si="244"/>
        <v>50</v>
      </c>
      <c r="X663" s="1870">
        <f t="shared" si="258"/>
        <v>4862.5</v>
      </c>
      <c r="Y663" s="1871">
        <f t="shared" si="261"/>
        <v>1</v>
      </c>
      <c r="Z663" s="1694">
        <f t="shared" si="245"/>
        <v>0</v>
      </c>
      <c r="AA663" s="1872">
        <f t="shared" si="262"/>
        <v>0</v>
      </c>
      <c r="AB663" s="1873">
        <f t="shared" si="263"/>
        <v>0</v>
      </c>
      <c r="AC663" s="1418">
        <f t="shared" si="248"/>
        <v>0</v>
      </c>
      <c r="AD663" s="1418">
        <f t="shared" si="249"/>
        <v>0</v>
      </c>
      <c r="AE663" s="1418">
        <v>4862.5</v>
      </c>
      <c r="AF663" s="1418">
        <f t="shared" si="250"/>
        <v>0</v>
      </c>
      <c r="AG663" s="1418">
        <v>97.25</v>
      </c>
      <c r="AH663" s="1418">
        <f t="shared" si="251"/>
        <v>0</v>
      </c>
      <c r="AI663" s="1428"/>
      <c r="AO663" s="2504">
        <v>4862.5</v>
      </c>
      <c r="AP663" s="1418">
        <f t="shared" si="259"/>
        <v>0</v>
      </c>
    </row>
    <row r="664" spans="1:42" s="1410" customFormat="1" ht="15.75">
      <c r="A664" s="2102"/>
      <c r="B664" s="1272" t="s">
        <v>1118</v>
      </c>
      <c r="C664" s="1262" t="s">
        <v>3442</v>
      </c>
      <c r="D664" s="1273"/>
      <c r="E664" s="1415"/>
      <c r="F664" s="1267"/>
      <c r="G664" s="1480"/>
      <c r="H664" s="1416"/>
      <c r="I664" s="1477">
        <f t="shared" si="246"/>
        <v>0</v>
      </c>
      <c r="J664" s="1477">
        <f t="shared" si="247"/>
        <v>0</v>
      </c>
      <c r="K664" s="1477"/>
      <c r="L664" s="1477">
        <f t="shared" si="252"/>
        <v>0</v>
      </c>
      <c r="M664" s="1477"/>
      <c r="N664" s="1477">
        <f t="shared" si="253"/>
        <v>0</v>
      </c>
      <c r="O664" s="1477">
        <f t="shared" si="254"/>
        <v>0</v>
      </c>
      <c r="P664" s="1477">
        <f t="shared" si="255"/>
        <v>0</v>
      </c>
      <c r="Q664" s="1477">
        <f t="shared" si="256"/>
        <v>0</v>
      </c>
      <c r="R664" s="1576">
        <f t="shared" si="257"/>
        <v>0</v>
      </c>
      <c r="S664" s="1869"/>
      <c r="T664" s="1866"/>
      <c r="U664" s="2442"/>
      <c r="V664" s="1866">
        <f t="shared" si="260"/>
        <v>0</v>
      </c>
      <c r="W664" s="1869"/>
      <c r="X664" s="1870"/>
      <c r="Y664" s="1871" t="str">
        <f t="shared" si="261"/>
        <v/>
      </c>
      <c r="Z664" s="1694"/>
      <c r="AA664" s="1872">
        <f t="shared" si="262"/>
        <v>0</v>
      </c>
      <c r="AB664" s="1873" t="str">
        <f t="shared" si="263"/>
        <v/>
      </c>
      <c r="AC664" s="1418">
        <f t="shared" si="248"/>
        <v>0</v>
      </c>
      <c r="AD664" s="1418">
        <f t="shared" si="249"/>
        <v>0</v>
      </c>
      <c r="AE664" s="1418"/>
      <c r="AF664" s="1418">
        <f t="shared" si="250"/>
        <v>0</v>
      </c>
      <c r="AG664" s="1418"/>
      <c r="AH664" s="1418">
        <f t="shared" si="251"/>
        <v>0</v>
      </c>
      <c r="AI664" s="1428"/>
      <c r="AO664" s="2504"/>
      <c r="AP664" s="1418">
        <f t="shared" si="259"/>
        <v>0</v>
      </c>
    </row>
    <row r="665" spans="1:42" s="1410" customFormat="1" ht="15.75">
      <c r="A665" s="2102"/>
      <c r="B665" s="1268" t="s">
        <v>1119</v>
      </c>
      <c r="C665" s="1241" t="s">
        <v>3443</v>
      </c>
      <c r="D665" s="1245" t="s">
        <v>38</v>
      </c>
      <c r="E665" s="1413">
        <v>307</v>
      </c>
      <c r="F665" s="1555">
        <v>7</v>
      </c>
      <c r="G665" s="1480">
        <v>7.31</v>
      </c>
      <c r="H665" s="1414">
        <v>7.49</v>
      </c>
      <c r="I665" s="1477">
        <f t="shared" si="246"/>
        <v>2149</v>
      </c>
      <c r="J665" s="1477">
        <f t="shared" si="247"/>
        <v>2244.17</v>
      </c>
      <c r="K665" s="1477">
        <v>0</v>
      </c>
      <c r="L665" s="1477">
        <f t="shared" si="252"/>
        <v>0</v>
      </c>
      <c r="M665" s="1477">
        <v>307</v>
      </c>
      <c r="N665" s="1477">
        <f t="shared" si="253"/>
        <v>307</v>
      </c>
      <c r="O665" s="1477">
        <f t="shared" si="254"/>
        <v>0</v>
      </c>
      <c r="P665" s="1477">
        <f t="shared" si="255"/>
        <v>2244.17</v>
      </c>
      <c r="Q665" s="1477">
        <f t="shared" si="256"/>
        <v>2299.4299999999998</v>
      </c>
      <c r="R665" s="1576">
        <f t="shared" si="257"/>
        <v>2299.4299999999998</v>
      </c>
      <c r="S665" s="1869">
        <v>307</v>
      </c>
      <c r="T665" s="1866">
        <v>2299.4300000000003</v>
      </c>
      <c r="U665" s="2442"/>
      <c r="V665" s="1866">
        <f t="shared" si="260"/>
        <v>0</v>
      </c>
      <c r="W665" s="1869">
        <f>S665+U665</f>
        <v>307</v>
      </c>
      <c r="X665" s="1870">
        <f t="shared" si="258"/>
        <v>2299.4300000000003</v>
      </c>
      <c r="Y665" s="1871">
        <f t="shared" si="261"/>
        <v>1.0000000000000002</v>
      </c>
      <c r="Z665" s="1694">
        <f>+E665-W665</f>
        <v>0</v>
      </c>
      <c r="AA665" s="1872">
        <f t="shared" si="262"/>
        <v>0</v>
      </c>
      <c r="AB665" s="1873">
        <f t="shared" si="263"/>
        <v>0</v>
      </c>
      <c r="AC665" s="1418">
        <f t="shared" si="248"/>
        <v>-4.5474735088646412E-13</v>
      </c>
      <c r="AD665" s="1418">
        <f t="shared" si="249"/>
        <v>0</v>
      </c>
      <c r="AE665" s="1418">
        <v>2299.4300000000003</v>
      </c>
      <c r="AF665" s="1418">
        <f t="shared" si="250"/>
        <v>0</v>
      </c>
      <c r="AG665" s="1418">
        <v>7.49</v>
      </c>
      <c r="AH665" s="1418">
        <f t="shared" si="251"/>
        <v>0</v>
      </c>
      <c r="AI665" s="1428"/>
      <c r="AO665" s="2504">
        <v>2299.4300000000003</v>
      </c>
      <c r="AP665" s="1418">
        <f t="shared" si="259"/>
        <v>0</v>
      </c>
    </row>
    <row r="666" spans="1:42" s="1410" customFormat="1" ht="15.75">
      <c r="A666" s="2102"/>
      <c r="B666" s="1268" t="s">
        <v>2690</v>
      </c>
      <c r="C666" s="1241" t="s">
        <v>3444</v>
      </c>
      <c r="D666" s="1245" t="s">
        <v>36</v>
      </c>
      <c r="E666" s="1413">
        <v>43</v>
      </c>
      <c r="F666" s="1555">
        <v>5.42</v>
      </c>
      <c r="G666" s="1480">
        <v>5.67</v>
      </c>
      <c r="H666" s="1414">
        <v>5.8</v>
      </c>
      <c r="I666" s="1477">
        <f t="shared" si="246"/>
        <v>233.06</v>
      </c>
      <c r="J666" s="1477">
        <f t="shared" si="247"/>
        <v>243.81</v>
      </c>
      <c r="K666" s="1477">
        <v>0</v>
      </c>
      <c r="L666" s="1477">
        <f t="shared" si="252"/>
        <v>0</v>
      </c>
      <c r="M666" s="1477">
        <v>43</v>
      </c>
      <c r="N666" s="1477">
        <f t="shared" si="253"/>
        <v>43</v>
      </c>
      <c r="O666" s="1477">
        <f t="shared" si="254"/>
        <v>0</v>
      </c>
      <c r="P666" s="1477">
        <f t="shared" si="255"/>
        <v>243.81</v>
      </c>
      <c r="Q666" s="1477">
        <f t="shared" si="256"/>
        <v>249.4</v>
      </c>
      <c r="R666" s="1576">
        <f t="shared" si="257"/>
        <v>249.4</v>
      </c>
      <c r="S666" s="1869">
        <v>43</v>
      </c>
      <c r="T666" s="1866">
        <v>249.4</v>
      </c>
      <c r="U666" s="2442"/>
      <c r="V666" s="1866">
        <f t="shared" si="260"/>
        <v>0</v>
      </c>
      <c r="W666" s="1869">
        <f>S666+U666</f>
        <v>43</v>
      </c>
      <c r="X666" s="1870">
        <f t="shared" si="258"/>
        <v>249.4</v>
      </c>
      <c r="Y666" s="1871">
        <f t="shared" si="261"/>
        <v>1</v>
      </c>
      <c r="Z666" s="1694">
        <f>+E666-W666</f>
        <v>0</v>
      </c>
      <c r="AA666" s="1872">
        <f t="shared" si="262"/>
        <v>0</v>
      </c>
      <c r="AB666" s="1873">
        <f t="shared" si="263"/>
        <v>0</v>
      </c>
      <c r="AC666" s="1418">
        <f t="shared" si="248"/>
        <v>0</v>
      </c>
      <c r="AD666" s="1418">
        <f t="shared" si="249"/>
        <v>0</v>
      </c>
      <c r="AE666" s="1418">
        <v>249.4</v>
      </c>
      <c r="AF666" s="1418">
        <f t="shared" si="250"/>
        <v>0</v>
      </c>
      <c r="AG666" s="1418">
        <v>5.8</v>
      </c>
      <c r="AH666" s="1418">
        <f t="shared" si="251"/>
        <v>0</v>
      </c>
      <c r="AI666" s="1428"/>
      <c r="AO666" s="2504">
        <v>249.4</v>
      </c>
      <c r="AP666" s="1418">
        <f t="shared" si="259"/>
        <v>0</v>
      </c>
    </row>
    <row r="667" spans="1:42" s="1410" customFormat="1" ht="15.75">
      <c r="A667" s="2102"/>
      <c r="B667" s="1268" t="s">
        <v>2691</v>
      </c>
      <c r="C667" s="1241" t="s">
        <v>3445</v>
      </c>
      <c r="D667" s="1245" t="s">
        <v>36</v>
      </c>
      <c r="E667" s="1413">
        <v>6</v>
      </c>
      <c r="F667" s="1555">
        <v>5.21</v>
      </c>
      <c r="G667" s="1480">
        <v>5.46</v>
      </c>
      <c r="H667" s="1414">
        <v>5.59</v>
      </c>
      <c r="I667" s="1477">
        <f t="shared" si="246"/>
        <v>31.26</v>
      </c>
      <c r="J667" s="1477">
        <f t="shared" si="247"/>
        <v>32.76</v>
      </c>
      <c r="K667" s="1477">
        <v>0</v>
      </c>
      <c r="L667" s="1477">
        <f t="shared" si="252"/>
        <v>0</v>
      </c>
      <c r="M667" s="1477">
        <v>6</v>
      </c>
      <c r="N667" s="1477">
        <f t="shared" si="253"/>
        <v>6</v>
      </c>
      <c r="O667" s="1477">
        <f t="shared" si="254"/>
        <v>0</v>
      </c>
      <c r="P667" s="1477">
        <f t="shared" si="255"/>
        <v>32.76</v>
      </c>
      <c r="Q667" s="1477">
        <f t="shared" si="256"/>
        <v>33.54</v>
      </c>
      <c r="R667" s="1576">
        <f t="shared" si="257"/>
        <v>33.54</v>
      </c>
      <c r="S667" s="1869">
        <v>6</v>
      </c>
      <c r="T667" s="1866">
        <v>33.54</v>
      </c>
      <c r="U667" s="2442"/>
      <c r="V667" s="1866">
        <f t="shared" si="260"/>
        <v>0</v>
      </c>
      <c r="W667" s="1869">
        <f>S667+U667</f>
        <v>6</v>
      </c>
      <c r="X667" s="1870">
        <f t="shared" si="258"/>
        <v>33.54</v>
      </c>
      <c r="Y667" s="1871">
        <f t="shared" si="261"/>
        <v>1</v>
      </c>
      <c r="Z667" s="1694">
        <f>+E667-W667</f>
        <v>0</v>
      </c>
      <c r="AA667" s="1872">
        <f t="shared" si="262"/>
        <v>0</v>
      </c>
      <c r="AB667" s="1873">
        <f t="shared" si="263"/>
        <v>0</v>
      </c>
      <c r="AC667" s="1418">
        <f t="shared" si="248"/>
        <v>0</v>
      </c>
      <c r="AD667" s="1418">
        <f t="shared" si="249"/>
        <v>0</v>
      </c>
      <c r="AE667" s="1418">
        <v>33.54</v>
      </c>
      <c r="AF667" s="1418">
        <f t="shared" si="250"/>
        <v>0</v>
      </c>
      <c r="AG667" s="1418">
        <v>5.59</v>
      </c>
      <c r="AH667" s="1418">
        <f t="shared" si="251"/>
        <v>0</v>
      </c>
      <c r="AI667" s="1428"/>
      <c r="AO667" s="2504">
        <v>33.54</v>
      </c>
      <c r="AP667" s="1418">
        <f t="shared" si="259"/>
        <v>0</v>
      </c>
    </row>
    <row r="668" spans="1:42" s="1410" customFormat="1" ht="15.75">
      <c r="A668" s="2102"/>
      <c r="B668" s="1272" t="s">
        <v>1120</v>
      </c>
      <c r="C668" s="1262" t="s">
        <v>3446</v>
      </c>
      <c r="D668" s="1273"/>
      <c r="E668" s="1415"/>
      <c r="F668" s="1267"/>
      <c r="G668" s="1480"/>
      <c r="H668" s="1416"/>
      <c r="I668" s="1477">
        <f t="shared" si="246"/>
        <v>0</v>
      </c>
      <c r="J668" s="1477">
        <f t="shared" si="247"/>
        <v>0</v>
      </c>
      <c r="K668" s="1477"/>
      <c r="L668" s="1477">
        <f t="shared" si="252"/>
        <v>0</v>
      </c>
      <c r="M668" s="1477"/>
      <c r="N668" s="1477">
        <f t="shared" si="253"/>
        <v>0</v>
      </c>
      <c r="O668" s="1477">
        <f t="shared" si="254"/>
        <v>0</v>
      </c>
      <c r="P668" s="1477">
        <f t="shared" si="255"/>
        <v>0</v>
      </c>
      <c r="Q668" s="1477">
        <f t="shared" si="256"/>
        <v>0</v>
      </c>
      <c r="R668" s="1576">
        <f t="shared" si="257"/>
        <v>0</v>
      </c>
      <c r="S668" s="1869"/>
      <c r="T668" s="1866"/>
      <c r="U668" s="2442"/>
      <c r="V668" s="1866">
        <f t="shared" si="260"/>
        <v>0</v>
      </c>
      <c r="W668" s="1869"/>
      <c r="X668" s="1870"/>
      <c r="Y668" s="1871" t="str">
        <f t="shared" si="261"/>
        <v/>
      </c>
      <c r="Z668" s="1694"/>
      <c r="AA668" s="1872">
        <f t="shared" si="262"/>
        <v>0</v>
      </c>
      <c r="AB668" s="1873" t="str">
        <f t="shared" si="263"/>
        <v/>
      </c>
      <c r="AC668" s="1418">
        <f t="shared" si="248"/>
        <v>0</v>
      </c>
      <c r="AD668" s="1418">
        <f t="shared" si="249"/>
        <v>0</v>
      </c>
      <c r="AE668" s="1418"/>
      <c r="AF668" s="1418">
        <f t="shared" si="250"/>
        <v>0</v>
      </c>
      <c r="AG668" s="1418"/>
      <c r="AH668" s="1418">
        <f t="shared" si="251"/>
        <v>0</v>
      </c>
      <c r="AI668" s="1428"/>
      <c r="AO668" s="2504"/>
      <c r="AP668" s="1418">
        <f t="shared" si="259"/>
        <v>0</v>
      </c>
    </row>
    <row r="669" spans="1:42" s="1410" customFormat="1" ht="15.75">
      <c r="A669" s="2102"/>
      <c r="B669" s="1268" t="s">
        <v>1121</v>
      </c>
      <c r="C669" s="1241" t="s">
        <v>3447</v>
      </c>
      <c r="D669" s="1245" t="s">
        <v>38</v>
      </c>
      <c r="E669" s="1413">
        <v>23</v>
      </c>
      <c r="F669" s="1555">
        <v>10.19</v>
      </c>
      <c r="G669" s="1480">
        <v>10.65</v>
      </c>
      <c r="H669" s="1414">
        <v>10.89</v>
      </c>
      <c r="I669" s="1477">
        <f t="shared" si="246"/>
        <v>234.37</v>
      </c>
      <c r="J669" s="1477">
        <f t="shared" si="247"/>
        <v>244.95</v>
      </c>
      <c r="K669" s="1477">
        <v>0</v>
      </c>
      <c r="L669" s="1477">
        <f t="shared" si="252"/>
        <v>0</v>
      </c>
      <c r="M669" s="1477">
        <v>23</v>
      </c>
      <c r="N669" s="1477">
        <f t="shared" si="253"/>
        <v>23</v>
      </c>
      <c r="O669" s="1477">
        <f t="shared" si="254"/>
        <v>0</v>
      </c>
      <c r="P669" s="1477">
        <f t="shared" si="255"/>
        <v>244.95</v>
      </c>
      <c r="Q669" s="1477">
        <f t="shared" si="256"/>
        <v>250.47</v>
      </c>
      <c r="R669" s="1576">
        <f t="shared" si="257"/>
        <v>250.47</v>
      </c>
      <c r="S669" s="1869">
        <v>0</v>
      </c>
      <c r="T669" s="1866">
        <v>0</v>
      </c>
      <c r="U669" s="2442"/>
      <c r="V669" s="1866">
        <f t="shared" si="260"/>
        <v>0</v>
      </c>
      <c r="W669" s="1869">
        <f>S669+U669</f>
        <v>0</v>
      </c>
      <c r="X669" s="1870">
        <f t="shared" si="258"/>
        <v>0</v>
      </c>
      <c r="Y669" s="1871">
        <f t="shared" si="261"/>
        <v>0</v>
      </c>
      <c r="Z669" s="1694">
        <f t="shared" ref="Z669:Z677" si="264">+E669-W669</f>
        <v>23</v>
      </c>
      <c r="AA669" s="1872">
        <f t="shared" si="262"/>
        <v>250.47000000000003</v>
      </c>
      <c r="AB669" s="1873">
        <f t="shared" si="263"/>
        <v>1.0000000000000002</v>
      </c>
      <c r="AC669" s="1418">
        <f t="shared" si="248"/>
        <v>0</v>
      </c>
      <c r="AD669" s="1418">
        <f t="shared" si="249"/>
        <v>0</v>
      </c>
      <c r="AE669" s="1418">
        <v>250.47000000000003</v>
      </c>
      <c r="AF669" s="1418">
        <f t="shared" si="250"/>
        <v>0</v>
      </c>
      <c r="AG669" s="1418">
        <v>10.89</v>
      </c>
      <c r="AH669" s="1418">
        <f t="shared" si="251"/>
        <v>0</v>
      </c>
      <c r="AI669" s="1428"/>
      <c r="AO669" s="2504">
        <v>0</v>
      </c>
      <c r="AP669" s="1418">
        <f t="shared" si="259"/>
        <v>0</v>
      </c>
    </row>
    <row r="670" spans="1:42" s="1410" customFormat="1" ht="15.75">
      <c r="A670" s="2102"/>
      <c r="B670" s="1268" t="s">
        <v>1122</v>
      </c>
      <c r="C670" s="1241" t="s">
        <v>3448</v>
      </c>
      <c r="D670" s="1245" t="s">
        <v>38</v>
      </c>
      <c r="E670" s="1413">
        <v>464</v>
      </c>
      <c r="F670" s="1555">
        <v>8.86</v>
      </c>
      <c r="G670" s="1480">
        <v>9.32</v>
      </c>
      <c r="H670" s="1414">
        <v>9.56</v>
      </c>
      <c r="I670" s="1477">
        <f t="shared" si="246"/>
        <v>4111.04</v>
      </c>
      <c r="J670" s="1477">
        <f t="shared" si="247"/>
        <v>4324.4799999999996</v>
      </c>
      <c r="K670" s="1477">
        <v>0</v>
      </c>
      <c r="L670" s="1477">
        <f t="shared" si="252"/>
        <v>0</v>
      </c>
      <c r="M670" s="1477">
        <v>464</v>
      </c>
      <c r="N670" s="1477">
        <f t="shared" si="253"/>
        <v>464</v>
      </c>
      <c r="O670" s="1477">
        <f t="shared" si="254"/>
        <v>0</v>
      </c>
      <c r="P670" s="1477">
        <f t="shared" si="255"/>
        <v>4324.4799999999996</v>
      </c>
      <c r="Q670" s="1477">
        <f t="shared" si="256"/>
        <v>4435.84</v>
      </c>
      <c r="R670" s="1576">
        <f t="shared" si="257"/>
        <v>4435.84</v>
      </c>
      <c r="S670" s="1869">
        <v>0</v>
      </c>
      <c r="T670" s="1866">
        <v>0</v>
      </c>
      <c r="U670" s="2442"/>
      <c r="V670" s="1866">
        <f t="shared" si="260"/>
        <v>0</v>
      </c>
      <c r="W670" s="1869">
        <f>S670+U670</f>
        <v>0</v>
      </c>
      <c r="X670" s="1870">
        <f t="shared" si="258"/>
        <v>0</v>
      </c>
      <c r="Y670" s="1871">
        <f t="shared" si="261"/>
        <v>0</v>
      </c>
      <c r="Z670" s="1694">
        <f t="shared" si="264"/>
        <v>464</v>
      </c>
      <c r="AA670" s="1872">
        <f t="shared" si="262"/>
        <v>4435.84</v>
      </c>
      <c r="AB670" s="1873">
        <f t="shared" si="263"/>
        <v>1</v>
      </c>
      <c r="AC670" s="1418">
        <f t="shared" si="248"/>
        <v>0</v>
      </c>
      <c r="AD670" s="1418">
        <f t="shared" si="249"/>
        <v>0</v>
      </c>
      <c r="AE670" s="1418">
        <v>4435.84</v>
      </c>
      <c r="AF670" s="1418">
        <f t="shared" si="250"/>
        <v>0</v>
      </c>
      <c r="AG670" s="1418">
        <v>9.56</v>
      </c>
      <c r="AH670" s="1418">
        <f t="shared" si="251"/>
        <v>0</v>
      </c>
      <c r="AI670" s="1428"/>
      <c r="AO670" s="2504">
        <v>0</v>
      </c>
      <c r="AP670" s="1418">
        <f t="shared" si="259"/>
        <v>0</v>
      </c>
    </row>
    <row r="671" spans="1:42" s="1410" customFormat="1" ht="15.75">
      <c r="A671" s="2102"/>
      <c r="B671" s="1268" t="s">
        <v>2692</v>
      </c>
      <c r="C671" s="1241" t="s">
        <v>3449</v>
      </c>
      <c r="D671" s="1245" t="s">
        <v>38</v>
      </c>
      <c r="E671" s="1413">
        <v>461</v>
      </c>
      <c r="F671" s="1555">
        <v>7.5</v>
      </c>
      <c r="G671" s="1480">
        <v>7.96</v>
      </c>
      <c r="H671" s="1414">
        <v>8.1999999999999993</v>
      </c>
      <c r="I671" s="1477">
        <f t="shared" si="246"/>
        <v>3457.5</v>
      </c>
      <c r="J671" s="1477">
        <f t="shared" si="247"/>
        <v>3669.56</v>
      </c>
      <c r="K671" s="1477">
        <v>0</v>
      </c>
      <c r="L671" s="1477">
        <f t="shared" si="252"/>
        <v>0</v>
      </c>
      <c r="M671" s="1477">
        <v>461</v>
      </c>
      <c r="N671" s="1477">
        <f t="shared" si="253"/>
        <v>461</v>
      </c>
      <c r="O671" s="1477">
        <f t="shared" si="254"/>
        <v>0</v>
      </c>
      <c r="P671" s="1477">
        <f t="shared" si="255"/>
        <v>3669.56</v>
      </c>
      <c r="Q671" s="1477">
        <f t="shared" si="256"/>
        <v>3780.2</v>
      </c>
      <c r="R671" s="1576">
        <f t="shared" si="257"/>
        <v>3780.2</v>
      </c>
      <c r="S671" s="1869">
        <v>0</v>
      </c>
      <c r="T671" s="1866">
        <v>0</v>
      </c>
      <c r="U671" s="2442"/>
      <c r="V671" s="1866">
        <f t="shared" si="260"/>
        <v>0</v>
      </c>
      <c r="W671" s="1869">
        <f>S671+U671</f>
        <v>0</v>
      </c>
      <c r="X671" s="1870">
        <f t="shared" si="258"/>
        <v>0</v>
      </c>
      <c r="Y671" s="1871">
        <f t="shared" si="261"/>
        <v>0</v>
      </c>
      <c r="Z671" s="1694">
        <f t="shared" si="264"/>
        <v>461</v>
      </c>
      <c r="AA671" s="1872">
        <f t="shared" si="262"/>
        <v>3780.2</v>
      </c>
      <c r="AB671" s="1873">
        <f t="shared" si="263"/>
        <v>1</v>
      </c>
      <c r="AC671" s="1418">
        <f t="shared" si="248"/>
        <v>0</v>
      </c>
      <c r="AD671" s="1418">
        <f t="shared" si="249"/>
        <v>0</v>
      </c>
      <c r="AE671" s="1418">
        <v>3780.2</v>
      </c>
      <c r="AF671" s="1418">
        <f t="shared" si="250"/>
        <v>0</v>
      </c>
      <c r="AG671" s="1418">
        <v>8.1999999999999993</v>
      </c>
      <c r="AH671" s="1418">
        <f t="shared" si="251"/>
        <v>0</v>
      </c>
      <c r="AI671" s="1428"/>
      <c r="AO671" s="2504">
        <v>0</v>
      </c>
      <c r="AP671" s="1418">
        <f t="shared" si="259"/>
        <v>0</v>
      </c>
    </row>
    <row r="672" spans="1:42" s="1231" customFormat="1" ht="15.75">
      <c r="A672" s="2103" t="s">
        <v>3619</v>
      </c>
      <c r="B672" s="1263" t="s">
        <v>2693</v>
      </c>
      <c r="C672" s="1264" t="s">
        <v>3450</v>
      </c>
      <c r="D672" s="1265"/>
      <c r="E672" s="1266"/>
      <c r="F672" s="1267"/>
      <c r="G672" s="1480"/>
      <c r="H672" s="1267"/>
      <c r="I672" s="1477">
        <f t="shared" si="246"/>
        <v>0</v>
      </c>
      <c r="J672" s="1477">
        <f t="shared" si="247"/>
        <v>0</v>
      </c>
      <c r="K672" s="1477"/>
      <c r="L672" s="1477">
        <f t="shared" si="252"/>
        <v>0</v>
      </c>
      <c r="M672" s="1477"/>
      <c r="N672" s="1477">
        <f t="shared" si="253"/>
        <v>0</v>
      </c>
      <c r="O672" s="1477">
        <f t="shared" si="254"/>
        <v>0</v>
      </c>
      <c r="P672" s="1477">
        <f t="shared" si="255"/>
        <v>0</v>
      </c>
      <c r="Q672" s="1477">
        <f t="shared" si="256"/>
        <v>0</v>
      </c>
      <c r="R672" s="1576">
        <f t="shared" si="257"/>
        <v>0</v>
      </c>
      <c r="S672" s="2452"/>
      <c r="T672" s="1866">
        <v>0</v>
      </c>
      <c r="U672" s="2442"/>
      <c r="V672" s="1866">
        <f t="shared" si="260"/>
        <v>0</v>
      </c>
      <c r="W672" s="2452"/>
      <c r="X672" s="1870">
        <f t="shared" si="258"/>
        <v>0</v>
      </c>
      <c r="Y672" s="1871" t="str">
        <f t="shared" si="261"/>
        <v/>
      </c>
      <c r="Z672" s="1694">
        <f t="shared" si="264"/>
        <v>0</v>
      </c>
      <c r="AA672" s="1872">
        <f t="shared" si="262"/>
        <v>0</v>
      </c>
      <c r="AB672" s="1873" t="str">
        <f t="shared" si="263"/>
        <v/>
      </c>
      <c r="AC672" s="1418">
        <f t="shared" si="248"/>
        <v>0</v>
      </c>
      <c r="AD672" s="1418">
        <f t="shared" si="249"/>
        <v>0</v>
      </c>
      <c r="AE672" s="1230"/>
      <c r="AF672" s="1230">
        <f t="shared" si="250"/>
        <v>0</v>
      </c>
      <c r="AG672" s="1230"/>
      <c r="AH672" s="1418">
        <f t="shared" si="251"/>
        <v>0</v>
      </c>
      <c r="AI672" s="1346"/>
      <c r="AO672" s="1736">
        <v>0</v>
      </c>
      <c r="AP672" s="1418">
        <f t="shared" si="259"/>
        <v>0</v>
      </c>
    </row>
    <row r="673" spans="1:42" s="1410" customFormat="1" ht="15.75">
      <c r="A673" s="2102" t="s">
        <v>3619</v>
      </c>
      <c r="B673" s="1272" t="s">
        <v>2694</v>
      </c>
      <c r="C673" s="1262" t="s">
        <v>3442</v>
      </c>
      <c r="D673" s="1273"/>
      <c r="E673" s="1415"/>
      <c r="F673" s="1267"/>
      <c r="G673" s="1480"/>
      <c r="H673" s="1416"/>
      <c r="I673" s="1477">
        <f t="shared" si="246"/>
        <v>0</v>
      </c>
      <c r="J673" s="1477">
        <f t="shared" si="247"/>
        <v>0</v>
      </c>
      <c r="K673" s="1477"/>
      <c r="L673" s="1477">
        <f t="shared" si="252"/>
        <v>0</v>
      </c>
      <c r="M673" s="1477"/>
      <c r="N673" s="1477">
        <f t="shared" si="253"/>
        <v>0</v>
      </c>
      <c r="O673" s="1477">
        <f t="shared" si="254"/>
        <v>0</v>
      </c>
      <c r="P673" s="1477">
        <f t="shared" si="255"/>
        <v>0</v>
      </c>
      <c r="Q673" s="1477">
        <f t="shared" si="256"/>
        <v>0</v>
      </c>
      <c r="R673" s="1576">
        <f t="shared" si="257"/>
        <v>0</v>
      </c>
      <c r="S673" s="1869"/>
      <c r="T673" s="1866">
        <v>0</v>
      </c>
      <c r="U673" s="2442"/>
      <c r="V673" s="1866">
        <f t="shared" si="260"/>
        <v>0</v>
      </c>
      <c r="W673" s="1869"/>
      <c r="X673" s="1870">
        <f t="shared" si="258"/>
        <v>0</v>
      </c>
      <c r="Y673" s="1871" t="str">
        <f t="shared" si="261"/>
        <v/>
      </c>
      <c r="Z673" s="1694">
        <f t="shared" si="264"/>
        <v>0</v>
      </c>
      <c r="AA673" s="1872">
        <f t="shared" si="262"/>
        <v>0</v>
      </c>
      <c r="AB673" s="1873" t="str">
        <f t="shared" si="263"/>
        <v/>
      </c>
      <c r="AC673" s="1418">
        <f t="shared" si="248"/>
        <v>0</v>
      </c>
      <c r="AD673" s="1418">
        <f t="shared" si="249"/>
        <v>0</v>
      </c>
      <c r="AE673" s="1418"/>
      <c r="AF673" s="1418">
        <f t="shared" si="250"/>
        <v>0</v>
      </c>
      <c r="AG673" s="1418"/>
      <c r="AH673" s="1418">
        <f t="shared" si="251"/>
        <v>0</v>
      </c>
      <c r="AI673" s="1428"/>
      <c r="AO673" s="2504">
        <v>0</v>
      </c>
      <c r="AP673" s="1418">
        <f t="shared" si="259"/>
        <v>0</v>
      </c>
    </row>
    <row r="674" spans="1:42" s="1410" customFormat="1" ht="15.75">
      <c r="A674" s="2102"/>
      <c r="B674" s="1268" t="s">
        <v>2695</v>
      </c>
      <c r="C674" s="2131" t="s">
        <v>3451</v>
      </c>
      <c r="D674" s="1245" t="s">
        <v>38</v>
      </c>
      <c r="E674" s="1413">
        <v>208</v>
      </c>
      <c r="F674" s="1555">
        <v>19.36</v>
      </c>
      <c r="G674" s="1480">
        <v>19.64</v>
      </c>
      <c r="H674" s="1414">
        <v>19.79</v>
      </c>
      <c r="I674" s="1477">
        <f t="shared" si="246"/>
        <v>4026.88</v>
      </c>
      <c r="J674" s="1477">
        <f t="shared" si="247"/>
        <v>4085.12</v>
      </c>
      <c r="K674" s="1477">
        <v>72</v>
      </c>
      <c r="L674" s="1477">
        <f t="shared" si="252"/>
        <v>72</v>
      </c>
      <c r="M674" s="1477">
        <v>136</v>
      </c>
      <c r="N674" s="1477">
        <f t="shared" si="253"/>
        <v>136</v>
      </c>
      <c r="O674" s="1477">
        <f t="shared" si="254"/>
        <v>1414.08</v>
      </c>
      <c r="P674" s="1477">
        <f t="shared" si="255"/>
        <v>2671.04</v>
      </c>
      <c r="Q674" s="1477">
        <f t="shared" si="256"/>
        <v>2691.44</v>
      </c>
      <c r="R674" s="1576">
        <f t="shared" si="257"/>
        <v>4105.5200000000004</v>
      </c>
      <c r="S674" s="1869">
        <v>72</v>
      </c>
      <c r="T674" s="1866">
        <v>1414.08</v>
      </c>
      <c r="U674" s="2442"/>
      <c r="V674" s="1866">
        <f t="shared" si="260"/>
        <v>0</v>
      </c>
      <c r="W674" s="1869">
        <f>S674+U674</f>
        <v>72</v>
      </c>
      <c r="X674" s="1870">
        <f t="shared" si="258"/>
        <v>1414.08</v>
      </c>
      <c r="Y674" s="1871">
        <f t="shared" si="261"/>
        <v>0.34443383542157868</v>
      </c>
      <c r="Z674" s="1694">
        <f t="shared" si="264"/>
        <v>136</v>
      </c>
      <c r="AA674" s="1872">
        <f t="shared" si="262"/>
        <v>2691.44</v>
      </c>
      <c r="AB674" s="1873">
        <f t="shared" si="263"/>
        <v>0.65556616457842121</v>
      </c>
      <c r="AC674" s="1418">
        <f t="shared" si="248"/>
        <v>0</v>
      </c>
      <c r="AD674" s="1418">
        <f t="shared" si="249"/>
        <v>0</v>
      </c>
      <c r="AE674" s="1418">
        <v>4105.5200000000004</v>
      </c>
      <c r="AF674" s="1418">
        <f t="shared" si="250"/>
        <v>0</v>
      </c>
      <c r="AG674" s="1418">
        <v>19.79</v>
      </c>
      <c r="AH674" s="1418">
        <f t="shared" si="251"/>
        <v>0</v>
      </c>
      <c r="AI674" s="1428"/>
      <c r="AO674" s="2504">
        <v>1414.08</v>
      </c>
      <c r="AP674" s="1418">
        <f t="shared" si="259"/>
        <v>0</v>
      </c>
    </row>
    <row r="675" spans="1:42" s="1410" customFormat="1" ht="15.75">
      <c r="A675" s="2102" t="s">
        <v>3619</v>
      </c>
      <c r="B675" s="1268" t="s">
        <v>2696</v>
      </c>
      <c r="C675" s="1241" t="s">
        <v>3452</v>
      </c>
      <c r="D675" s="1245" t="s">
        <v>38</v>
      </c>
      <c r="E675" s="1413">
        <v>3421</v>
      </c>
      <c r="F675" s="1555">
        <v>6.03</v>
      </c>
      <c r="G675" s="1480">
        <v>6.34</v>
      </c>
      <c r="H675" s="1414">
        <v>6.52</v>
      </c>
      <c r="I675" s="1477">
        <f t="shared" si="246"/>
        <v>20628.63</v>
      </c>
      <c r="J675" s="1477">
        <f t="shared" si="247"/>
        <v>21689.14</v>
      </c>
      <c r="K675" s="1477">
        <v>1046</v>
      </c>
      <c r="L675" s="1477">
        <f t="shared" si="252"/>
        <v>1046</v>
      </c>
      <c r="M675" s="1477">
        <v>2375</v>
      </c>
      <c r="N675" s="1477">
        <f t="shared" si="253"/>
        <v>2375</v>
      </c>
      <c r="O675" s="1477">
        <f t="shared" si="254"/>
        <v>6631.64</v>
      </c>
      <c r="P675" s="1477">
        <f t="shared" si="255"/>
        <v>15057.5</v>
      </c>
      <c r="Q675" s="1477">
        <f t="shared" si="256"/>
        <v>15485</v>
      </c>
      <c r="R675" s="1576">
        <f t="shared" si="257"/>
        <v>22116.639999999999</v>
      </c>
      <c r="S675" s="1869">
        <v>3421</v>
      </c>
      <c r="T675" s="1866">
        <v>22116.639999999999</v>
      </c>
      <c r="U675" s="2442"/>
      <c r="V675" s="1866">
        <f t="shared" si="260"/>
        <v>0</v>
      </c>
      <c r="W675" s="1869">
        <f>S675+U675</f>
        <v>3421</v>
      </c>
      <c r="X675" s="1870">
        <f t="shared" si="258"/>
        <v>22116.639999999999</v>
      </c>
      <c r="Y675" s="1871">
        <f t="shared" si="261"/>
        <v>1</v>
      </c>
      <c r="Z675" s="1694">
        <f t="shared" si="264"/>
        <v>0</v>
      </c>
      <c r="AA675" s="1872">
        <f t="shared" si="262"/>
        <v>0</v>
      </c>
      <c r="AB675" s="1873">
        <f t="shared" si="263"/>
        <v>0</v>
      </c>
      <c r="AC675" s="1418">
        <f t="shared" si="248"/>
        <v>0</v>
      </c>
      <c r="AD675" s="1418">
        <f t="shared" si="249"/>
        <v>0</v>
      </c>
      <c r="AE675" s="1418">
        <v>22116.639999999999</v>
      </c>
      <c r="AF675" s="1418">
        <f t="shared" si="250"/>
        <v>0</v>
      </c>
      <c r="AG675" s="1418">
        <v>6.52</v>
      </c>
      <c r="AH675" s="1418">
        <f t="shared" si="251"/>
        <v>0</v>
      </c>
      <c r="AI675" s="1428"/>
      <c r="AO675" s="2504">
        <v>22116.639999999999</v>
      </c>
      <c r="AP675" s="1418">
        <f t="shared" si="259"/>
        <v>0</v>
      </c>
    </row>
    <row r="676" spans="1:42" s="1410" customFormat="1" ht="15.75">
      <c r="A676" s="2102" t="s">
        <v>3619</v>
      </c>
      <c r="B676" s="1268" t="s">
        <v>2697</v>
      </c>
      <c r="C676" s="1241" t="s">
        <v>3453</v>
      </c>
      <c r="D676" s="1245" t="s">
        <v>36</v>
      </c>
      <c r="E676" s="1413">
        <v>2307</v>
      </c>
      <c r="F676" s="1555">
        <v>3.71</v>
      </c>
      <c r="G676" s="1480">
        <v>3.96</v>
      </c>
      <c r="H676" s="1414">
        <v>4.09</v>
      </c>
      <c r="I676" s="1477">
        <f t="shared" si="246"/>
        <v>8558.9699999999993</v>
      </c>
      <c r="J676" s="1477">
        <f t="shared" si="247"/>
        <v>9135.7199999999993</v>
      </c>
      <c r="K676" s="1477">
        <v>991</v>
      </c>
      <c r="L676" s="1477">
        <f t="shared" si="252"/>
        <v>991</v>
      </c>
      <c r="M676" s="1477">
        <v>1316</v>
      </c>
      <c r="N676" s="1477">
        <f t="shared" si="253"/>
        <v>1316</v>
      </c>
      <c r="O676" s="1477">
        <f t="shared" si="254"/>
        <v>3924.36</v>
      </c>
      <c r="P676" s="1477">
        <f t="shared" si="255"/>
        <v>5211.3599999999997</v>
      </c>
      <c r="Q676" s="1477">
        <f t="shared" si="256"/>
        <v>5382.44</v>
      </c>
      <c r="R676" s="1576">
        <f t="shared" si="257"/>
        <v>9306.7999999999993</v>
      </c>
      <c r="S676" s="1869">
        <v>2307</v>
      </c>
      <c r="T676" s="1866">
        <v>9306.7999999999993</v>
      </c>
      <c r="U676" s="2442"/>
      <c r="V676" s="1866">
        <f t="shared" si="260"/>
        <v>0</v>
      </c>
      <c r="W676" s="1869">
        <f>S676+U676</f>
        <v>2307</v>
      </c>
      <c r="X676" s="1870">
        <f t="shared" si="258"/>
        <v>9306.7999999999993</v>
      </c>
      <c r="Y676" s="1871">
        <f t="shared" si="261"/>
        <v>1</v>
      </c>
      <c r="Z676" s="1694">
        <f t="shared" si="264"/>
        <v>0</v>
      </c>
      <c r="AA676" s="1872">
        <f t="shared" si="262"/>
        <v>0</v>
      </c>
      <c r="AB676" s="1873">
        <f t="shared" si="263"/>
        <v>0</v>
      </c>
      <c r="AC676" s="1418">
        <f t="shared" si="248"/>
        <v>0</v>
      </c>
      <c r="AD676" s="1418">
        <f t="shared" si="249"/>
        <v>0</v>
      </c>
      <c r="AE676" s="1418">
        <v>9306.7999999999993</v>
      </c>
      <c r="AF676" s="1418">
        <f t="shared" si="250"/>
        <v>0</v>
      </c>
      <c r="AG676" s="1418">
        <v>4.09</v>
      </c>
      <c r="AH676" s="1418">
        <f t="shared" si="251"/>
        <v>0</v>
      </c>
      <c r="AI676" s="1428"/>
      <c r="AO676" s="2504">
        <v>9306.7999999999993</v>
      </c>
      <c r="AP676" s="1418">
        <f t="shared" si="259"/>
        <v>0</v>
      </c>
    </row>
    <row r="677" spans="1:42" s="1410" customFormat="1" ht="15.75">
      <c r="A677" s="2102"/>
      <c r="B677" s="1268" t="s">
        <v>2698</v>
      </c>
      <c r="C677" s="1241" t="s">
        <v>3454</v>
      </c>
      <c r="D677" s="1245" t="s">
        <v>36</v>
      </c>
      <c r="E677" s="1413">
        <v>1765</v>
      </c>
      <c r="F677" s="1555">
        <v>4.6100000000000003</v>
      </c>
      <c r="G677" s="1480">
        <v>4.8600000000000003</v>
      </c>
      <c r="H677" s="1414">
        <v>4.99</v>
      </c>
      <c r="I677" s="1477">
        <f t="shared" si="246"/>
        <v>8136.65</v>
      </c>
      <c r="J677" s="1477">
        <f t="shared" si="247"/>
        <v>8577.9</v>
      </c>
      <c r="K677" s="1477">
        <v>175</v>
      </c>
      <c r="L677" s="1477">
        <f t="shared" si="252"/>
        <v>175</v>
      </c>
      <c r="M677" s="1477">
        <v>1590</v>
      </c>
      <c r="N677" s="1477">
        <f t="shared" si="253"/>
        <v>1590</v>
      </c>
      <c r="O677" s="1477">
        <f t="shared" si="254"/>
        <v>850.5</v>
      </c>
      <c r="P677" s="1477">
        <f t="shared" si="255"/>
        <v>7727.4</v>
      </c>
      <c r="Q677" s="1477">
        <f t="shared" si="256"/>
        <v>7934.1</v>
      </c>
      <c r="R677" s="1576">
        <f t="shared" si="257"/>
        <v>8784.6</v>
      </c>
      <c r="S677" s="1869">
        <v>1765</v>
      </c>
      <c r="T677" s="1866">
        <v>8784.6</v>
      </c>
      <c r="U677" s="2442"/>
      <c r="V677" s="1866">
        <f t="shared" si="260"/>
        <v>0</v>
      </c>
      <c r="W677" s="1869">
        <f>S677+U677</f>
        <v>1765</v>
      </c>
      <c r="X677" s="1870">
        <f t="shared" si="258"/>
        <v>8784.6</v>
      </c>
      <c r="Y677" s="1871">
        <f t="shared" si="261"/>
        <v>1</v>
      </c>
      <c r="Z677" s="1694">
        <f t="shared" si="264"/>
        <v>0</v>
      </c>
      <c r="AA677" s="1872">
        <f t="shared" si="262"/>
        <v>0</v>
      </c>
      <c r="AB677" s="1873">
        <f t="shared" si="263"/>
        <v>0</v>
      </c>
      <c r="AC677" s="1418">
        <f t="shared" si="248"/>
        <v>0</v>
      </c>
      <c r="AD677" s="1418">
        <f t="shared" si="249"/>
        <v>0</v>
      </c>
      <c r="AE677" s="1418">
        <v>8784.6</v>
      </c>
      <c r="AF677" s="1418">
        <f t="shared" si="250"/>
        <v>0</v>
      </c>
      <c r="AG677" s="1418">
        <v>4.99</v>
      </c>
      <c r="AH677" s="1418">
        <f t="shared" si="251"/>
        <v>0</v>
      </c>
      <c r="AI677" s="1428"/>
      <c r="AO677" s="2504">
        <v>8784.6</v>
      </c>
      <c r="AP677" s="1418">
        <f t="shared" si="259"/>
        <v>0</v>
      </c>
    </row>
    <row r="678" spans="1:42" s="1410" customFormat="1" ht="15.75">
      <c r="A678" s="2102"/>
      <c r="B678" s="1272" t="s">
        <v>2699</v>
      </c>
      <c r="C678" s="1262" t="s">
        <v>3446</v>
      </c>
      <c r="D678" s="1273"/>
      <c r="E678" s="1415"/>
      <c r="F678" s="1267"/>
      <c r="G678" s="1480"/>
      <c r="H678" s="1416"/>
      <c r="I678" s="1477">
        <f t="shared" si="246"/>
        <v>0</v>
      </c>
      <c r="J678" s="1477">
        <f t="shared" si="247"/>
        <v>0</v>
      </c>
      <c r="K678" s="1477"/>
      <c r="L678" s="1477">
        <f t="shared" si="252"/>
        <v>0</v>
      </c>
      <c r="M678" s="1477"/>
      <c r="N678" s="1477">
        <f t="shared" si="253"/>
        <v>0</v>
      </c>
      <c r="O678" s="1477">
        <f t="shared" si="254"/>
        <v>0</v>
      </c>
      <c r="P678" s="1477">
        <f t="shared" si="255"/>
        <v>0</v>
      </c>
      <c r="Q678" s="1477">
        <f t="shared" si="256"/>
        <v>0</v>
      </c>
      <c r="R678" s="1576">
        <f t="shared" si="257"/>
        <v>0</v>
      </c>
      <c r="S678" s="1869"/>
      <c r="T678" s="1866"/>
      <c r="U678" s="2442"/>
      <c r="V678" s="1866">
        <f t="shared" si="260"/>
        <v>0</v>
      </c>
      <c r="W678" s="1869"/>
      <c r="X678" s="1870"/>
      <c r="Y678" s="1871" t="str">
        <f t="shared" si="261"/>
        <v/>
      </c>
      <c r="Z678" s="1694"/>
      <c r="AA678" s="1872">
        <f t="shared" si="262"/>
        <v>0</v>
      </c>
      <c r="AB678" s="1873" t="str">
        <f t="shared" si="263"/>
        <v/>
      </c>
      <c r="AC678" s="1418">
        <f t="shared" si="248"/>
        <v>0</v>
      </c>
      <c r="AD678" s="1418">
        <f t="shared" si="249"/>
        <v>0</v>
      </c>
      <c r="AE678" s="1418"/>
      <c r="AF678" s="1418">
        <f t="shared" si="250"/>
        <v>0</v>
      </c>
      <c r="AG678" s="1418"/>
      <c r="AH678" s="1418">
        <f t="shared" si="251"/>
        <v>0</v>
      </c>
      <c r="AI678" s="1428"/>
      <c r="AO678" s="2504"/>
      <c r="AP678" s="1418">
        <f t="shared" si="259"/>
        <v>0</v>
      </c>
    </row>
    <row r="679" spans="1:42" s="1410" customFormat="1" ht="15.75">
      <c r="A679" s="2102"/>
      <c r="B679" s="1268" t="s">
        <v>2700</v>
      </c>
      <c r="C679" s="1241" t="s">
        <v>3455</v>
      </c>
      <c r="D679" s="1245" t="s">
        <v>38</v>
      </c>
      <c r="E679" s="1413">
        <v>899</v>
      </c>
      <c r="F679" s="1555">
        <v>7.75</v>
      </c>
      <c r="G679" s="1480">
        <v>8.2100000000000009</v>
      </c>
      <c r="H679" s="1414">
        <v>8.4499999999999993</v>
      </c>
      <c r="I679" s="1477">
        <f t="shared" si="246"/>
        <v>6967.25</v>
      </c>
      <c r="J679" s="1477">
        <f t="shared" si="247"/>
        <v>7380.79</v>
      </c>
      <c r="K679" s="1477">
        <v>0</v>
      </c>
      <c r="L679" s="1477">
        <f t="shared" si="252"/>
        <v>0</v>
      </c>
      <c r="M679" s="1477">
        <v>899</v>
      </c>
      <c r="N679" s="1477">
        <f t="shared" si="253"/>
        <v>899</v>
      </c>
      <c r="O679" s="1477">
        <f t="shared" si="254"/>
        <v>0</v>
      </c>
      <c r="P679" s="1477">
        <f t="shared" si="255"/>
        <v>7380.79</v>
      </c>
      <c r="Q679" s="1477">
        <f t="shared" si="256"/>
        <v>7596.55</v>
      </c>
      <c r="R679" s="1576">
        <f t="shared" si="257"/>
        <v>7596.55</v>
      </c>
      <c r="S679" s="1869">
        <v>899</v>
      </c>
      <c r="T679" s="1866">
        <v>7596.5499999999993</v>
      </c>
      <c r="U679" s="2442"/>
      <c r="V679" s="1866">
        <f t="shared" si="260"/>
        <v>0</v>
      </c>
      <c r="W679" s="1869">
        <f>S679+U679</f>
        <v>899</v>
      </c>
      <c r="X679" s="1870">
        <f t="shared" si="258"/>
        <v>7596.5499999999993</v>
      </c>
      <c r="Y679" s="1871">
        <f t="shared" si="261"/>
        <v>0.99999999999999989</v>
      </c>
      <c r="Z679" s="1694">
        <f>+E679-W679</f>
        <v>0</v>
      </c>
      <c r="AA679" s="1872">
        <f t="shared" si="262"/>
        <v>0</v>
      </c>
      <c r="AB679" s="1873">
        <f t="shared" si="263"/>
        <v>0</v>
      </c>
      <c r="AC679" s="1418">
        <f t="shared" si="248"/>
        <v>9.0949470177292824E-13</v>
      </c>
      <c r="AD679" s="1418">
        <f t="shared" si="249"/>
        <v>0</v>
      </c>
      <c r="AE679" s="1418">
        <v>7596.5499999999993</v>
      </c>
      <c r="AF679" s="1418">
        <f t="shared" si="250"/>
        <v>0</v>
      </c>
      <c r="AG679" s="1418">
        <v>8.4499999999999993</v>
      </c>
      <c r="AH679" s="1418">
        <f t="shared" si="251"/>
        <v>0</v>
      </c>
      <c r="AI679" s="1428"/>
      <c r="AO679" s="2504">
        <v>7596.5499999999993</v>
      </c>
      <c r="AP679" s="1418">
        <f t="shared" si="259"/>
        <v>0</v>
      </c>
    </row>
    <row r="680" spans="1:42" s="1410" customFormat="1" ht="15.75">
      <c r="A680" s="2102"/>
      <c r="B680" s="1268" t="s">
        <v>2701</v>
      </c>
      <c r="C680" s="1241" t="s">
        <v>3456</v>
      </c>
      <c r="D680" s="1245" t="s">
        <v>38</v>
      </c>
      <c r="E680" s="1413">
        <v>8111</v>
      </c>
      <c r="F680" s="1555">
        <v>7.18</v>
      </c>
      <c r="G680" s="1480">
        <v>7.64</v>
      </c>
      <c r="H680" s="1414">
        <v>7.88</v>
      </c>
      <c r="I680" s="1477">
        <f t="shared" si="246"/>
        <v>58236.98</v>
      </c>
      <c r="J680" s="1477">
        <f t="shared" si="247"/>
        <v>61968.04</v>
      </c>
      <c r="K680" s="1477">
        <v>0</v>
      </c>
      <c r="L680" s="1477">
        <f t="shared" si="252"/>
        <v>0</v>
      </c>
      <c r="M680" s="1477">
        <v>8111</v>
      </c>
      <c r="N680" s="1477">
        <f t="shared" si="253"/>
        <v>8111</v>
      </c>
      <c r="O680" s="1477">
        <f t="shared" si="254"/>
        <v>0</v>
      </c>
      <c r="P680" s="1477">
        <f t="shared" si="255"/>
        <v>61968.04</v>
      </c>
      <c r="Q680" s="1477">
        <f t="shared" si="256"/>
        <v>63914.68</v>
      </c>
      <c r="R680" s="1576">
        <f t="shared" si="257"/>
        <v>63914.68</v>
      </c>
      <c r="S680" s="1869">
        <v>8111</v>
      </c>
      <c r="T680" s="1866">
        <v>63914.680000000008</v>
      </c>
      <c r="U680" s="2442"/>
      <c r="V680" s="1866">
        <f t="shared" si="260"/>
        <v>0</v>
      </c>
      <c r="W680" s="1869">
        <f>S680+U680</f>
        <v>8111</v>
      </c>
      <c r="X680" s="1870">
        <f t="shared" si="258"/>
        <v>63914.680000000008</v>
      </c>
      <c r="Y680" s="1871">
        <f t="shared" si="261"/>
        <v>1.0000000000000002</v>
      </c>
      <c r="Z680" s="1694">
        <f>+E680-W680</f>
        <v>0</v>
      </c>
      <c r="AA680" s="1872">
        <f t="shared" si="262"/>
        <v>0</v>
      </c>
      <c r="AB680" s="1873">
        <f t="shared" si="263"/>
        <v>0</v>
      </c>
      <c r="AC680" s="1418">
        <f t="shared" si="248"/>
        <v>-7.2759576141834259E-12</v>
      </c>
      <c r="AD680" s="1418">
        <f t="shared" si="249"/>
        <v>0</v>
      </c>
      <c r="AE680" s="1418">
        <v>63914.68</v>
      </c>
      <c r="AF680" s="1418">
        <f t="shared" si="250"/>
        <v>0</v>
      </c>
      <c r="AG680" s="1418">
        <v>7.88</v>
      </c>
      <c r="AH680" s="1418">
        <f t="shared" si="251"/>
        <v>0</v>
      </c>
      <c r="AI680" s="1428"/>
      <c r="AO680" s="2504">
        <v>63914.680000000008</v>
      </c>
      <c r="AP680" s="1418">
        <f t="shared" si="259"/>
        <v>0</v>
      </c>
    </row>
    <row r="681" spans="1:42" s="1410" customFormat="1" ht="15.75">
      <c r="A681" s="2102" t="s">
        <v>3619</v>
      </c>
      <c r="B681" s="1272" t="s">
        <v>2702</v>
      </c>
      <c r="C681" s="1262" t="s">
        <v>3457</v>
      </c>
      <c r="D681" s="1273"/>
      <c r="E681" s="1415"/>
      <c r="F681" s="1267"/>
      <c r="G681" s="1480"/>
      <c r="H681" s="1416"/>
      <c r="I681" s="1477">
        <f t="shared" si="246"/>
        <v>0</v>
      </c>
      <c r="J681" s="1477">
        <f t="shared" si="247"/>
        <v>0</v>
      </c>
      <c r="K681" s="1477"/>
      <c r="L681" s="1477">
        <f t="shared" si="252"/>
        <v>0</v>
      </c>
      <c r="M681" s="1477"/>
      <c r="N681" s="1477">
        <f t="shared" si="253"/>
        <v>0</v>
      </c>
      <c r="O681" s="1477">
        <f t="shared" si="254"/>
        <v>0</v>
      </c>
      <c r="P681" s="1477">
        <f t="shared" si="255"/>
        <v>0</v>
      </c>
      <c r="Q681" s="1477">
        <f t="shared" si="256"/>
        <v>0</v>
      </c>
      <c r="R681" s="1576">
        <f t="shared" si="257"/>
        <v>0</v>
      </c>
      <c r="S681" s="1869"/>
      <c r="T681" s="1866"/>
      <c r="U681" s="2442"/>
      <c r="V681" s="1866">
        <f t="shared" si="260"/>
        <v>0</v>
      </c>
      <c r="W681" s="1869"/>
      <c r="X681" s="1870"/>
      <c r="Y681" s="1871" t="str">
        <f t="shared" si="261"/>
        <v/>
      </c>
      <c r="Z681" s="1694"/>
      <c r="AA681" s="1872">
        <f t="shared" si="262"/>
        <v>0</v>
      </c>
      <c r="AB681" s="1873" t="str">
        <f t="shared" si="263"/>
        <v/>
      </c>
      <c r="AC681" s="1418">
        <f t="shared" si="248"/>
        <v>0</v>
      </c>
      <c r="AD681" s="1418">
        <f t="shared" si="249"/>
        <v>0</v>
      </c>
      <c r="AE681" s="1418"/>
      <c r="AF681" s="1418">
        <f t="shared" si="250"/>
        <v>0</v>
      </c>
      <c r="AG681" s="1418"/>
      <c r="AH681" s="1418">
        <f t="shared" si="251"/>
        <v>0</v>
      </c>
      <c r="AI681" s="1428"/>
      <c r="AO681" s="2504"/>
      <c r="AP681" s="1418">
        <f t="shared" si="259"/>
        <v>0</v>
      </c>
    </row>
    <row r="682" spans="1:42" s="1410" customFormat="1" ht="15.75">
      <c r="A682" s="2102" t="s">
        <v>3619</v>
      </c>
      <c r="B682" s="1268" t="s">
        <v>2703</v>
      </c>
      <c r="C682" s="1241" t="s">
        <v>3458</v>
      </c>
      <c r="D682" s="1245" t="s">
        <v>1451</v>
      </c>
      <c r="E682" s="1413">
        <v>893</v>
      </c>
      <c r="F682" s="1555">
        <v>87.44</v>
      </c>
      <c r="G682" s="1480">
        <v>91.08</v>
      </c>
      <c r="H682" s="1414">
        <v>93.13</v>
      </c>
      <c r="I682" s="1477">
        <f t="shared" si="246"/>
        <v>78083.92</v>
      </c>
      <c r="J682" s="1477">
        <f t="shared" si="247"/>
        <v>81334.44</v>
      </c>
      <c r="K682" s="1477">
        <v>233</v>
      </c>
      <c r="L682" s="1477">
        <f t="shared" si="252"/>
        <v>233</v>
      </c>
      <c r="M682" s="1477">
        <v>660</v>
      </c>
      <c r="N682" s="1477">
        <f t="shared" si="253"/>
        <v>660</v>
      </c>
      <c r="O682" s="1477">
        <f t="shared" si="254"/>
        <v>21221.64</v>
      </c>
      <c r="P682" s="1477">
        <f t="shared" si="255"/>
        <v>60112.800000000003</v>
      </c>
      <c r="Q682" s="1477">
        <f t="shared" si="256"/>
        <v>61465.8</v>
      </c>
      <c r="R682" s="1576">
        <f t="shared" si="257"/>
        <v>82687.44</v>
      </c>
      <c r="S682" s="1869">
        <v>893</v>
      </c>
      <c r="T682" s="1866">
        <v>82687.439999999988</v>
      </c>
      <c r="U682" s="2442"/>
      <c r="V682" s="1866">
        <f t="shared" si="260"/>
        <v>0</v>
      </c>
      <c r="W682" s="1869">
        <f>S682+U682</f>
        <v>893</v>
      </c>
      <c r="X682" s="1870">
        <f t="shared" si="258"/>
        <v>82687.439999999988</v>
      </c>
      <c r="Y682" s="1871">
        <f t="shared" si="261"/>
        <v>0.99999999999999978</v>
      </c>
      <c r="Z682" s="1694">
        <f>+E682-W682</f>
        <v>0</v>
      </c>
      <c r="AA682" s="1872">
        <f t="shared" si="262"/>
        <v>0</v>
      </c>
      <c r="AB682" s="1873">
        <f t="shared" si="263"/>
        <v>0</v>
      </c>
      <c r="AC682" s="1418">
        <f t="shared" si="248"/>
        <v>1.4551915228366852E-11</v>
      </c>
      <c r="AD682" s="1418">
        <f t="shared" si="249"/>
        <v>0</v>
      </c>
      <c r="AE682" s="1418">
        <v>82687.44</v>
      </c>
      <c r="AF682" s="1418">
        <f t="shared" si="250"/>
        <v>0</v>
      </c>
      <c r="AG682" s="1418">
        <v>93.13</v>
      </c>
      <c r="AH682" s="1418">
        <f t="shared" si="251"/>
        <v>0</v>
      </c>
      <c r="AI682" s="1428"/>
      <c r="AO682" s="2504">
        <v>82687.439999999988</v>
      </c>
      <c r="AP682" s="1418">
        <f t="shared" si="259"/>
        <v>0</v>
      </c>
    </row>
    <row r="683" spans="1:42" s="1410" customFormat="1" ht="15.75">
      <c r="A683" s="2102"/>
      <c r="B683" s="1268" t="s">
        <v>2704</v>
      </c>
      <c r="C683" s="1241" t="s">
        <v>3459</v>
      </c>
      <c r="D683" s="1245" t="s">
        <v>36</v>
      </c>
      <c r="E683" s="1413">
        <v>155</v>
      </c>
      <c r="F683" s="1555">
        <v>49.35</v>
      </c>
      <c r="G683" s="1480">
        <v>53.16</v>
      </c>
      <c r="H683" s="1414">
        <v>55.2</v>
      </c>
      <c r="I683" s="1477">
        <f t="shared" si="246"/>
        <v>7649.25</v>
      </c>
      <c r="J683" s="1477">
        <f t="shared" si="247"/>
        <v>8239.7999999999993</v>
      </c>
      <c r="K683" s="1477">
        <v>146</v>
      </c>
      <c r="L683" s="1477">
        <f t="shared" si="252"/>
        <v>146</v>
      </c>
      <c r="M683" s="1477">
        <v>9</v>
      </c>
      <c r="N683" s="1477">
        <f t="shared" si="253"/>
        <v>9</v>
      </c>
      <c r="O683" s="1477">
        <f t="shared" si="254"/>
        <v>7761.36</v>
      </c>
      <c r="P683" s="1477">
        <f t="shared" si="255"/>
        <v>478.44</v>
      </c>
      <c r="Q683" s="1477">
        <f t="shared" si="256"/>
        <v>496.8</v>
      </c>
      <c r="R683" s="1576">
        <f t="shared" si="257"/>
        <v>8258.16</v>
      </c>
      <c r="S683" s="1869">
        <v>155</v>
      </c>
      <c r="T683" s="1866">
        <v>8258.16</v>
      </c>
      <c r="U683" s="2442"/>
      <c r="V683" s="1866">
        <f t="shared" si="260"/>
        <v>0</v>
      </c>
      <c r="W683" s="1869">
        <f>S683+U683</f>
        <v>155</v>
      </c>
      <c r="X683" s="1870">
        <f t="shared" si="258"/>
        <v>8258.16</v>
      </c>
      <c r="Y683" s="1871">
        <f t="shared" si="261"/>
        <v>1</v>
      </c>
      <c r="Z683" s="1694">
        <f>+E683-W683</f>
        <v>0</v>
      </c>
      <c r="AA683" s="1872">
        <f t="shared" si="262"/>
        <v>0</v>
      </c>
      <c r="AB683" s="1873">
        <f t="shared" si="263"/>
        <v>0</v>
      </c>
      <c r="AC683" s="1418">
        <f t="shared" si="248"/>
        <v>0</v>
      </c>
      <c r="AD683" s="1418">
        <f t="shared" si="249"/>
        <v>0</v>
      </c>
      <c r="AE683" s="1418">
        <v>8258.16</v>
      </c>
      <c r="AF683" s="1418">
        <f t="shared" si="250"/>
        <v>0</v>
      </c>
      <c r="AG683" s="1418">
        <v>55.2</v>
      </c>
      <c r="AH683" s="1418">
        <f t="shared" si="251"/>
        <v>0</v>
      </c>
      <c r="AI683" s="1430"/>
      <c r="AO683" s="2504">
        <v>8258.16</v>
      </c>
      <c r="AP683" s="1418">
        <f t="shared" si="259"/>
        <v>0</v>
      </c>
    </row>
    <row r="684" spans="1:42" s="1410" customFormat="1" ht="15.75">
      <c r="A684" s="2102"/>
      <c r="B684" s="1272" t="s">
        <v>2705</v>
      </c>
      <c r="C684" s="1262" t="s">
        <v>3460</v>
      </c>
      <c r="D684" s="1273"/>
      <c r="E684" s="1415"/>
      <c r="F684" s="1267"/>
      <c r="G684" s="1480"/>
      <c r="H684" s="1416"/>
      <c r="I684" s="1477">
        <f t="shared" si="246"/>
        <v>0</v>
      </c>
      <c r="J684" s="1477">
        <f t="shared" si="247"/>
        <v>0</v>
      </c>
      <c r="K684" s="1477"/>
      <c r="L684" s="1477">
        <f t="shared" si="252"/>
        <v>0</v>
      </c>
      <c r="M684" s="1477"/>
      <c r="N684" s="1477">
        <f t="shared" si="253"/>
        <v>0</v>
      </c>
      <c r="O684" s="1477">
        <f t="shared" si="254"/>
        <v>0</v>
      </c>
      <c r="P684" s="1477">
        <f t="shared" si="255"/>
        <v>0</v>
      </c>
      <c r="Q684" s="1477">
        <f t="shared" si="256"/>
        <v>0</v>
      </c>
      <c r="R684" s="1576">
        <f t="shared" si="257"/>
        <v>0</v>
      </c>
      <c r="S684" s="1869"/>
      <c r="T684" s="1866"/>
      <c r="U684" s="2442"/>
      <c r="V684" s="1866">
        <f t="shared" si="260"/>
        <v>0</v>
      </c>
      <c r="W684" s="1869"/>
      <c r="X684" s="1870"/>
      <c r="Y684" s="1871" t="str">
        <f t="shared" si="261"/>
        <v/>
      </c>
      <c r="Z684" s="1694"/>
      <c r="AA684" s="1872">
        <f t="shared" si="262"/>
        <v>0</v>
      </c>
      <c r="AB684" s="1873" t="str">
        <f t="shared" si="263"/>
        <v/>
      </c>
      <c r="AC684" s="1418">
        <f t="shared" si="248"/>
        <v>0</v>
      </c>
      <c r="AD684" s="1418">
        <f t="shared" si="249"/>
        <v>0</v>
      </c>
      <c r="AE684" s="1418"/>
      <c r="AF684" s="1418">
        <f t="shared" si="250"/>
        <v>0</v>
      </c>
      <c r="AG684" s="1418"/>
      <c r="AH684" s="1418">
        <f t="shared" si="251"/>
        <v>0</v>
      </c>
      <c r="AI684" s="1430"/>
      <c r="AO684" s="2504"/>
      <c r="AP684" s="1418">
        <f t="shared" si="259"/>
        <v>0</v>
      </c>
    </row>
    <row r="685" spans="1:42" s="1231" customFormat="1" ht="15.75">
      <c r="A685" s="2103"/>
      <c r="B685" s="1543" t="s">
        <v>2706</v>
      </c>
      <c r="C685" s="1544" t="s">
        <v>3579</v>
      </c>
      <c r="D685" s="1545"/>
      <c r="E685" s="1266"/>
      <c r="F685" s="1267"/>
      <c r="G685" s="1480"/>
      <c r="H685" s="1267"/>
      <c r="I685" s="1477">
        <f t="shared" si="246"/>
        <v>0</v>
      </c>
      <c r="J685" s="1477">
        <f t="shared" si="247"/>
        <v>0</v>
      </c>
      <c r="K685" s="1477"/>
      <c r="L685" s="1477">
        <f t="shared" si="252"/>
        <v>0</v>
      </c>
      <c r="M685" s="1477"/>
      <c r="N685" s="1477">
        <f t="shared" si="253"/>
        <v>0</v>
      </c>
      <c r="O685" s="1477">
        <f t="shared" si="254"/>
        <v>0</v>
      </c>
      <c r="P685" s="1477">
        <f t="shared" si="255"/>
        <v>0</v>
      </c>
      <c r="Q685" s="1477">
        <f t="shared" si="256"/>
        <v>0</v>
      </c>
      <c r="R685" s="1576">
        <f t="shared" si="257"/>
        <v>0</v>
      </c>
      <c r="S685" s="2452"/>
      <c r="T685" s="1866"/>
      <c r="U685" s="2442"/>
      <c r="V685" s="1866">
        <f t="shared" si="260"/>
        <v>0</v>
      </c>
      <c r="W685" s="2452"/>
      <c r="X685" s="1870"/>
      <c r="Y685" s="1871" t="str">
        <f t="shared" si="261"/>
        <v/>
      </c>
      <c r="Z685" s="1694"/>
      <c r="AA685" s="1872">
        <f t="shared" si="262"/>
        <v>0</v>
      </c>
      <c r="AB685" s="1873" t="str">
        <f t="shared" si="263"/>
        <v/>
      </c>
      <c r="AC685" s="1418">
        <f t="shared" si="248"/>
        <v>0</v>
      </c>
      <c r="AD685" s="1418">
        <f t="shared" si="249"/>
        <v>0</v>
      </c>
      <c r="AE685" s="1230"/>
      <c r="AF685" s="1230">
        <f t="shared" si="250"/>
        <v>0</v>
      </c>
      <c r="AG685" s="1230"/>
      <c r="AH685" s="1418">
        <f t="shared" si="251"/>
        <v>0</v>
      </c>
      <c r="AI685" s="1431"/>
      <c r="AO685" s="1736"/>
      <c r="AP685" s="1418">
        <f t="shared" si="259"/>
        <v>0</v>
      </c>
    </row>
    <row r="686" spans="1:42" s="1410" customFormat="1" ht="15.75">
      <c r="A686" s="2102"/>
      <c r="B686" s="1268" t="s">
        <v>2707</v>
      </c>
      <c r="C686" s="1241" t="s">
        <v>3461</v>
      </c>
      <c r="D686" s="1245" t="s">
        <v>36</v>
      </c>
      <c r="E686" s="1413">
        <v>465</v>
      </c>
      <c r="F686" s="1555">
        <v>310.74</v>
      </c>
      <c r="G686" s="1480">
        <v>313.39999999999998</v>
      </c>
      <c r="H686" s="1414">
        <v>314.77999999999997</v>
      </c>
      <c r="I686" s="1477">
        <f t="shared" si="246"/>
        <v>144494.1</v>
      </c>
      <c r="J686" s="1477">
        <f t="shared" si="247"/>
        <v>145731</v>
      </c>
      <c r="K686" s="1477">
        <v>0</v>
      </c>
      <c r="L686" s="1477">
        <f t="shared" si="252"/>
        <v>0</v>
      </c>
      <c r="M686" s="1477">
        <v>465</v>
      </c>
      <c r="N686" s="1477">
        <f t="shared" si="253"/>
        <v>465</v>
      </c>
      <c r="O686" s="1477">
        <f t="shared" si="254"/>
        <v>0</v>
      </c>
      <c r="P686" s="1477">
        <f t="shared" si="255"/>
        <v>145731</v>
      </c>
      <c r="Q686" s="1477">
        <f t="shared" si="256"/>
        <v>146372.70000000001</v>
      </c>
      <c r="R686" s="1576">
        <f t="shared" si="257"/>
        <v>146372.70000000001</v>
      </c>
      <c r="S686" s="1869">
        <v>0</v>
      </c>
      <c r="T686" s="1866">
        <v>0</v>
      </c>
      <c r="U686" s="2442"/>
      <c r="V686" s="1866">
        <f t="shared" si="260"/>
        <v>0</v>
      </c>
      <c r="W686" s="1869">
        <f t="shared" ref="W686:W691" si="265">S686+U686</f>
        <v>0</v>
      </c>
      <c r="X686" s="1870">
        <f t="shared" si="258"/>
        <v>0</v>
      </c>
      <c r="Y686" s="1871">
        <f t="shared" si="261"/>
        <v>0</v>
      </c>
      <c r="Z686" s="1694">
        <f t="shared" ref="Z686:Z691" si="266">+E686-W686</f>
        <v>465</v>
      </c>
      <c r="AA686" s="1872">
        <f t="shared" si="262"/>
        <v>146372.69999999998</v>
      </c>
      <c r="AB686" s="1873">
        <f t="shared" si="263"/>
        <v>0.99999999999999978</v>
      </c>
      <c r="AC686" s="1418">
        <f t="shared" si="248"/>
        <v>0</v>
      </c>
      <c r="AD686" s="1418">
        <f t="shared" si="249"/>
        <v>0</v>
      </c>
      <c r="AE686" s="1418">
        <v>146372.69999999998</v>
      </c>
      <c r="AF686" s="1418">
        <f t="shared" si="250"/>
        <v>0</v>
      </c>
      <c r="AG686" s="1418">
        <v>314.77999999999997</v>
      </c>
      <c r="AH686" s="1418">
        <f t="shared" si="251"/>
        <v>0</v>
      </c>
      <c r="AI686" s="1430"/>
      <c r="AO686" s="2504">
        <v>0</v>
      </c>
      <c r="AP686" s="1418">
        <f t="shared" si="259"/>
        <v>0</v>
      </c>
    </row>
    <row r="687" spans="1:42" s="1410" customFormat="1" ht="15.75">
      <c r="A687" s="2102"/>
      <c r="B687" s="1268" t="s">
        <v>2708</v>
      </c>
      <c r="C687" s="1241" t="s">
        <v>3462</v>
      </c>
      <c r="D687" s="1245" t="s">
        <v>36</v>
      </c>
      <c r="E687" s="1413">
        <v>33</v>
      </c>
      <c r="F687" s="1555">
        <v>381.61</v>
      </c>
      <c r="G687" s="1480">
        <v>384.27</v>
      </c>
      <c r="H687" s="1414">
        <v>385.65</v>
      </c>
      <c r="I687" s="1477">
        <f t="shared" si="246"/>
        <v>12593.13</v>
      </c>
      <c r="J687" s="1477">
        <f t="shared" si="247"/>
        <v>12680.91</v>
      </c>
      <c r="K687" s="1477">
        <v>0</v>
      </c>
      <c r="L687" s="1477">
        <f t="shared" si="252"/>
        <v>0</v>
      </c>
      <c r="M687" s="1477">
        <v>33</v>
      </c>
      <c r="N687" s="1477">
        <f t="shared" si="253"/>
        <v>33</v>
      </c>
      <c r="O687" s="1477">
        <f t="shared" si="254"/>
        <v>0</v>
      </c>
      <c r="P687" s="1477">
        <f t="shared" si="255"/>
        <v>12680.91</v>
      </c>
      <c r="Q687" s="1477">
        <f t="shared" si="256"/>
        <v>12726.45</v>
      </c>
      <c r="R687" s="1576">
        <f t="shared" si="257"/>
        <v>12726.45</v>
      </c>
      <c r="S687" s="1869">
        <v>0</v>
      </c>
      <c r="T687" s="1866">
        <v>0</v>
      </c>
      <c r="U687" s="2442"/>
      <c r="V687" s="1866">
        <f t="shared" si="260"/>
        <v>0</v>
      </c>
      <c r="W687" s="1869">
        <f t="shared" si="265"/>
        <v>0</v>
      </c>
      <c r="X687" s="1870">
        <f t="shared" si="258"/>
        <v>0</v>
      </c>
      <c r="Y687" s="1871">
        <f t="shared" si="261"/>
        <v>0</v>
      </c>
      <c r="Z687" s="1694">
        <f t="shared" si="266"/>
        <v>33</v>
      </c>
      <c r="AA687" s="1872">
        <f t="shared" si="262"/>
        <v>12726.449999999999</v>
      </c>
      <c r="AB687" s="1873">
        <f t="shared" si="263"/>
        <v>0.99999999999999989</v>
      </c>
      <c r="AC687" s="1418">
        <f t="shared" si="248"/>
        <v>0</v>
      </c>
      <c r="AD687" s="1418">
        <f t="shared" si="249"/>
        <v>0</v>
      </c>
      <c r="AE687" s="1418">
        <v>12726.78</v>
      </c>
      <c r="AF687" s="1418">
        <f t="shared" si="250"/>
        <v>0.32999999999992724</v>
      </c>
      <c r="AG687" s="1418">
        <v>385.66</v>
      </c>
      <c r="AH687" s="1418">
        <f t="shared" si="251"/>
        <v>1.0000000000047748E-2</v>
      </c>
      <c r="AI687" s="1430"/>
      <c r="AO687" s="2504">
        <v>0</v>
      </c>
      <c r="AP687" s="1418">
        <f t="shared" si="259"/>
        <v>0</v>
      </c>
    </row>
    <row r="688" spans="1:42" s="1410" customFormat="1" ht="15.75">
      <c r="A688" s="2102"/>
      <c r="B688" s="1268" t="s">
        <v>2709</v>
      </c>
      <c r="C688" s="1241" t="s">
        <v>3463</v>
      </c>
      <c r="D688" s="1245" t="s">
        <v>36</v>
      </c>
      <c r="E688" s="1413">
        <v>52</v>
      </c>
      <c r="F688" s="1555">
        <v>201.68</v>
      </c>
      <c r="G688" s="1480">
        <v>204.34</v>
      </c>
      <c r="H688" s="1414">
        <v>205.72</v>
      </c>
      <c r="I688" s="1477">
        <f t="shared" si="246"/>
        <v>10487.36</v>
      </c>
      <c r="J688" s="1477">
        <f t="shared" si="247"/>
        <v>10625.68</v>
      </c>
      <c r="K688" s="1477">
        <v>0</v>
      </c>
      <c r="L688" s="1477">
        <f t="shared" si="252"/>
        <v>0</v>
      </c>
      <c r="M688" s="1477">
        <v>52</v>
      </c>
      <c r="N688" s="1477">
        <f t="shared" si="253"/>
        <v>52</v>
      </c>
      <c r="O688" s="1477">
        <f t="shared" si="254"/>
        <v>0</v>
      </c>
      <c r="P688" s="1477">
        <f t="shared" si="255"/>
        <v>10625.68</v>
      </c>
      <c r="Q688" s="1477">
        <f t="shared" si="256"/>
        <v>10697.44</v>
      </c>
      <c r="R688" s="1576">
        <f t="shared" si="257"/>
        <v>10697.44</v>
      </c>
      <c r="S688" s="1869">
        <v>0</v>
      </c>
      <c r="T688" s="1866">
        <v>0</v>
      </c>
      <c r="U688" s="2442"/>
      <c r="V688" s="1866">
        <f t="shared" si="260"/>
        <v>0</v>
      </c>
      <c r="W688" s="1869">
        <f t="shared" si="265"/>
        <v>0</v>
      </c>
      <c r="X688" s="1870">
        <f t="shared" si="258"/>
        <v>0</v>
      </c>
      <c r="Y688" s="1871">
        <f t="shared" si="261"/>
        <v>0</v>
      </c>
      <c r="Z688" s="1694">
        <f t="shared" si="266"/>
        <v>52</v>
      </c>
      <c r="AA688" s="1872">
        <f t="shared" si="262"/>
        <v>10697.44</v>
      </c>
      <c r="AB688" s="1873">
        <f t="shared" si="263"/>
        <v>1</v>
      </c>
      <c r="AC688" s="1418">
        <f t="shared" si="248"/>
        <v>0</v>
      </c>
      <c r="AD688" s="1418">
        <f t="shared" si="249"/>
        <v>0</v>
      </c>
      <c r="AE688" s="1418">
        <v>10697.44</v>
      </c>
      <c r="AF688" s="1418">
        <f t="shared" si="250"/>
        <v>0</v>
      </c>
      <c r="AG688" s="1418">
        <v>205.72</v>
      </c>
      <c r="AH688" s="1418">
        <f t="shared" si="251"/>
        <v>0</v>
      </c>
      <c r="AI688" s="1430"/>
      <c r="AO688" s="2504">
        <v>0</v>
      </c>
      <c r="AP688" s="1418">
        <f t="shared" si="259"/>
        <v>0</v>
      </c>
    </row>
    <row r="689" spans="1:42" s="1410" customFormat="1" ht="15.75">
      <c r="A689" s="2102"/>
      <c r="B689" s="1268" t="s">
        <v>2710</v>
      </c>
      <c r="C689" s="1241" t="s">
        <v>3464</v>
      </c>
      <c r="D689" s="1245" t="s">
        <v>36</v>
      </c>
      <c r="E689" s="1413">
        <v>243</v>
      </c>
      <c r="F689" s="1555">
        <v>85.51</v>
      </c>
      <c r="G689" s="1480">
        <v>88.17</v>
      </c>
      <c r="H689" s="1414">
        <v>89.55</v>
      </c>
      <c r="I689" s="1477">
        <f t="shared" si="246"/>
        <v>20778.93</v>
      </c>
      <c r="J689" s="1477">
        <f t="shared" si="247"/>
        <v>21425.31</v>
      </c>
      <c r="K689" s="1477">
        <v>0</v>
      </c>
      <c r="L689" s="1477">
        <f t="shared" si="252"/>
        <v>0</v>
      </c>
      <c r="M689" s="1477">
        <v>243</v>
      </c>
      <c r="N689" s="1477">
        <f t="shared" si="253"/>
        <v>243</v>
      </c>
      <c r="O689" s="1477">
        <f t="shared" si="254"/>
        <v>0</v>
      </c>
      <c r="P689" s="1477">
        <f t="shared" si="255"/>
        <v>21425.31</v>
      </c>
      <c r="Q689" s="1477">
        <f t="shared" si="256"/>
        <v>21760.65</v>
      </c>
      <c r="R689" s="1576">
        <f t="shared" si="257"/>
        <v>21760.65</v>
      </c>
      <c r="S689" s="1869">
        <v>0</v>
      </c>
      <c r="T689" s="1866">
        <v>0</v>
      </c>
      <c r="U689" s="2442"/>
      <c r="V689" s="1866">
        <f t="shared" si="260"/>
        <v>0</v>
      </c>
      <c r="W689" s="1869">
        <f t="shared" si="265"/>
        <v>0</v>
      </c>
      <c r="X689" s="1870">
        <f t="shared" si="258"/>
        <v>0</v>
      </c>
      <c r="Y689" s="1871">
        <f t="shared" si="261"/>
        <v>0</v>
      </c>
      <c r="Z689" s="1694">
        <f t="shared" si="266"/>
        <v>243</v>
      </c>
      <c r="AA689" s="1872">
        <f t="shared" si="262"/>
        <v>21760.649999999998</v>
      </c>
      <c r="AB689" s="1873">
        <f t="shared" si="263"/>
        <v>0.99999999999999978</v>
      </c>
      <c r="AC689" s="1418">
        <f t="shared" si="248"/>
        <v>0</v>
      </c>
      <c r="AD689" s="1418">
        <f t="shared" si="249"/>
        <v>0</v>
      </c>
      <c r="AE689" s="1418">
        <v>21760.649999999998</v>
      </c>
      <c r="AF689" s="1418">
        <f t="shared" si="250"/>
        <v>0</v>
      </c>
      <c r="AG689" s="1418">
        <v>89.55</v>
      </c>
      <c r="AH689" s="1418">
        <f t="shared" si="251"/>
        <v>0</v>
      </c>
      <c r="AI689" s="1430"/>
      <c r="AO689" s="2504">
        <v>0</v>
      </c>
      <c r="AP689" s="1418">
        <f t="shared" si="259"/>
        <v>0</v>
      </c>
    </row>
    <row r="690" spans="1:42" s="1410" customFormat="1" ht="15.75">
      <c r="A690" s="2102"/>
      <c r="B690" s="1268" t="s">
        <v>2711</v>
      </c>
      <c r="C690" s="1241" t="s">
        <v>3465</v>
      </c>
      <c r="D690" s="1245" t="s">
        <v>36</v>
      </c>
      <c r="E690" s="1413">
        <v>51</v>
      </c>
      <c r="F690" s="1555">
        <v>140.51</v>
      </c>
      <c r="G690" s="1480">
        <v>143.16999999999999</v>
      </c>
      <c r="H690" s="1414">
        <v>144.55000000000001</v>
      </c>
      <c r="I690" s="1477">
        <f t="shared" si="246"/>
        <v>7166.01</v>
      </c>
      <c r="J690" s="1477">
        <f t="shared" si="247"/>
        <v>7301.67</v>
      </c>
      <c r="K690" s="1477">
        <v>0</v>
      </c>
      <c r="L690" s="1477">
        <f t="shared" si="252"/>
        <v>0</v>
      </c>
      <c r="M690" s="1477">
        <v>51</v>
      </c>
      <c r="N690" s="1477">
        <f t="shared" si="253"/>
        <v>51</v>
      </c>
      <c r="O690" s="1477">
        <f t="shared" si="254"/>
        <v>0</v>
      </c>
      <c r="P690" s="1477">
        <f t="shared" si="255"/>
        <v>7301.67</v>
      </c>
      <c r="Q690" s="1477">
        <f t="shared" si="256"/>
        <v>7372.05</v>
      </c>
      <c r="R690" s="1576">
        <f t="shared" si="257"/>
        <v>7372.05</v>
      </c>
      <c r="S690" s="1869">
        <v>0</v>
      </c>
      <c r="T690" s="1866">
        <v>0</v>
      </c>
      <c r="U690" s="2442"/>
      <c r="V690" s="1866">
        <f t="shared" si="260"/>
        <v>0</v>
      </c>
      <c r="W690" s="1869">
        <f t="shared" si="265"/>
        <v>0</v>
      </c>
      <c r="X690" s="1870">
        <f t="shared" si="258"/>
        <v>0</v>
      </c>
      <c r="Y690" s="1871">
        <f t="shared" si="261"/>
        <v>0</v>
      </c>
      <c r="Z690" s="1694">
        <f t="shared" si="266"/>
        <v>51</v>
      </c>
      <c r="AA690" s="1872">
        <f t="shared" si="262"/>
        <v>7372.05</v>
      </c>
      <c r="AB690" s="1873">
        <f t="shared" si="263"/>
        <v>1</v>
      </c>
      <c r="AC690" s="1418">
        <f t="shared" si="248"/>
        <v>0</v>
      </c>
      <c r="AD690" s="1418">
        <f t="shared" si="249"/>
        <v>0</v>
      </c>
      <c r="AE690" s="1418">
        <v>7372.05</v>
      </c>
      <c r="AF690" s="1418">
        <f t="shared" si="250"/>
        <v>0</v>
      </c>
      <c r="AG690" s="1418">
        <v>144.55000000000001</v>
      </c>
      <c r="AH690" s="1418">
        <f t="shared" si="251"/>
        <v>0</v>
      </c>
      <c r="AI690" s="1428"/>
      <c r="AO690" s="2504">
        <v>0</v>
      </c>
      <c r="AP690" s="1418">
        <f t="shared" si="259"/>
        <v>0</v>
      </c>
    </row>
    <row r="691" spans="1:42" s="1410" customFormat="1" ht="15.75">
      <c r="A691" s="2102"/>
      <c r="B691" s="1268" t="s">
        <v>2712</v>
      </c>
      <c r="C691" s="1241" t="s">
        <v>3466</v>
      </c>
      <c r="D691" s="1245" t="s">
        <v>36</v>
      </c>
      <c r="E691" s="1413">
        <v>35</v>
      </c>
      <c r="F691" s="1555">
        <v>206.51</v>
      </c>
      <c r="G691" s="1480">
        <v>209.17</v>
      </c>
      <c r="H691" s="1414">
        <v>210.55</v>
      </c>
      <c r="I691" s="1477">
        <f t="shared" si="246"/>
        <v>7227.85</v>
      </c>
      <c r="J691" s="1477">
        <f t="shared" si="247"/>
        <v>7320.95</v>
      </c>
      <c r="K691" s="1477">
        <v>0</v>
      </c>
      <c r="L691" s="1477">
        <f t="shared" si="252"/>
        <v>0</v>
      </c>
      <c r="M691" s="1477">
        <v>35</v>
      </c>
      <c r="N691" s="1477">
        <f t="shared" si="253"/>
        <v>35</v>
      </c>
      <c r="O691" s="1477">
        <f t="shared" si="254"/>
        <v>0</v>
      </c>
      <c r="P691" s="1477">
        <f t="shared" si="255"/>
        <v>7320.95</v>
      </c>
      <c r="Q691" s="1477">
        <f t="shared" si="256"/>
        <v>7369.25</v>
      </c>
      <c r="R691" s="1576">
        <f t="shared" si="257"/>
        <v>7369.25</v>
      </c>
      <c r="S691" s="1869">
        <v>0</v>
      </c>
      <c r="T691" s="1866">
        <v>0</v>
      </c>
      <c r="U691" s="2442"/>
      <c r="V691" s="1866">
        <f t="shared" si="260"/>
        <v>0</v>
      </c>
      <c r="W691" s="1869">
        <f t="shared" si="265"/>
        <v>0</v>
      </c>
      <c r="X691" s="1870">
        <f t="shared" si="258"/>
        <v>0</v>
      </c>
      <c r="Y691" s="1871">
        <f t="shared" si="261"/>
        <v>0</v>
      </c>
      <c r="Z691" s="1694">
        <f t="shared" si="266"/>
        <v>35</v>
      </c>
      <c r="AA691" s="1872">
        <f t="shared" si="262"/>
        <v>7369.25</v>
      </c>
      <c r="AB691" s="1873">
        <f t="shared" si="263"/>
        <v>1</v>
      </c>
      <c r="AC691" s="1418">
        <f t="shared" si="248"/>
        <v>0</v>
      </c>
      <c r="AD691" s="1418">
        <f t="shared" si="249"/>
        <v>0</v>
      </c>
      <c r="AE691" s="1418">
        <v>7369.25</v>
      </c>
      <c r="AF691" s="1418">
        <f t="shared" si="250"/>
        <v>0</v>
      </c>
      <c r="AG691" s="1418">
        <v>210.55</v>
      </c>
      <c r="AH691" s="1418">
        <f t="shared" si="251"/>
        <v>0</v>
      </c>
      <c r="AI691" s="1428"/>
      <c r="AO691" s="2504">
        <v>0</v>
      </c>
      <c r="AP691" s="1418">
        <f t="shared" si="259"/>
        <v>0</v>
      </c>
    </row>
    <row r="692" spans="1:42" s="1231" customFormat="1" ht="15.75">
      <c r="A692" s="2103"/>
      <c r="B692" s="1543" t="s">
        <v>2713</v>
      </c>
      <c r="C692" s="1544" t="s">
        <v>3467</v>
      </c>
      <c r="D692" s="1545"/>
      <c r="E692" s="1266"/>
      <c r="F692" s="1267"/>
      <c r="G692" s="1480"/>
      <c r="H692" s="1267"/>
      <c r="I692" s="1477">
        <f t="shared" si="246"/>
        <v>0</v>
      </c>
      <c r="J692" s="1477">
        <f t="shared" si="247"/>
        <v>0</v>
      </c>
      <c r="K692" s="1477"/>
      <c r="L692" s="1477">
        <f t="shared" si="252"/>
        <v>0</v>
      </c>
      <c r="M692" s="1477"/>
      <c r="N692" s="1477">
        <f t="shared" si="253"/>
        <v>0</v>
      </c>
      <c r="O692" s="1477">
        <f t="shared" si="254"/>
        <v>0</v>
      </c>
      <c r="P692" s="1477">
        <f t="shared" si="255"/>
        <v>0</v>
      </c>
      <c r="Q692" s="1477">
        <f t="shared" si="256"/>
        <v>0</v>
      </c>
      <c r="R692" s="1576">
        <f t="shared" si="257"/>
        <v>0</v>
      </c>
      <c r="S692" s="2452"/>
      <c r="T692" s="1866"/>
      <c r="U692" s="2442"/>
      <c r="V692" s="1866">
        <f t="shared" si="260"/>
        <v>0</v>
      </c>
      <c r="W692" s="2452"/>
      <c r="X692" s="1870"/>
      <c r="Y692" s="1871" t="str">
        <f t="shared" si="261"/>
        <v/>
      </c>
      <c r="Z692" s="1694"/>
      <c r="AA692" s="1872">
        <f t="shared" si="262"/>
        <v>0</v>
      </c>
      <c r="AB692" s="1873" t="str">
        <f t="shared" si="263"/>
        <v/>
      </c>
      <c r="AC692" s="1418">
        <f t="shared" si="248"/>
        <v>0</v>
      </c>
      <c r="AD692" s="1418">
        <f t="shared" si="249"/>
        <v>0</v>
      </c>
      <c r="AE692" s="1230"/>
      <c r="AF692" s="1230">
        <f t="shared" si="250"/>
        <v>0</v>
      </c>
      <c r="AG692" s="1230"/>
      <c r="AH692" s="1418">
        <f t="shared" si="251"/>
        <v>0</v>
      </c>
      <c r="AI692" s="1346"/>
      <c r="AO692" s="1736"/>
      <c r="AP692" s="1418">
        <f t="shared" si="259"/>
        <v>0</v>
      </c>
    </row>
    <row r="693" spans="1:42" s="1410" customFormat="1" ht="15.75">
      <c r="A693" s="2102"/>
      <c r="B693" s="1268" t="s">
        <v>2714</v>
      </c>
      <c r="C693" s="1241" t="s">
        <v>3468</v>
      </c>
      <c r="D693" s="1245" t="s">
        <v>36</v>
      </c>
      <c r="E693" s="1413">
        <v>16</v>
      </c>
      <c r="F693" s="1555">
        <v>142.72</v>
      </c>
      <c r="G693" s="1480">
        <v>145.38</v>
      </c>
      <c r="H693" s="1414">
        <v>146.76</v>
      </c>
      <c r="I693" s="1477">
        <f t="shared" si="246"/>
        <v>2283.52</v>
      </c>
      <c r="J693" s="1477">
        <f t="shared" si="247"/>
        <v>2326.08</v>
      </c>
      <c r="K693" s="1477">
        <v>0</v>
      </c>
      <c r="L693" s="1477">
        <f t="shared" si="252"/>
        <v>0</v>
      </c>
      <c r="M693" s="1477">
        <v>16</v>
      </c>
      <c r="N693" s="1477">
        <f t="shared" si="253"/>
        <v>16</v>
      </c>
      <c r="O693" s="1477">
        <f t="shared" si="254"/>
        <v>0</v>
      </c>
      <c r="P693" s="1477">
        <f t="shared" si="255"/>
        <v>2326.08</v>
      </c>
      <c r="Q693" s="1477">
        <f t="shared" si="256"/>
        <v>2348.16</v>
      </c>
      <c r="R693" s="1576">
        <f t="shared" si="257"/>
        <v>2348.16</v>
      </c>
      <c r="S693" s="1869">
        <v>0</v>
      </c>
      <c r="T693" s="1866">
        <v>0</v>
      </c>
      <c r="U693" s="2442"/>
      <c r="V693" s="1866">
        <f t="shared" si="260"/>
        <v>0</v>
      </c>
      <c r="W693" s="1869">
        <f>S693+U693</f>
        <v>0</v>
      </c>
      <c r="X693" s="1870">
        <f t="shared" si="258"/>
        <v>0</v>
      </c>
      <c r="Y693" s="1871">
        <f t="shared" si="261"/>
        <v>0</v>
      </c>
      <c r="Z693" s="1694">
        <f>+E693-W693</f>
        <v>16</v>
      </c>
      <c r="AA693" s="1872">
        <f t="shared" si="262"/>
        <v>2348.16</v>
      </c>
      <c r="AB693" s="1873">
        <f t="shared" si="263"/>
        <v>1</v>
      </c>
      <c r="AC693" s="1418">
        <f t="shared" si="248"/>
        <v>0</v>
      </c>
      <c r="AD693" s="1418">
        <f t="shared" si="249"/>
        <v>0</v>
      </c>
      <c r="AE693" s="1418">
        <v>2348.16</v>
      </c>
      <c r="AF693" s="1418">
        <f t="shared" si="250"/>
        <v>0</v>
      </c>
      <c r="AG693" s="1418">
        <v>146.76</v>
      </c>
      <c r="AH693" s="1418">
        <f t="shared" si="251"/>
        <v>0</v>
      </c>
      <c r="AI693" s="1428"/>
      <c r="AO693" s="2504">
        <v>0</v>
      </c>
      <c r="AP693" s="1418">
        <f t="shared" si="259"/>
        <v>0</v>
      </c>
    </row>
    <row r="694" spans="1:42" s="1410" customFormat="1" ht="15.75">
      <c r="A694" s="2102"/>
      <c r="B694" s="1268" t="s">
        <v>2715</v>
      </c>
      <c r="C694" s="1241" t="s">
        <v>3469</v>
      </c>
      <c r="D694" s="1245" t="s">
        <v>36</v>
      </c>
      <c r="E694" s="1413">
        <v>4</v>
      </c>
      <c r="F694" s="1555">
        <v>140.51</v>
      </c>
      <c r="G694" s="1480">
        <v>143.16999999999999</v>
      </c>
      <c r="H694" s="1414">
        <v>144.55000000000001</v>
      </c>
      <c r="I694" s="1477">
        <f t="shared" si="246"/>
        <v>562.04</v>
      </c>
      <c r="J694" s="1477">
        <f t="shared" si="247"/>
        <v>572.67999999999995</v>
      </c>
      <c r="K694" s="1477">
        <v>0</v>
      </c>
      <c r="L694" s="1477">
        <f t="shared" si="252"/>
        <v>0</v>
      </c>
      <c r="M694" s="1477">
        <v>4</v>
      </c>
      <c r="N694" s="1477">
        <f t="shared" si="253"/>
        <v>4</v>
      </c>
      <c r="O694" s="1477">
        <f t="shared" si="254"/>
        <v>0</v>
      </c>
      <c r="P694" s="1477">
        <f t="shared" si="255"/>
        <v>572.67999999999995</v>
      </c>
      <c r="Q694" s="1477">
        <f t="shared" si="256"/>
        <v>578.20000000000005</v>
      </c>
      <c r="R694" s="1576">
        <f t="shared" si="257"/>
        <v>578.20000000000005</v>
      </c>
      <c r="S694" s="1869">
        <v>0</v>
      </c>
      <c r="T694" s="1866">
        <v>0</v>
      </c>
      <c r="U694" s="2442"/>
      <c r="V694" s="1866">
        <f t="shared" si="260"/>
        <v>0</v>
      </c>
      <c r="W694" s="1869">
        <f>S694+U694</f>
        <v>0</v>
      </c>
      <c r="X694" s="1870">
        <f t="shared" si="258"/>
        <v>0</v>
      </c>
      <c r="Y694" s="1871">
        <f t="shared" si="261"/>
        <v>0</v>
      </c>
      <c r="Z694" s="1694">
        <f>+E694-W694</f>
        <v>4</v>
      </c>
      <c r="AA694" s="1872">
        <f t="shared" si="262"/>
        <v>578.20000000000005</v>
      </c>
      <c r="AB694" s="1873">
        <f t="shared" si="263"/>
        <v>1</v>
      </c>
      <c r="AC694" s="1418">
        <f t="shared" si="248"/>
        <v>0</v>
      </c>
      <c r="AD694" s="1418">
        <f t="shared" si="249"/>
        <v>0</v>
      </c>
      <c r="AE694" s="1418">
        <v>578.20000000000005</v>
      </c>
      <c r="AF694" s="1418">
        <f t="shared" si="250"/>
        <v>0</v>
      </c>
      <c r="AG694" s="1418">
        <v>144.55000000000001</v>
      </c>
      <c r="AH694" s="1418">
        <f t="shared" si="251"/>
        <v>0</v>
      </c>
      <c r="AI694" s="1428"/>
      <c r="AO694" s="2504">
        <v>0</v>
      </c>
      <c r="AP694" s="1418">
        <f t="shared" si="259"/>
        <v>0</v>
      </c>
    </row>
    <row r="695" spans="1:42" s="1231" customFormat="1" ht="15.75">
      <c r="A695" s="2103"/>
      <c r="B695" s="1543" t="s">
        <v>2716</v>
      </c>
      <c r="C695" s="1544" t="s">
        <v>3470</v>
      </c>
      <c r="D695" s="1545"/>
      <c r="E695" s="1266"/>
      <c r="F695" s="1267"/>
      <c r="G695" s="1480"/>
      <c r="H695" s="1267"/>
      <c r="I695" s="1477">
        <f t="shared" si="246"/>
        <v>0</v>
      </c>
      <c r="J695" s="1477">
        <f t="shared" si="247"/>
        <v>0</v>
      </c>
      <c r="K695" s="1477"/>
      <c r="L695" s="1477">
        <f t="shared" si="252"/>
        <v>0</v>
      </c>
      <c r="M695" s="1477"/>
      <c r="N695" s="1477">
        <f t="shared" si="253"/>
        <v>0</v>
      </c>
      <c r="O695" s="1477">
        <f t="shared" si="254"/>
        <v>0</v>
      </c>
      <c r="P695" s="1477">
        <f t="shared" si="255"/>
        <v>0</v>
      </c>
      <c r="Q695" s="1477">
        <f t="shared" si="256"/>
        <v>0</v>
      </c>
      <c r="R695" s="1576">
        <f t="shared" si="257"/>
        <v>0</v>
      </c>
      <c r="S695" s="2452"/>
      <c r="T695" s="1866"/>
      <c r="U695" s="2442"/>
      <c r="V695" s="1866">
        <f t="shared" si="260"/>
        <v>0</v>
      </c>
      <c r="W695" s="2452"/>
      <c r="X695" s="1870"/>
      <c r="Y695" s="1871" t="str">
        <f t="shared" si="261"/>
        <v/>
      </c>
      <c r="Z695" s="1694"/>
      <c r="AA695" s="1872">
        <f t="shared" si="262"/>
        <v>0</v>
      </c>
      <c r="AB695" s="1873" t="str">
        <f t="shared" si="263"/>
        <v/>
      </c>
      <c r="AC695" s="1418">
        <f t="shared" si="248"/>
        <v>0</v>
      </c>
      <c r="AD695" s="1418">
        <f t="shared" si="249"/>
        <v>0</v>
      </c>
      <c r="AE695" s="1230"/>
      <c r="AF695" s="1230">
        <f t="shared" si="250"/>
        <v>0</v>
      </c>
      <c r="AG695" s="1230"/>
      <c r="AH695" s="1418">
        <f t="shared" si="251"/>
        <v>0</v>
      </c>
      <c r="AI695" s="1346"/>
      <c r="AO695" s="1736"/>
      <c r="AP695" s="1418">
        <f t="shared" si="259"/>
        <v>0</v>
      </c>
    </row>
    <row r="696" spans="1:42" s="1410" customFormat="1" ht="15.75">
      <c r="A696" s="2102"/>
      <c r="B696" s="1268" t="s">
        <v>2717</v>
      </c>
      <c r="C696" s="1241" t="s">
        <v>3471</v>
      </c>
      <c r="D696" s="1245" t="s">
        <v>36</v>
      </c>
      <c r="E696" s="1413">
        <v>6</v>
      </c>
      <c r="F696" s="1555">
        <v>175.94</v>
      </c>
      <c r="G696" s="1480">
        <v>178.6</v>
      </c>
      <c r="H696" s="1414">
        <v>179.98</v>
      </c>
      <c r="I696" s="1477">
        <f t="shared" si="246"/>
        <v>1055.6400000000001</v>
      </c>
      <c r="J696" s="1477">
        <f t="shared" si="247"/>
        <v>1071.5999999999999</v>
      </c>
      <c r="K696" s="1477">
        <v>0</v>
      </c>
      <c r="L696" s="1477">
        <f t="shared" si="252"/>
        <v>0</v>
      </c>
      <c r="M696" s="1477">
        <v>6</v>
      </c>
      <c r="N696" s="1477">
        <f t="shared" si="253"/>
        <v>6</v>
      </c>
      <c r="O696" s="1477">
        <f t="shared" si="254"/>
        <v>0</v>
      </c>
      <c r="P696" s="1477">
        <f t="shared" si="255"/>
        <v>1071.5999999999999</v>
      </c>
      <c r="Q696" s="1477">
        <f t="shared" si="256"/>
        <v>1079.8800000000001</v>
      </c>
      <c r="R696" s="1576">
        <f t="shared" si="257"/>
        <v>1079.8800000000001</v>
      </c>
      <c r="S696" s="1869">
        <v>0</v>
      </c>
      <c r="T696" s="1866">
        <v>0</v>
      </c>
      <c r="U696" s="2442"/>
      <c r="V696" s="1866">
        <f t="shared" si="260"/>
        <v>0</v>
      </c>
      <c r="W696" s="1869">
        <f>S696+U696</f>
        <v>0</v>
      </c>
      <c r="X696" s="1870">
        <f t="shared" si="258"/>
        <v>0</v>
      </c>
      <c r="Y696" s="1871">
        <f t="shared" si="261"/>
        <v>0</v>
      </c>
      <c r="Z696" s="1694">
        <f>+E696-W696</f>
        <v>6</v>
      </c>
      <c r="AA696" s="1872">
        <f t="shared" si="262"/>
        <v>1079.8799999999999</v>
      </c>
      <c r="AB696" s="1873">
        <f t="shared" si="263"/>
        <v>0.99999999999999978</v>
      </c>
      <c r="AC696" s="1418">
        <f t="shared" si="248"/>
        <v>0</v>
      </c>
      <c r="AD696" s="1418">
        <f t="shared" si="249"/>
        <v>0</v>
      </c>
      <c r="AE696" s="1418">
        <v>1079.8799999999999</v>
      </c>
      <c r="AF696" s="1418">
        <f t="shared" si="250"/>
        <v>0</v>
      </c>
      <c r="AG696" s="1418">
        <v>179.98</v>
      </c>
      <c r="AH696" s="1418">
        <f t="shared" si="251"/>
        <v>0</v>
      </c>
      <c r="AI696" s="1428"/>
      <c r="AO696" s="2504">
        <v>0</v>
      </c>
      <c r="AP696" s="1418">
        <f t="shared" si="259"/>
        <v>0</v>
      </c>
    </row>
    <row r="697" spans="1:42" s="1231" customFormat="1" ht="15.75">
      <c r="A697" s="2103"/>
      <c r="B697" s="1543" t="s">
        <v>2718</v>
      </c>
      <c r="C697" s="1544" t="s">
        <v>3472</v>
      </c>
      <c r="D697" s="1545"/>
      <c r="E697" s="1266"/>
      <c r="F697" s="1267"/>
      <c r="G697" s="1480"/>
      <c r="H697" s="1267"/>
      <c r="I697" s="1477">
        <f t="shared" si="246"/>
        <v>0</v>
      </c>
      <c r="J697" s="1477">
        <f t="shared" si="247"/>
        <v>0</v>
      </c>
      <c r="K697" s="1477"/>
      <c r="L697" s="1477">
        <f t="shared" si="252"/>
        <v>0</v>
      </c>
      <c r="M697" s="1477"/>
      <c r="N697" s="1477">
        <f t="shared" si="253"/>
        <v>0</v>
      </c>
      <c r="O697" s="1477">
        <f t="shared" si="254"/>
        <v>0</v>
      </c>
      <c r="P697" s="1477">
        <f t="shared" si="255"/>
        <v>0</v>
      </c>
      <c r="Q697" s="1477">
        <f t="shared" si="256"/>
        <v>0</v>
      </c>
      <c r="R697" s="1576">
        <f t="shared" si="257"/>
        <v>0</v>
      </c>
      <c r="S697" s="2452"/>
      <c r="T697" s="1866"/>
      <c r="U697" s="2442"/>
      <c r="V697" s="1866">
        <f t="shared" si="260"/>
        <v>0</v>
      </c>
      <c r="W697" s="2452"/>
      <c r="X697" s="1870"/>
      <c r="Y697" s="1871" t="str">
        <f t="shared" si="261"/>
        <v/>
      </c>
      <c r="Z697" s="1694"/>
      <c r="AA697" s="1872">
        <f t="shared" si="262"/>
        <v>0</v>
      </c>
      <c r="AB697" s="1873" t="str">
        <f t="shared" si="263"/>
        <v/>
      </c>
      <c r="AC697" s="1418">
        <f t="shared" si="248"/>
        <v>0</v>
      </c>
      <c r="AD697" s="1418">
        <f t="shared" si="249"/>
        <v>0</v>
      </c>
      <c r="AE697" s="1230"/>
      <c r="AF697" s="1230">
        <f t="shared" si="250"/>
        <v>0</v>
      </c>
      <c r="AG697" s="1230"/>
      <c r="AH697" s="1418">
        <f t="shared" si="251"/>
        <v>0</v>
      </c>
      <c r="AI697" s="1346"/>
      <c r="AO697" s="1736"/>
      <c r="AP697" s="1418">
        <f t="shared" si="259"/>
        <v>0</v>
      </c>
    </row>
    <row r="698" spans="1:42" s="1410" customFormat="1" ht="15.75">
      <c r="A698" s="2102"/>
      <c r="B698" s="1268" t="s">
        <v>2719</v>
      </c>
      <c r="C698" s="1241" t="s">
        <v>3473</v>
      </c>
      <c r="D698" s="1245" t="s">
        <v>36</v>
      </c>
      <c r="E698" s="1413">
        <v>19</v>
      </c>
      <c r="F698" s="1555">
        <v>906.95</v>
      </c>
      <c r="G698" s="1480">
        <v>909.61</v>
      </c>
      <c r="H698" s="1414">
        <v>910.99</v>
      </c>
      <c r="I698" s="1477">
        <f t="shared" si="246"/>
        <v>17232.05</v>
      </c>
      <c r="J698" s="1477">
        <f t="shared" si="247"/>
        <v>17282.59</v>
      </c>
      <c r="K698" s="1477">
        <v>0</v>
      </c>
      <c r="L698" s="1477">
        <f t="shared" si="252"/>
        <v>0</v>
      </c>
      <c r="M698" s="1477">
        <v>19</v>
      </c>
      <c r="N698" s="1477">
        <f t="shared" si="253"/>
        <v>19</v>
      </c>
      <c r="O698" s="1477">
        <f t="shared" si="254"/>
        <v>0</v>
      </c>
      <c r="P698" s="1477">
        <f t="shared" si="255"/>
        <v>17282.59</v>
      </c>
      <c r="Q698" s="1477">
        <f t="shared" si="256"/>
        <v>17308.810000000001</v>
      </c>
      <c r="R698" s="1576">
        <f t="shared" si="257"/>
        <v>17308.810000000001</v>
      </c>
      <c r="S698" s="1869">
        <v>0</v>
      </c>
      <c r="T698" s="1866">
        <v>0</v>
      </c>
      <c r="U698" s="2442"/>
      <c r="V698" s="1866">
        <f t="shared" si="260"/>
        <v>0</v>
      </c>
      <c r="W698" s="1869">
        <f>S698+U698</f>
        <v>0</v>
      </c>
      <c r="X698" s="1870">
        <f t="shared" si="258"/>
        <v>0</v>
      </c>
      <c r="Y698" s="1871">
        <f t="shared" si="261"/>
        <v>0</v>
      </c>
      <c r="Z698" s="1694">
        <f>+E698-W698</f>
        <v>19</v>
      </c>
      <c r="AA698" s="1872">
        <f t="shared" si="262"/>
        <v>17308.810000000001</v>
      </c>
      <c r="AB698" s="1873">
        <f t="shared" si="263"/>
        <v>1</v>
      </c>
      <c r="AC698" s="1418">
        <f t="shared" si="248"/>
        <v>0</v>
      </c>
      <c r="AD698" s="1418">
        <f t="shared" si="249"/>
        <v>0</v>
      </c>
      <c r="AE698" s="1418">
        <v>17308.810000000001</v>
      </c>
      <c r="AF698" s="1418">
        <f t="shared" si="250"/>
        <v>0</v>
      </c>
      <c r="AG698" s="1418">
        <v>910.99</v>
      </c>
      <c r="AH698" s="1418">
        <f t="shared" si="251"/>
        <v>0</v>
      </c>
      <c r="AI698" s="1428"/>
      <c r="AO698" s="2504">
        <v>0</v>
      </c>
      <c r="AP698" s="1418">
        <f t="shared" si="259"/>
        <v>0</v>
      </c>
    </row>
    <row r="699" spans="1:42" s="1410" customFormat="1" ht="15.75">
      <c r="A699" s="2102"/>
      <c r="B699" s="1268" t="s">
        <v>2720</v>
      </c>
      <c r="C699" s="1241" t="s">
        <v>3474</v>
      </c>
      <c r="D699" s="1245" t="s">
        <v>36</v>
      </c>
      <c r="E699" s="1413">
        <v>30</v>
      </c>
      <c r="F699" s="1555">
        <v>334.93</v>
      </c>
      <c r="G699" s="1480">
        <v>337.59</v>
      </c>
      <c r="H699" s="1414">
        <v>338.97</v>
      </c>
      <c r="I699" s="1477">
        <f t="shared" si="246"/>
        <v>10047.9</v>
      </c>
      <c r="J699" s="1477">
        <f t="shared" si="247"/>
        <v>10127.700000000001</v>
      </c>
      <c r="K699" s="1477">
        <v>0</v>
      </c>
      <c r="L699" s="1477">
        <f t="shared" si="252"/>
        <v>0</v>
      </c>
      <c r="M699" s="1477">
        <v>30</v>
      </c>
      <c r="N699" s="1477">
        <f t="shared" si="253"/>
        <v>30</v>
      </c>
      <c r="O699" s="1477">
        <f t="shared" si="254"/>
        <v>0</v>
      </c>
      <c r="P699" s="1477">
        <f t="shared" si="255"/>
        <v>10127.700000000001</v>
      </c>
      <c r="Q699" s="1477">
        <f t="shared" si="256"/>
        <v>10169.1</v>
      </c>
      <c r="R699" s="1576">
        <f t="shared" si="257"/>
        <v>10169.1</v>
      </c>
      <c r="S699" s="1869">
        <v>0</v>
      </c>
      <c r="T699" s="1866">
        <v>0</v>
      </c>
      <c r="U699" s="2442"/>
      <c r="V699" s="1866">
        <f t="shared" si="260"/>
        <v>0</v>
      </c>
      <c r="W699" s="1869">
        <f>S699+U699</f>
        <v>0</v>
      </c>
      <c r="X699" s="1870">
        <f t="shared" si="258"/>
        <v>0</v>
      </c>
      <c r="Y699" s="1871">
        <f t="shared" si="261"/>
        <v>0</v>
      </c>
      <c r="Z699" s="1694">
        <f>+E699-W699</f>
        <v>30</v>
      </c>
      <c r="AA699" s="1872">
        <f t="shared" si="262"/>
        <v>10169.1</v>
      </c>
      <c r="AB699" s="1873">
        <f t="shared" si="263"/>
        <v>1</v>
      </c>
      <c r="AC699" s="1418">
        <f t="shared" si="248"/>
        <v>0</v>
      </c>
      <c r="AD699" s="1418">
        <f t="shared" si="249"/>
        <v>0</v>
      </c>
      <c r="AE699" s="1418">
        <v>10169.1</v>
      </c>
      <c r="AF699" s="1418">
        <f t="shared" si="250"/>
        <v>0</v>
      </c>
      <c r="AG699" s="1418">
        <v>338.97</v>
      </c>
      <c r="AH699" s="1418">
        <f t="shared" si="251"/>
        <v>0</v>
      </c>
      <c r="AI699" s="1428"/>
      <c r="AO699" s="2504">
        <v>0</v>
      </c>
      <c r="AP699" s="1418">
        <f t="shared" si="259"/>
        <v>0</v>
      </c>
    </row>
    <row r="700" spans="1:42" s="1410" customFormat="1" ht="15.75">
      <c r="A700" s="2102"/>
      <c r="B700" s="1272" t="s">
        <v>2721</v>
      </c>
      <c r="C700" s="1262" t="s">
        <v>3475</v>
      </c>
      <c r="D700" s="1273"/>
      <c r="E700" s="1415"/>
      <c r="F700" s="1267"/>
      <c r="G700" s="1480"/>
      <c r="H700" s="1416"/>
      <c r="I700" s="1477">
        <f t="shared" si="246"/>
        <v>0</v>
      </c>
      <c r="J700" s="1477">
        <f t="shared" si="247"/>
        <v>0</v>
      </c>
      <c r="K700" s="1477"/>
      <c r="L700" s="1477">
        <f t="shared" si="252"/>
        <v>0</v>
      </c>
      <c r="M700" s="1477"/>
      <c r="N700" s="1477">
        <f t="shared" si="253"/>
        <v>0</v>
      </c>
      <c r="O700" s="1477">
        <f t="shared" si="254"/>
        <v>0</v>
      </c>
      <c r="P700" s="1477">
        <f t="shared" si="255"/>
        <v>0</v>
      </c>
      <c r="Q700" s="1477">
        <f t="shared" si="256"/>
        <v>0</v>
      </c>
      <c r="R700" s="1576">
        <f t="shared" si="257"/>
        <v>0</v>
      </c>
      <c r="S700" s="1869"/>
      <c r="T700" s="1866"/>
      <c r="U700" s="2442"/>
      <c r="V700" s="1866">
        <f t="shared" si="260"/>
        <v>0</v>
      </c>
      <c r="W700" s="1869"/>
      <c r="X700" s="1870"/>
      <c r="Y700" s="1871" t="str">
        <f t="shared" si="261"/>
        <v/>
      </c>
      <c r="Z700" s="1694"/>
      <c r="AA700" s="1872">
        <f t="shared" si="262"/>
        <v>0</v>
      </c>
      <c r="AB700" s="1873" t="str">
        <f t="shared" si="263"/>
        <v/>
      </c>
      <c r="AC700" s="1418">
        <f t="shared" si="248"/>
        <v>0</v>
      </c>
      <c r="AD700" s="1418">
        <f t="shared" si="249"/>
        <v>0</v>
      </c>
      <c r="AE700" s="1418"/>
      <c r="AF700" s="1418">
        <f t="shared" si="250"/>
        <v>0</v>
      </c>
      <c r="AG700" s="1418"/>
      <c r="AH700" s="1418">
        <f t="shared" si="251"/>
        <v>0</v>
      </c>
      <c r="AI700" s="1428"/>
      <c r="AO700" s="2504"/>
      <c r="AP700" s="1418">
        <f t="shared" si="259"/>
        <v>0</v>
      </c>
    </row>
    <row r="701" spans="1:42" s="1410" customFormat="1" ht="15.75">
      <c r="A701" s="2102"/>
      <c r="B701" s="1268" t="s">
        <v>2722</v>
      </c>
      <c r="C701" s="1241" t="s">
        <v>3476</v>
      </c>
      <c r="D701" s="1245" t="s">
        <v>1451</v>
      </c>
      <c r="E701" s="1413">
        <v>98</v>
      </c>
      <c r="F701" s="1555">
        <v>89.42</v>
      </c>
      <c r="G701" s="1480">
        <v>91.75</v>
      </c>
      <c r="H701" s="1414">
        <v>93.06</v>
      </c>
      <c r="I701" s="1477">
        <f t="shared" si="246"/>
        <v>8763.16</v>
      </c>
      <c r="J701" s="1477">
        <f t="shared" si="247"/>
        <v>8991.5</v>
      </c>
      <c r="K701" s="1477">
        <v>0</v>
      </c>
      <c r="L701" s="1477">
        <f t="shared" si="252"/>
        <v>0</v>
      </c>
      <c r="M701" s="1477">
        <v>98</v>
      </c>
      <c r="N701" s="1477">
        <f t="shared" si="253"/>
        <v>98</v>
      </c>
      <c r="O701" s="1477">
        <f t="shared" si="254"/>
        <v>0</v>
      </c>
      <c r="P701" s="1477">
        <f t="shared" si="255"/>
        <v>8991.5</v>
      </c>
      <c r="Q701" s="1477">
        <f t="shared" si="256"/>
        <v>9119.8799999999992</v>
      </c>
      <c r="R701" s="1576">
        <f t="shared" si="257"/>
        <v>9119.8799999999992</v>
      </c>
      <c r="S701" s="1869">
        <v>98</v>
      </c>
      <c r="T701" s="1866">
        <v>9119.8799999999992</v>
      </c>
      <c r="U701" s="2442"/>
      <c r="V701" s="1866">
        <f t="shared" si="260"/>
        <v>0</v>
      </c>
      <c r="W701" s="1869">
        <f>S701+U701</f>
        <v>98</v>
      </c>
      <c r="X701" s="1870">
        <f t="shared" si="258"/>
        <v>9119.8799999999992</v>
      </c>
      <c r="Y701" s="1871">
        <f t="shared" si="261"/>
        <v>1</v>
      </c>
      <c r="Z701" s="1694">
        <f>+E701-W701</f>
        <v>0</v>
      </c>
      <c r="AA701" s="1872">
        <f t="shared" si="262"/>
        <v>0</v>
      </c>
      <c r="AB701" s="1873">
        <f t="shared" si="263"/>
        <v>0</v>
      </c>
      <c r="AC701" s="1418">
        <f t="shared" si="248"/>
        <v>0</v>
      </c>
      <c r="AD701" s="1418">
        <f t="shared" si="249"/>
        <v>0</v>
      </c>
      <c r="AE701" s="1418">
        <v>9119.880000000001</v>
      </c>
      <c r="AF701" s="1418">
        <f t="shared" si="250"/>
        <v>0</v>
      </c>
      <c r="AG701" s="1418">
        <v>93.06</v>
      </c>
      <c r="AH701" s="1418">
        <f t="shared" si="251"/>
        <v>0</v>
      </c>
      <c r="AI701" s="1428"/>
      <c r="AO701" s="2504">
        <v>9119.8799999999992</v>
      </c>
      <c r="AP701" s="1418">
        <f t="shared" si="259"/>
        <v>0</v>
      </c>
    </row>
    <row r="702" spans="1:42" s="1410" customFormat="1" ht="15.75">
      <c r="A702" s="2102"/>
      <c r="B702" s="1268" t="s">
        <v>2723</v>
      </c>
      <c r="C702" s="1241" t="s">
        <v>3477</v>
      </c>
      <c r="D702" s="1245" t="s">
        <v>1451</v>
      </c>
      <c r="E702" s="1413">
        <v>56</v>
      </c>
      <c r="F702" s="1555">
        <v>99.21</v>
      </c>
      <c r="G702" s="1480">
        <v>101.54</v>
      </c>
      <c r="H702" s="1414">
        <v>102.85</v>
      </c>
      <c r="I702" s="1477">
        <f t="shared" si="246"/>
        <v>5555.76</v>
      </c>
      <c r="J702" s="1477">
        <f t="shared" si="247"/>
        <v>5686.24</v>
      </c>
      <c r="K702" s="1477">
        <v>0</v>
      </c>
      <c r="L702" s="1477">
        <f t="shared" si="252"/>
        <v>0</v>
      </c>
      <c r="M702" s="1477">
        <v>56</v>
      </c>
      <c r="N702" s="1477">
        <f t="shared" si="253"/>
        <v>56</v>
      </c>
      <c r="O702" s="1477">
        <f t="shared" si="254"/>
        <v>0</v>
      </c>
      <c r="P702" s="1477">
        <f t="shared" si="255"/>
        <v>5686.24</v>
      </c>
      <c r="Q702" s="1477">
        <f t="shared" si="256"/>
        <v>5759.6</v>
      </c>
      <c r="R702" s="1576">
        <f t="shared" si="257"/>
        <v>5759.6</v>
      </c>
      <c r="S702" s="1869">
        <v>56</v>
      </c>
      <c r="T702" s="1866">
        <v>5759.5999999999995</v>
      </c>
      <c r="U702" s="2442"/>
      <c r="V702" s="1866">
        <f t="shared" si="260"/>
        <v>0</v>
      </c>
      <c r="W702" s="1869">
        <f>S702+U702</f>
        <v>56</v>
      </c>
      <c r="X702" s="1870">
        <f t="shared" si="258"/>
        <v>5759.5999999999995</v>
      </c>
      <c r="Y702" s="1871">
        <f t="shared" si="261"/>
        <v>0.99999999999999989</v>
      </c>
      <c r="Z702" s="1694">
        <f>+E702-W702</f>
        <v>0</v>
      </c>
      <c r="AA702" s="1872">
        <f t="shared" si="262"/>
        <v>0</v>
      </c>
      <c r="AB702" s="1873">
        <f t="shared" si="263"/>
        <v>0</v>
      </c>
      <c r="AC702" s="1418">
        <f t="shared" si="248"/>
        <v>9.0949470177292824E-13</v>
      </c>
      <c r="AD702" s="1418">
        <f t="shared" si="249"/>
        <v>0</v>
      </c>
      <c r="AE702" s="1418">
        <v>5759.5999999999995</v>
      </c>
      <c r="AF702" s="1418">
        <f t="shared" si="250"/>
        <v>0</v>
      </c>
      <c r="AG702" s="1418">
        <v>102.85</v>
      </c>
      <c r="AH702" s="1418">
        <f t="shared" si="251"/>
        <v>0</v>
      </c>
      <c r="AI702" s="1428"/>
      <c r="AO702" s="2504">
        <v>5759.5999999999995</v>
      </c>
      <c r="AP702" s="1418">
        <f t="shared" si="259"/>
        <v>0</v>
      </c>
    </row>
    <row r="703" spans="1:42" s="1410" customFormat="1" ht="15.75">
      <c r="A703" s="2102"/>
      <c r="B703" s="1268" t="s">
        <v>2724</v>
      </c>
      <c r="C703" s="1241" t="s">
        <v>3478</v>
      </c>
      <c r="D703" s="1245" t="s">
        <v>1451</v>
      </c>
      <c r="E703" s="1413">
        <v>9</v>
      </c>
      <c r="F703" s="1555">
        <v>108.01</v>
      </c>
      <c r="G703" s="1480">
        <v>110.34</v>
      </c>
      <c r="H703" s="1414">
        <v>111.65</v>
      </c>
      <c r="I703" s="1477">
        <f t="shared" si="246"/>
        <v>972.09</v>
      </c>
      <c r="J703" s="1477">
        <f t="shared" si="247"/>
        <v>993.06</v>
      </c>
      <c r="K703" s="1477">
        <v>0</v>
      </c>
      <c r="L703" s="1477">
        <f t="shared" si="252"/>
        <v>0</v>
      </c>
      <c r="M703" s="1477">
        <v>9</v>
      </c>
      <c r="N703" s="1477">
        <f t="shared" si="253"/>
        <v>9</v>
      </c>
      <c r="O703" s="1477">
        <f t="shared" si="254"/>
        <v>0</v>
      </c>
      <c r="P703" s="1477">
        <f t="shared" si="255"/>
        <v>993.06</v>
      </c>
      <c r="Q703" s="1477">
        <f t="shared" si="256"/>
        <v>1004.85</v>
      </c>
      <c r="R703" s="1576">
        <f t="shared" si="257"/>
        <v>1004.85</v>
      </c>
      <c r="S703" s="1869">
        <v>9</v>
      </c>
      <c r="T703" s="1866">
        <v>1004.85</v>
      </c>
      <c r="U703" s="2442"/>
      <c r="V703" s="1866">
        <f t="shared" si="260"/>
        <v>0</v>
      </c>
      <c r="W703" s="1869">
        <f>S703+U703</f>
        <v>9</v>
      </c>
      <c r="X703" s="1870">
        <f t="shared" si="258"/>
        <v>1004.85</v>
      </c>
      <c r="Y703" s="1871">
        <f t="shared" si="261"/>
        <v>1</v>
      </c>
      <c r="Z703" s="1694">
        <f>+E703-W703</f>
        <v>0</v>
      </c>
      <c r="AA703" s="1872">
        <f t="shared" si="262"/>
        <v>0</v>
      </c>
      <c r="AB703" s="1873">
        <f t="shared" si="263"/>
        <v>0</v>
      </c>
      <c r="AC703" s="1418">
        <f t="shared" si="248"/>
        <v>0</v>
      </c>
      <c r="AD703" s="1418">
        <f t="shared" si="249"/>
        <v>0</v>
      </c>
      <c r="AE703" s="1418">
        <v>1004.85</v>
      </c>
      <c r="AF703" s="1418">
        <f t="shared" si="250"/>
        <v>0</v>
      </c>
      <c r="AG703" s="1418">
        <v>111.65</v>
      </c>
      <c r="AH703" s="1418">
        <f t="shared" si="251"/>
        <v>0</v>
      </c>
      <c r="AI703" s="1428"/>
      <c r="AO703" s="2504">
        <v>1004.85</v>
      </c>
      <c r="AP703" s="1418">
        <f t="shared" si="259"/>
        <v>0</v>
      </c>
    </row>
    <row r="704" spans="1:42" s="1410" customFormat="1" ht="15.75">
      <c r="A704" s="2102"/>
      <c r="B704" s="1272" t="s">
        <v>2725</v>
      </c>
      <c r="C704" s="1262" t="s">
        <v>3479</v>
      </c>
      <c r="D704" s="1273"/>
      <c r="E704" s="1415"/>
      <c r="F704" s="1267"/>
      <c r="G704" s="1480"/>
      <c r="H704" s="1416"/>
      <c r="I704" s="1477">
        <f t="shared" si="246"/>
        <v>0</v>
      </c>
      <c r="J704" s="1477">
        <f t="shared" si="247"/>
        <v>0</v>
      </c>
      <c r="K704" s="1477"/>
      <c r="L704" s="1477">
        <f t="shared" si="252"/>
        <v>0</v>
      </c>
      <c r="M704" s="1477"/>
      <c r="N704" s="1477">
        <f t="shared" si="253"/>
        <v>0</v>
      </c>
      <c r="O704" s="1477">
        <f t="shared" si="254"/>
        <v>0</v>
      </c>
      <c r="P704" s="1477">
        <f t="shared" si="255"/>
        <v>0</v>
      </c>
      <c r="Q704" s="1477">
        <f t="shared" si="256"/>
        <v>0</v>
      </c>
      <c r="R704" s="1576">
        <f t="shared" si="257"/>
        <v>0</v>
      </c>
      <c r="S704" s="1869"/>
      <c r="T704" s="1866"/>
      <c r="U704" s="2442"/>
      <c r="V704" s="1866">
        <f t="shared" si="260"/>
        <v>0</v>
      </c>
      <c r="W704" s="1869"/>
      <c r="X704" s="1870"/>
      <c r="Y704" s="1871" t="str">
        <f t="shared" si="261"/>
        <v/>
      </c>
      <c r="Z704" s="1694"/>
      <c r="AA704" s="1872">
        <f t="shared" si="262"/>
        <v>0</v>
      </c>
      <c r="AB704" s="1873" t="str">
        <f t="shared" si="263"/>
        <v/>
      </c>
      <c r="AC704" s="1418">
        <f t="shared" si="248"/>
        <v>0</v>
      </c>
      <c r="AD704" s="1418">
        <f t="shared" si="249"/>
        <v>0</v>
      </c>
      <c r="AE704" s="1418"/>
      <c r="AF704" s="1418">
        <f t="shared" si="250"/>
        <v>0</v>
      </c>
      <c r="AG704" s="1418"/>
      <c r="AH704" s="1418">
        <f t="shared" si="251"/>
        <v>0</v>
      </c>
      <c r="AI704" s="1428"/>
      <c r="AO704" s="2504"/>
      <c r="AP704" s="1418">
        <f t="shared" si="259"/>
        <v>0</v>
      </c>
    </row>
    <row r="705" spans="1:42" s="1410" customFormat="1" ht="15.75">
      <c r="A705" s="2102"/>
      <c r="B705" s="1268" t="s">
        <v>2726</v>
      </c>
      <c r="C705" s="1241" t="s">
        <v>3480</v>
      </c>
      <c r="D705" s="1245" t="s">
        <v>36</v>
      </c>
      <c r="E705" s="1413">
        <v>20</v>
      </c>
      <c r="F705" s="1555">
        <v>49.35</v>
      </c>
      <c r="G705" s="1480">
        <v>53.16</v>
      </c>
      <c r="H705" s="1414">
        <v>55.2</v>
      </c>
      <c r="I705" s="1477">
        <f t="shared" si="246"/>
        <v>987</v>
      </c>
      <c r="J705" s="1477">
        <f t="shared" si="247"/>
        <v>1063.2</v>
      </c>
      <c r="K705" s="1477">
        <v>0</v>
      </c>
      <c r="L705" s="1477">
        <f t="shared" si="252"/>
        <v>0</v>
      </c>
      <c r="M705" s="1477">
        <v>20</v>
      </c>
      <c r="N705" s="1477">
        <f t="shared" si="253"/>
        <v>20</v>
      </c>
      <c r="O705" s="1477">
        <f t="shared" si="254"/>
        <v>0</v>
      </c>
      <c r="P705" s="1477">
        <f t="shared" si="255"/>
        <v>1063.2</v>
      </c>
      <c r="Q705" s="1477">
        <f t="shared" si="256"/>
        <v>1104</v>
      </c>
      <c r="R705" s="1576">
        <f t="shared" si="257"/>
        <v>1104</v>
      </c>
      <c r="S705" s="1869">
        <v>20</v>
      </c>
      <c r="T705" s="1866">
        <v>1104</v>
      </c>
      <c r="U705" s="2442"/>
      <c r="V705" s="1866">
        <f t="shared" si="260"/>
        <v>0</v>
      </c>
      <c r="W705" s="1869">
        <f>S705+U705</f>
        <v>20</v>
      </c>
      <c r="X705" s="1870">
        <f t="shared" si="258"/>
        <v>1104</v>
      </c>
      <c r="Y705" s="1871">
        <f t="shared" si="261"/>
        <v>1</v>
      </c>
      <c r="Z705" s="1694">
        <f>+E705-W705</f>
        <v>0</v>
      </c>
      <c r="AA705" s="1872">
        <f t="shared" si="262"/>
        <v>0</v>
      </c>
      <c r="AB705" s="1873">
        <f t="shared" si="263"/>
        <v>0</v>
      </c>
      <c r="AC705" s="1418">
        <f t="shared" si="248"/>
        <v>0</v>
      </c>
      <c r="AD705" s="1418">
        <f t="shared" si="249"/>
        <v>0</v>
      </c>
      <c r="AE705" s="1418">
        <v>1104</v>
      </c>
      <c r="AF705" s="1418">
        <f t="shared" si="250"/>
        <v>0</v>
      </c>
      <c r="AG705" s="1418">
        <v>55.2</v>
      </c>
      <c r="AH705" s="1418">
        <f t="shared" si="251"/>
        <v>0</v>
      </c>
      <c r="AI705" s="1428"/>
      <c r="AO705" s="2504">
        <v>1104</v>
      </c>
      <c r="AP705" s="1418">
        <f t="shared" si="259"/>
        <v>0</v>
      </c>
    </row>
    <row r="706" spans="1:42" s="1410" customFormat="1" ht="15.75">
      <c r="A706" s="2102"/>
      <c r="B706" s="1268" t="s">
        <v>2727</v>
      </c>
      <c r="C706" s="1241" t="s">
        <v>3481</v>
      </c>
      <c r="D706" s="1245" t="s">
        <v>36</v>
      </c>
      <c r="E706" s="1413">
        <v>5</v>
      </c>
      <c r="F706" s="1555">
        <v>72.73</v>
      </c>
      <c r="G706" s="1480">
        <v>76.540000000000006</v>
      </c>
      <c r="H706" s="1414">
        <v>78.58</v>
      </c>
      <c r="I706" s="1477">
        <f t="shared" si="246"/>
        <v>363.65</v>
      </c>
      <c r="J706" s="1477">
        <f t="shared" si="247"/>
        <v>382.7</v>
      </c>
      <c r="K706" s="1477">
        <v>0</v>
      </c>
      <c r="L706" s="1477">
        <f t="shared" si="252"/>
        <v>0</v>
      </c>
      <c r="M706" s="1477">
        <v>5</v>
      </c>
      <c r="N706" s="1477">
        <f t="shared" si="253"/>
        <v>5</v>
      </c>
      <c r="O706" s="1477">
        <f t="shared" si="254"/>
        <v>0</v>
      </c>
      <c r="P706" s="1477">
        <f t="shared" si="255"/>
        <v>382.7</v>
      </c>
      <c r="Q706" s="1477">
        <f t="shared" si="256"/>
        <v>392.9</v>
      </c>
      <c r="R706" s="1576">
        <f t="shared" si="257"/>
        <v>392.9</v>
      </c>
      <c r="S706" s="1869">
        <v>5</v>
      </c>
      <c r="T706" s="1866">
        <v>392.9</v>
      </c>
      <c r="U706" s="2442"/>
      <c r="V706" s="1866">
        <f t="shared" si="260"/>
        <v>0</v>
      </c>
      <c r="W706" s="1869">
        <f>S706+U706</f>
        <v>5</v>
      </c>
      <c r="X706" s="1870">
        <f t="shared" si="258"/>
        <v>392.9</v>
      </c>
      <c r="Y706" s="1871">
        <f t="shared" si="261"/>
        <v>1</v>
      </c>
      <c r="Z706" s="1694">
        <f>+E706-W706</f>
        <v>0</v>
      </c>
      <c r="AA706" s="1872">
        <f t="shared" si="262"/>
        <v>0</v>
      </c>
      <c r="AB706" s="1873">
        <f t="shared" si="263"/>
        <v>0</v>
      </c>
      <c r="AC706" s="1418">
        <f t="shared" si="248"/>
        <v>0</v>
      </c>
      <c r="AD706" s="1418">
        <f t="shared" si="249"/>
        <v>0</v>
      </c>
      <c r="AE706" s="1418">
        <v>392.9</v>
      </c>
      <c r="AF706" s="1418">
        <f t="shared" si="250"/>
        <v>0</v>
      </c>
      <c r="AG706" s="1418">
        <v>78.58</v>
      </c>
      <c r="AH706" s="1418">
        <f t="shared" si="251"/>
        <v>0</v>
      </c>
      <c r="AI706" s="1428"/>
      <c r="AO706" s="2504">
        <v>392.9</v>
      </c>
      <c r="AP706" s="1418">
        <f t="shared" si="259"/>
        <v>0</v>
      </c>
    </row>
    <row r="707" spans="1:42" s="1410" customFormat="1" ht="15.75">
      <c r="A707" s="2102"/>
      <c r="B707" s="1272" t="s">
        <v>2728</v>
      </c>
      <c r="C707" s="1262" t="s">
        <v>3482</v>
      </c>
      <c r="D707" s="1273"/>
      <c r="E707" s="1415"/>
      <c r="F707" s="1267"/>
      <c r="G707" s="1480"/>
      <c r="H707" s="1416"/>
      <c r="I707" s="1477">
        <f t="shared" si="246"/>
        <v>0</v>
      </c>
      <c r="J707" s="1477">
        <f t="shared" si="247"/>
        <v>0</v>
      </c>
      <c r="K707" s="1477"/>
      <c r="L707" s="1477">
        <f t="shared" si="252"/>
        <v>0</v>
      </c>
      <c r="M707" s="1477"/>
      <c r="N707" s="1477">
        <f t="shared" si="253"/>
        <v>0</v>
      </c>
      <c r="O707" s="1477">
        <f t="shared" si="254"/>
        <v>0</v>
      </c>
      <c r="P707" s="1477">
        <f t="shared" si="255"/>
        <v>0</v>
      </c>
      <c r="Q707" s="1477">
        <f t="shared" si="256"/>
        <v>0</v>
      </c>
      <c r="R707" s="1576">
        <f t="shared" si="257"/>
        <v>0</v>
      </c>
      <c r="S707" s="1869"/>
      <c r="T707" s="1866"/>
      <c r="U707" s="2442"/>
      <c r="V707" s="1866">
        <f t="shared" si="260"/>
        <v>0</v>
      </c>
      <c r="W707" s="1869"/>
      <c r="X707" s="1870"/>
      <c r="Y707" s="1871" t="str">
        <f t="shared" si="261"/>
        <v/>
      </c>
      <c r="Z707" s="1694"/>
      <c r="AA707" s="1872">
        <f t="shared" si="262"/>
        <v>0</v>
      </c>
      <c r="AB707" s="1873" t="str">
        <f t="shared" si="263"/>
        <v/>
      </c>
      <c r="AC707" s="1418">
        <f t="shared" si="248"/>
        <v>0</v>
      </c>
      <c r="AD707" s="1418">
        <f t="shared" si="249"/>
        <v>0</v>
      </c>
      <c r="AE707" s="1418"/>
      <c r="AF707" s="1418">
        <f t="shared" si="250"/>
        <v>0</v>
      </c>
      <c r="AG707" s="1418"/>
      <c r="AH707" s="1418">
        <f t="shared" si="251"/>
        <v>0</v>
      </c>
      <c r="AI707" s="1428"/>
      <c r="AO707" s="2504"/>
      <c r="AP707" s="1418">
        <f t="shared" si="259"/>
        <v>0</v>
      </c>
    </row>
    <row r="708" spans="1:42" s="1410" customFormat="1" ht="15.75">
      <c r="A708" s="2102"/>
      <c r="B708" s="1268" t="s">
        <v>2729</v>
      </c>
      <c r="C708" s="1241" t="s">
        <v>3483</v>
      </c>
      <c r="D708" s="1245" t="s">
        <v>36</v>
      </c>
      <c r="E708" s="1413">
        <v>18</v>
      </c>
      <c r="F708" s="1555">
        <v>534.57000000000005</v>
      </c>
      <c r="G708" s="1480">
        <v>554.14</v>
      </c>
      <c r="H708" s="1414">
        <v>563.99</v>
      </c>
      <c r="I708" s="1477">
        <f t="shared" si="246"/>
        <v>9622.26</v>
      </c>
      <c r="J708" s="1477">
        <f t="shared" si="247"/>
        <v>9974.52</v>
      </c>
      <c r="K708" s="1477">
        <v>0</v>
      </c>
      <c r="L708" s="1477">
        <f t="shared" si="252"/>
        <v>0</v>
      </c>
      <c r="M708" s="1477">
        <v>18</v>
      </c>
      <c r="N708" s="1477">
        <f t="shared" si="253"/>
        <v>18</v>
      </c>
      <c r="O708" s="1477">
        <f t="shared" si="254"/>
        <v>0</v>
      </c>
      <c r="P708" s="1477">
        <f t="shared" si="255"/>
        <v>9974.52</v>
      </c>
      <c r="Q708" s="1477">
        <f t="shared" si="256"/>
        <v>10151.82</v>
      </c>
      <c r="R708" s="1576">
        <f t="shared" si="257"/>
        <v>10151.82</v>
      </c>
      <c r="S708" s="1869">
        <v>18</v>
      </c>
      <c r="T708" s="1866">
        <v>10151.82</v>
      </c>
      <c r="U708" s="2442"/>
      <c r="V708" s="1866">
        <f t="shared" si="260"/>
        <v>0</v>
      </c>
      <c r="W708" s="1869">
        <f>S708+U708</f>
        <v>18</v>
      </c>
      <c r="X708" s="1870">
        <f t="shared" si="258"/>
        <v>10151.82</v>
      </c>
      <c r="Y708" s="1871">
        <f t="shared" si="261"/>
        <v>1</v>
      </c>
      <c r="Z708" s="1694">
        <f>+E708-W708</f>
        <v>0</v>
      </c>
      <c r="AA708" s="1872">
        <f t="shared" si="262"/>
        <v>0</v>
      </c>
      <c r="AB708" s="1873">
        <f t="shared" si="263"/>
        <v>0</v>
      </c>
      <c r="AC708" s="1418">
        <f t="shared" si="248"/>
        <v>0</v>
      </c>
      <c r="AD708" s="1418">
        <f t="shared" si="249"/>
        <v>0</v>
      </c>
      <c r="AE708" s="1418">
        <v>10151.82</v>
      </c>
      <c r="AF708" s="1418">
        <f t="shared" si="250"/>
        <v>0</v>
      </c>
      <c r="AG708" s="1418">
        <v>563.99</v>
      </c>
      <c r="AH708" s="1418">
        <f t="shared" si="251"/>
        <v>0</v>
      </c>
      <c r="AI708" s="1428"/>
      <c r="AO708" s="2504">
        <v>10151.82</v>
      </c>
      <c r="AP708" s="1418">
        <f t="shared" si="259"/>
        <v>0</v>
      </c>
    </row>
    <row r="709" spans="1:42" s="1410" customFormat="1" ht="15.75">
      <c r="A709" s="2102"/>
      <c r="B709" s="1268" t="s">
        <v>2730</v>
      </c>
      <c r="C709" s="1241" t="s">
        <v>3484</v>
      </c>
      <c r="D709" s="1245" t="s">
        <v>36</v>
      </c>
      <c r="E709" s="1413">
        <v>18</v>
      </c>
      <c r="F709" s="1555">
        <v>534.57000000000005</v>
      </c>
      <c r="G709" s="1480">
        <v>554.14</v>
      </c>
      <c r="H709" s="1414">
        <v>563.99</v>
      </c>
      <c r="I709" s="1477">
        <f t="shared" si="246"/>
        <v>9622.26</v>
      </c>
      <c r="J709" s="1477">
        <f t="shared" si="247"/>
        <v>9974.52</v>
      </c>
      <c r="K709" s="1477">
        <v>0</v>
      </c>
      <c r="L709" s="1477">
        <f t="shared" si="252"/>
        <v>0</v>
      </c>
      <c r="M709" s="1477">
        <v>18</v>
      </c>
      <c r="N709" s="1477">
        <f t="shared" si="253"/>
        <v>18</v>
      </c>
      <c r="O709" s="1477">
        <f t="shared" si="254"/>
        <v>0</v>
      </c>
      <c r="P709" s="1477">
        <f t="shared" si="255"/>
        <v>9974.52</v>
      </c>
      <c r="Q709" s="1477">
        <f t="shared" si="256"/>
        <v>10151.82</v>
      </c>
      <c r="R709" s="1576">
        <f t="shared" si="257"/>
        <v>10151.82</v>
      </c>
      <c r="S709" s="1869">
        <v>18</v>
      </c>
      <c r="T709" s="1866">
        <v>10151.82</v>
      </c>
      <c r="U709" s="2442"/>
      <c r="V709" s="1866">
        <f t="shared" si="260"/>
        <v>0</v>
      </c>
      <c r="W709" s="1869">
        <f>S709+U709</f>
        <v>18</v>
      </c>
      <c r="X709" s="1870">
        <f t="shared" si="258"/>
        <v>10151.82</v>
      </c>
      <c r="Y709" s="1871">
        <f t="shared" si="261"/>
        <v>1</v>
      </c>
      <c r="Z709" s="1694">
        <f>+E709-W709</f>
        <v>0</v>
      </c>
      <c r="AA709" s="1872">
        <f t="shared" si="262"/>
        <v>0</v>
      </c>
      <c r="AB709" s="1873">
        <f t="shared" si="263"/>
        <v>0</v>
      </c>
      <c r="AC709" s="1418">
        <f t="shared" si="248"/>
        <v>0</v>
      </c>
      <c r="AD709" s="1418">
        <f t="shared" si="249"/>
        <v>0</v>
      </c>
      <c r="AE709" s="1418">
        <v>10151.82</v>
      </c>
      <c r="AF709" s="1418">
        <f t="shared" si="250"/>
        <v>0</v>
      </c>
      <c r="AG709" s="1418">
        <v>563.99</v>
      </c>
      <c r="AH709" s="1418">
        <f t="shared" si="251"/>
        <v>0</v>
      </c>
      <c r="AI709" s="1428"/>
      <c r="AO709" s="2504">
        <v>10151.82</v>
      </c>
      <c r="AP709" s="1418">
        <f t="shared" si="259"/>
        <v>0</v>
      </c>
    </row>
    <row r="710" spans="1:42" s="1410" customFormat="1" ht="15.75">
      <c r="A710" s="2102"/>
      <c r="B710" s="1272" t="s">
        <v>2731</v>
      </c>
      <c r="C710" s="1262" t="s">
        <v>3485</v>
      </c>
      <c r="D710" s="1273"/>
      <c r="E710" s="1415"/>
      <c r="F710" s="1267"/>
      <c r="G710" s="1480"/>
      <c r="H710" s="1416"/>
      <c r="I710" s="1477">
        <f t="shared" si="246"/>
        <v>0</v>
      </c>
      <c r="J710" s="1477">
        <f t="shared" si="247"/>
        <v>0</v>
      </c>
      <c r="K710" s="1477"/>
      <c r="L710" s="1477">
        <f t="shared" si="252"/>
        <v>0</v>
      </c>
      <c r="M710" s="1477"/>
      <c r="N710" s="1477">
        <f t="shared" si="253"/>
        <v>0</v>
      </c>
      <c r="O710" s="1477">
        <f t="shared" si="254"/>
        <v>0</v>
      </c>
      <c r="P710" s="1477">
        <f t="shared" si="255"/>
        <v>0</v>
      </c>
      <c r="Q710" s="1477">
        <f t="shared" si="256"/>
        <v>0</v>
      </c>
      <c r="R710" s="1576">
        <f t="shared" si="257"/>
        <v>0</v>
      </c>
      <c r="S710" s="1869"/>
      <c r="T710" s="1866"/>
      <c r="U710" s="2442"/>
      <c r="V710" s="1866">
        <f t="shared" si="260"/>
        <v>0</v>
      </c>
      <c r="W710" s="1869"/>
      <c r="X710" s="1870"/>
      <c r="Y710" s="1871" t="str">
        <f t="shared" si="261"/>
        <v/>
      </c>
      <c r="Z710" s="1694"/>
      <c r="AA710" s="1872">
        <f t="shared" si="262"/>
        <v>0</v>
      </c>
      <c r="AB710" s="1873" t="str">
        <f t="shared" si="263"/>
        <v/>
      </c>
      <c r="AC710" s="1418">
        <f t="shared" si="248"/>
        <v>0</v>
      </c>
      <c r="AD710" s="1418">
        <f t="shared" si="249"/>
        <v>0</v>
      </c>
      <c r="AE710" s="1418"/>
      <c r="AF710" s="1418">
        <f t="shared" si="250"/>
        <v>0</v>
      </c>
      <c r="AG710" s="1418"/>
      <c r="AH710" s="1418">
        <f t="shared" si="251"/>
        <v>0</v>
      </c>
      <c r="AI710" s="1428"/>
      <c r="AO710" s="2504"/>
      <c r="AP710" s="1418">
        <f t="shared" si="259"/>
        <v>0</v>
      </c>
    </row>
    <row r="711" spans="1:42" s="1410" customFormat="1" ht="15.75">
      <c r="A711" s="2102"/>
      <c r="B711" s="1268" t="s">
        <v>2732</v>
      </c>
      <c r="C711" s="1241" t="s">
        <v>3486</v>
      </c>
      <c r="D711" s="1245" t="s">
        <v>1451</v>
      </c>
      <c r="E711" s="1413">
        <v>19</v>
      </c>
      <c r="F711" s="1555">
        <v>85.05</v>
      </c>
      <c r="G711" s="1480">
        <v>88.93</v>
      </c>
      <c r="H711" s="1414">
        <v>90.92</v>
      </c>
      <c r="I711" s="1477">
        <f t="shared" si="246"/>
        <v>1615.95</v>
      </c>
      <c r="J711" s="1477">
        <f t="shared" si="247"/>
        <v>1689.67</v>
      </c>
      <c r="K711" s="1477">
        <v>0</v>
      </c>
      <c r="L711" s="1477">
        <f t="shared" si="252"/>
        <v>0</v>
      </c>
      <c r="M711" s="1477">
        <v>19</v>
      </c>
      <c r="N711" s="1477">
        <f t="shared" si="253"/>
        <v>19</v>
      </c>
      <c r="O711" s="1477">
        <f t="shared" si="254"/>
        <v>0</v>
      </c>
      <c r="P711" s="1477">
        <f t="shared" si="255"/>
        <v>1689.67</v>
      </c>
      <c r="Q711" s="1477">
        <f t="shared" si="256"/>
        <v>1727.48</v>
      </c>
      <c r="R711" s="1576">
        <f t="shared" si="257"/>
        <v>1727.48</v>
      </c>
      <c r="S711" s="1869">
        <v>3</v>
      </c>
      <c r="T711" s="1866">
        <v>272.76</v>
      </c>
      <c r="U711" s="2442"/>
      <c r="V711" s="1866">
        <f t="shared" si="260"/>
        <v>0</v>
      </c>
      <c r="W711" s="1869">
        <f>S711+U711</f>
        <v>3</v>
      </c>
      <c r="X711" s="1870">
        <f t="shared" si="258"/>
        <v>272.76</v>
      </c>
      <c r="Y711" s="1871">
        <f t="shared" si="261"/>
        <v>0.15789473684210525</v>
      </c>
      <c r="Z711" s="1694">
        <f>+E711-W711</f>
        <v>16</v>
      </c>
      <c r="AA711" s="1872">
        <f t="shared" si="262"/>
        <v>1454.72</v>
      </c>
      <c r="AB711" s="1873">
        <f t="shared" si="263"/>
        <v>0.84210526315789469</v>
      </c>
      <c r="AC711" s="1418">
        <f t="shared" si="248"/>
        <v>0</v>
      </c>
      <c r="AD711" s="1418">
        <f t="shared" si="249"/>
        <v>0</v>
      </c>
      <c r="AE711" s="1418">
        <v>1727.48</v>
      </c>
      <c r="AF711" s="1418">
        <f t="shared" si="250"/>
        <v>0</v>
      </c>
      <c r="AG711" s="1418">
        <v>90.92</v>
      </c>
      <c r="AH711" s="1418">
        <f t="shared" si="251"/>
        <v>0</v>
      </c>
      <c r="AI711" s="1428"/>
      <c r="AO711" s="2504">
        <v>272.76</v>
      </c>
      <c r="AP711" s="1418">
        <f t="shared" si="259"/>
        <v>0</v>
      </c>
    </row>
    <row r="712" spans="1:42" s="1410" customFormat="1" ht="15.75">
      <c r="A712" s="2102"/>
      <c r="B712" s="1268" t="s">
        <v>2733</v>
      </c>
      <c r="C712" s="1241" t="s">
        <v>3487</v>
      </c>
      <c r="D712" s="1245" t="s">
        <v>1451</v>
      </c>
      <c r="E712" s="1413">
        <v>30</v>
      </c>
      <c r="F712" s="1555">
        <v>85.05</v>
      </c>
      <c r="G712" s="1480">
        <v>88.93</v>
      </c>
      <c r="H712" s="1414">
        <v>90.92</v>
      </c>
      <c r="I712" s="1477">
        <f t="shared" si="246"/>
        <v>2551.5</v>
      </c>
      <c r="J712" s="1477">
        <f t="shared" si="247"/>
        <v>2667.9</v>
      </c>
      <c r="K712" s="1477">
        <v>0</v>
      </c>
      <c r="L712" s="1477">
        <f t="shared" si="252"/>
        <v>0</v>
      </c>
      <c r="M712" s="1477">
        <v>30</v>
      </c>
      <c r="N712" s="1477">
        <f t="shared" si="253"/>
        <v>30</v>
      </c>
      <c r="O712" s="1477">
        <f t="shared" si="254"/>
        <v>0</v>
      </c>
      <c r="P712" s="1477">
        <f t="shared" si="255"/>
        <v>2667.9</v>
      </c>
      <c r="Q712" s="1477">
        <f t="shared" si="256"/>
        <v>2727.6</v>
      </c>
      <c r="R712" s="1576">
        <f t="shared" si="257"/>
        <v>2727.6</v>
      </c>
      <c r="S712" s="1869">
        <v>0</v>
      </c>
      <c r="T712" s="1866">
        <v>0</v>
      </c>
      <c r="U712" s="2442"/>
      <c r="V712" s="1866">
        <f t="shared" si="260"/>
        <v>0</v>
      </c>
      <c r="W712" s="1869">
        <f>S712+U712</f>
        <v>0</v>
      </c>
      <c r="X712" s="1870">
        <f t="shared" si="258"/>
        <v>0</v>
      </c>
      <c r="Y712" s="1871">
        <f t="shared" si="261"/>
        <v>0</v>
      </c>
      <c r="Z712" s="1694">
        <f>+E712-W712</f>
        <v>30</v>
      </c>
      <c r="AA712" s="1872">
        <f t="shared" si="262"/>
        <v>2727.6</v>
      </c>
      <c r="AB712" s="1873">
        <f t="shared" si="263"/>
        <v>1</v>
      </c>
      <c r="AC712" s="1418">
        <f t="shared" si="248"/>
        <v>0</v>
      </c>
      <c r="AD712" s="1418">
        <f t="shared" si="249"/>
        <v>0</v>
      </c>
      <c r="AE712" s="1418">
        <v>2727.6</v>
      </c>
      <c r="AF712" s="1418">
        <f t="shared" si="250"/>
        <v>0</v>
      </c>
      <c r="AG712" s="1418">
        <v>90.92</v>
      </c>
      <c r="AH712" s="1418">
        <f t="shared" si="251"/>
        <v>0</v>
      </c>
      <c r="AI712" s="1428"/>
      <c r="AO712" s="2504">
        <v>0</v>
      </c>
      <c r="AP712" s="1418">
        <f t="shared" si="259"/>
        <v>0</v>
      </c>
    </row>
    <row r="713" spans="1:42" s="1231" customFormat="1" ht="15.75">
      <c r="A713" s="2103" t="s">
        <v>3619</v>
      </c>
      <c r="B713" s="1263" t="s">
        <v>2734</v>
      </c>
      <c r="C713" s="1264" t="s">
        <v>3488</v>
      </c>
      <c r="D713" s="1265"/>
      <c r="E713" s="1266"/>
      <c r="F713" s="1267"/>
      <c r="G713" s="1480"/>
      <c r="H713" s="1267"/>
      <c r="I713" s="1477">
        <f t="shared" si="246"/>
        <v>0</v>
      </c>
      <c r="J713" s="1477">
        <f t="shared" si="247"/>
        <v>0</v>
      </c>
      <c r="K713" s="1477"/>
      <c r="L713" s="1477">
        <f t="shared" si="252"/>
        <v>0</v>
      </c>
      <c r="M713" s="1477"/>
      <c r="N713" s="1477">
        <f t="shared" si="253"/>
        <v>0</v>
      </c>
      <c r="O713" s="1477">
        <f t="shared" si="254"/>
        <v>0</v>
      </c>
      <c r="P713" s="1477">
        <f t="shared" si="255"/>
        <v>0</v>
      </c>
      <c r="Q713" s="1477">
        <f t="shared" si="256"/>
        <v>0</v>
      </c>
      <c r="R713" s="1576">
        <f t="shared" si="257"/>
        <v>0</v>
      </c>
      <c r="S713" s="2452"/>
      <c r="T713" s="1866"/>
      <c r="U713" s="2442"/>
      <c r="V713" s="1866">
        <f t="shared" si="260"/>
        <v>0</v>
      </c>
      <c r="W713" s="2452"/>
      <c r="X713" s="1870"/>
      <c r="Y713" s="1871" t="str">
        <f t="shared" si="261"/>
        <v/>
      </c>
      <c r="Z713" s="1694"/>
      <c r="AA713" s="1872">
        <f t="shared" si="262"/>
        <v>0</v>
      </c>
      <c r="AB713" s="1873" t="str">
        <f t="shared" si="263"/>
        <v/>
      </c>
      <c r="AC713" s="1418">
        <f t="shared" si="248"/>
        <v>0</v>
      </c>
      <c r="AD713" s="1418">
        <f t="shared" si="249"/>
        <v>0</v>
      </c>
      <c r="AE713" s="1230"/>
      <c r="AF713" s="1230">
        <f t="shared" si="250"/>
        <v>0</v>
      </c>
      <c r="AG713" s="1230"/>
      <c r="AH713" s="1418">
        <f t="shared" si="251"/>
        <v>0</v>
      </c>
      <c r="AI713" s="1346"/>
      <c r="AO713" s="1736"/>
      <c r="AP713" s="1418">
        <f t="shared" si="259"/>
        <v>0</v>
      </c>
    </row>
    <row r="714" spans="1:42" s="1410" customFormat="1" ht="15.75">
      <c r="A714" s="2102" t="s">
        <v>3619</v>
      </c>
      <c r="B714" s="1272" t="s">
        <v>2735</v>
      </c>
      <c r="C714" s="1262" t="s">
        <v>3442</v>
      </c>
      <c r="D714" s="1273"/>
      <c r="E714" s="1415"/>
      <c r="F714" s="1267"/>
      <c r="G714" s="1480"/>
      <c r="H714" s="1416"/>
      <c r="I714" s="1477">
        <f t="shared" si="246"/>
        <v>0</v>
      </c>
      <c r="J714" s="1477">
        <f t="shared" si="247"/>
        <v>0</v>
      </c>
      <c r="K714" s="1477"/>
      <c r="L714" s="1477">
        <f t="shared" si="252"/>
        <v>0</v>
      </c>
      <c r="M714" s="1477"/>
      <c r="N714" s="1477">
        <f t="shared" si="253"/>
        <v>0</v>
      </c>
      <c r="O714" s="1477">
        <f t="shared" si="254"/>
        <v>0</v>
      </c>
      <c r="P714" s="1477">
        <f t="shared" si="255"/>
        <v>0</v>
      </c>
      <c r="Q714" s="1477">
        <f t="shared" si="256"/>
        <v>0</v>
      </c>
      <c r="R714" s="1576">
        <f t="shared" si="257"/>
        <v>0</v>
      </c>
      <c r="S714" s="1869"/>
      <c r="T714" s="1866"/>
      <c r="U714" s="2442"/>
      <c r="V714" s="1866">
        <f t="shared" si="260"/>
        <v>0</v>
      </c>
      <c r="W714" s="1869"/>
      <c r="X714" s="1870"/>
      <c r="Y714" s="1871" t="str">
        <f t="shared" si="261"/>
        <v/>
      </c>
      <c r="Z714" s="1694"/>
      <c r="AA714" s="1872">
        <f t="shared" si="262"/>
        <v>0</v>
      </c>
      <c r="AB714" s="1873" t="str">
        <f t="shared" si="263"/>
        <v/>
      </c>
      <c r="AC714" s="1418">
        <f t="shared" si="248"/>
        <v>0</v>
      </c>
      <c r="AD714" s="1418">
        <f t="shared" si="249"/>
        <v>0</v>
      </c>
      <c r="AE714" s="1418"/>
      <c r="AF714" s="1418">
        <f t="shared" si="250"/>
        <v>0</v>
      </c>
      <c r="AG714" s="1418"/>
      <c r="AH714" s="1418">
        <f t="shared" si="251"/>
        <v>0</v>
      </c>
      <c r="AI714" s="1428"/>
      <c r="AO714" s="2504"/>
      <c r="AP714" s="1418">
        <f t="shared" si="259"/>
        <v>0</v>
      </c>
    </row>
    <row r="715" spans="1:42" s="1410" customFormat="1" ht="15.75">
      <c r="A715" s="2102" t="s">
        <v>3619</v>
      </c>
      <c r="B715" s="1268" t="s">
        <v>2736</v>
      </c>
      <c r="C715" s="1241" t="s">
        <v>3452</v>
      </c>
      <c r="D715" s="1245" t="s">
        <v>38</v>
      </c>
      <c r="E715" s="1413">
        <v>3734</v>
      </c>
      <c r="F715" s="1555">
        <v>6.03</v>
      </c>
      <c r="G715" s="1480">
        <v>6.34</v>
      </c>
      <c r="H715" s="1414">
        <v>6.52</v>
      </c>
      <c r="I715" s="1477">
        <f t="shared" si="246"/>
        <v>22516.02</v>
      </c>
      <c r="J715" s="1477">
        <f t="shared" si="247"/>
        <v>23673.56</v>
      </c>
      <c r="K715" s="1477">
        <v>245</v>
      </c>
      <c r="L715" s="1477">
        <f t="shared" si="252"/>
        <v>245</v>
      </c>
      <c r="M715" s="1477">
        <v>3489</v>
      </c>
      <c r="N715" s="1477">
        <f t="shared" si="253"/>
        <v>3489</v>
      </c>
      <c r="O715" s="1477">
        <f t="shared" si="254"/>
        <v>1553.3</v>
      </c>
      <c r="P715" s="1477">
        <f t="shared" si="255"/>
        <v>22120.26</v>
      </c>
      <c r="Q715" s="1477">
        <f t="shared" si="256"/>
        <v>22748.28</v>
      </c>
      <c r="R715" s="1576">
        <f t="shared" si="257"/>
        <v>24301.579999999998</v>
      </c>
      <c r="S715" s="1869">
        <v>3734</v>
      </c>
      <c r="T715" s="1866">
        <v>24301.579999999998</v>
      </c>
      <c r="U715" s="2442"/>
      <c r="V715" s="1866">
        <f t="shared" si="260"/>
        <v>0</v>
      </c>
      <c r="W715" s="1869">
        <f>S715+U715</f>
        <v>3734</v>
      </c>
      <c r="X715" s="1870">
        <f t="shared" si="258"/>
        <v>24301.579999999998</v>
      </c>
      <c r="Y715" s="1871">
        <f t="shared" si="261"/>
        <v>1</v>
      </c>
      <c r="Z715" s="1694">
        <f>+E715-W715</f>
        <v>0</v>
      </c>
      <c r="AA715" s="1872">
        <f t="shared" si="262"/>
        <v>0</v>
      </c>
      <c r="AB715" s="1873">
        <f t="shared" si="263"/>
        <v>0</v>
      </c>
      <c r="AC715" s="1418">
        <f t="shared" si="248"/>
        <v>0</v>
      </c>
      <c r="AD715" s="1418">
        <f t="shared" si="249"/>
        <v>0</v>
      </c>
      <c r="AE715" s="1418">
        <v>24301.579999999998</v>
      </c>
      <c r="AF715" s="1418">
        <f t="shared" si="250"/>
        <v>0</v>
      </c>
      <c r="AG715" s="1418">
        <v>6.52</v>
      </c>
      <c r="AH715" s="1418">
        <f t="shared" si="251"/>
        <v>0</v>
      </c>
      <c r="AI715" s="1428"/>
      <c r="AO715" s="2504">
        <v>24301.579999999998</v>
      </c>
      <c r="AP715" s="1418">
        <f t="shared" si="259"/>
        <v>0</v>
      </c>
    </row>
    <row r="716" spans="1:42" s="1410" customFormat="1" ht="15.75">
      <c r="A716" s="2102" t="s">
        <v>3619</v>
      </c>
      <c r="B716" s="1268" t="s">
        <v>2737</v>
      </c>
      <c r="C716" s="1241" t="s">
        <v>3453</v>
      </c>
      <c r="D716" s="1245" t="s">
        <v>36</v>
      </c>
      <c r="E716" s="1413">
        <v>1238</v>
      </c>
      <c r="F716" s="1555">
        <v>3.71</v>
      </c>
      <c r="G716" s="1480">
        <v>3.96</v>
      </c>
      <c r="H716" s="1414">
        <v>4.09</v>
      </c>
      <c r="I716" s="1477">
        <f t="shared" si="246"/>
        <v>4592.9799999999996</v>
      </c>
      <c r="J716" s="1477">
        <f t="shared" si="247"/>
        <v>4902.4799999999996</v>
      </c>
      <c r="K716" s="1477">
        <v>178</v>
      </c>
      <c r="L716" s="1477">
        <f t="shared" si="252"/>
        <v>178</v>
      </c>
      <c r="M716" s="1477">
        <v>1060</v>
      </c>
      <c r="N716" s="1477">
        <f t="shared" si="253"/>
        <v>1060</v>
      </c>
      <c r="O716" s="1477">
        <f t="shared" si="254"/>
        <v>704.88</v>
      </c>
      <c r="P716" s="1477">
        <f t="shared" si="255"/>
        <v>4197.6000000000004</v>
      </c>
      <c r="Q716" s="1477">
        <f t="shared" si="256"/>
        <v>4335.3999999999996</v>
      </c>
      <c r="R716" s="1576">
        <f t="shared" si="257"/>
        <v>5040.28</v>
      </c>
      <c r="S716" s="1869">
        <v>1238</v>
      </c>
      <c r="T716" s="1866">
        <v>5040.28</v>
      </c>
      <c r="U716" s="2442"/>
      <c r="V716" s="1866">
        <f t="shared" si="260"/>
        <v>0</v>
      </c>
      <c r="W716" s="1869">
        <f>S716+U716</f>
        <v>1238</v>
      </c>
      <c r="X716" s="1870">
        <f t="shared" si="258"/>
        <v>5040.28</v>
      </c>
      <c r="Y716" s="1871">
        <f t="shared" si="261"/>
        <v>1</v>
      </c>
      <c r="Z716" s="1694">
        <f>+E716-W716</f>
        <v>0</v>
      </c>
      <c r="AA716" s="1872">
        <f t="shared" si="262"/>
        <v>0</v>
      </c>
      <c r="AB716" s="1873">
        <f t="shared" si="263"/>
        <v>0</v>
      </c>
      <c r="AC716" s="1418">
        <f t="shared" si="248"/>
        <v>0</v>
      </c>
      <c r="AD716" s="1418">
        <f t="shared" si="249"/>
        <v>0</v>
      </c>
      <c r="AE716" s="1418">
        <v>5040.28</v>
      </c>
      <c r="AF716" s="1418">
        <f t="shared" si="250"/>
        <v>0</v>
      </c>
      <c r="AG716" s="1418">
        <v>4.09</v>
      </c>
      <c r="AH716" s="1418">
        <f t="shared" si="251"/>
        <v>0</v>
      </c>
      <c r="AI716" s="1428"/>
      <c r="AO716" s="2504">
        <v>5040.28</v>
      </c>
      <c r="AP716" s="1418">
        <f t="shared" si="259"/>
        <v>0</v>
      </c>
    </row>
    <row r="717" spans="1:42" s="1410" customFormat="1" ht="15.75">
      <c r="A717" s="2102"/>
      <c r="B717" s="1272" t="s">
        <v>2738</v>
      </c>
      <c r="C717" s="1262" t="s">
        <v>3446</v>
      </c>
      <c r="D717" s="1273"/>
      <c r="E717" s="1415"/>
      <c r="F717" s="1267"/>
      <c r="G717" s="1480"/>
      <c r="H717" s="1416"/>
      <c r="I717" s="1477">
        <f t="shared" si="246"/>
        <v>0</v>
      </c>
      <c r="J717" s="1477">
        <f t="shared" si="247"/>
        <v>0</v>
      </c>
      <c r="K717" s="1477"/>
      <c r="L717" s="1477">
        <f t="shared" si="252"/>
        <v>0</v>
      </c>
      <c r="M717" s="1477"/>
      <c r="N717" s="1477">
        <f t="shared" si="253"/>
        <v>0</v>
      </c>
      <c r="O717" s="1477">
        <f t="shared" si="254"/>
        <v>0</v>
      </c>
      <c r="P717" s="1477">
        <f t="shared" si="255"/>
        <v>0</v>
      </c>
      <c r="Q717" s="1477">
        <f t="shared" si="256"/>
        <v>0</v>
      </c>
      <c r="R717" s="1576">
        <f t="shared" si="257"/>
        <v>0</v>
      </c>
      <c r="S717" s="1869"/>
      <c r="T717" s="1866"/>
      <c r="U717" s="2442"/>
      <c r="V717" s="1866">
        <f t="shared" si="260"/>
        <v>0</v>
      </c>
      <c r="W717" s="1869"/>
      <c r="X717" s="1870"/>
      <c r="Y717" s="1871" t="str">
        <f t="shared" si="261"/>
        <v/>
      </c>
      <c r="Z717" s="1694"/>
      <c r="AA717" s="1872">
        <f t="shared" si="262"/>
        <v>0</v>
      </c>
      <c r="AB717" s="1873" t="str">
        <f t="shared" si="263"/>
        <v/>
      </c>
      <c r="AC717" s="1418">
        <f t="shared" si="248"/>
        <v>0</v>
      </c>
      <c r="AD717" s="1418">
        <f t="shared" si="249"/>
        <v>0</v>
      </c>
      <c r="AE717" s="1418"/>
      <c r="AF717" s="1418">
        <f t="shared" si="250"/>
        <v>0</v>
      </c>
      <c r="AG717" s="1418"/>
      <c r="AH717" s="1418">
        <f t="shared" si="251"/>
        <v>0</v>
      </c>
      <c r="AI717" s="1428"/>
      <c r="AO717" s="2504"/>
      <c r="AP717" s="1418">
        <f t="shared" si="259"/>
        <v>0</v>
      </c>
    </row>
    <row r="718" spans="1:42" s="1410" customFormat="1" ht="15.75">
      <c r="A718" s="2102"/>
      <c r="B718" s="1268" t="s">
        <v>2739</v>
      </c>
      <c r="C718" s="1241" t="s">
        <v>3455</v>
      </c>
      <c r="D718" s="1245" t="s">
        <v>38</v>
      </c>
      <c r="E718" s="1413">
        <v>8172</v>
      </c>
      <c r="F718" s="1555">
        <v>7.75</v>
      </c>
      <c r="G718" s="1480">
        <v>8.2100000000000009</v>
      </c>
      <c r="H718" s="1414">
        <v>8.4499999999999993</v>
      </c>
      <c r="I718" s="1477">
        <f t="shared" si="246"/>
        <v>63333</v>
      </c>
      <c r="J718" s="1477">
        <f t="shared" si="247"/>
        <v>67092.12</v>
      </c>
      <c r="K718" s="1477">
        <v>0</v>
      </c>
      <c r="L718" s="1477">
        <f t="shared" si="252"/>
        <v>0</v>
      </c>
      <c r="M718" s="1477">
        <v>8172</v>
      </c>
      <c r="N718" s="1477">
        <f t="shared" si="253"/>
        <v>8172</v>
      </c>
      <c r="O718" s="1477">
        <f t="shared" si="254"/>
        <v>0</v>
      </c>
      <c r="P718" s="1477">
        <f t="shared" si="255"/>
        <v>67092.12</v>
      </c>
      <c r="Q718" s="1477">
        <f t="shared" si="256"/>
        <v>69053.399999999994</v>
      </c>
      <c r="R718" s="1576">
        <f t="shared" si="257"/>
        <v>69053.399999999994</v>
      </c>
      <c r="S718" s="1869">
        <v>8172</v>
      </c>
      <c r="T718" s="1866">
        <v>69053.399999999994</v>
      </c>
      <c r="U718" s="2442"/>
      <c r="V718" s="1866">
        <f t="shared" si="260"/>
        <v>0</v>
      </c>
      <c r="W718" s="1869">
        <f>S718+U718</f>
        <v>8172</v>
      </c>
      <c r="X718" s="1870">
        <f t="shared" si="258"/>
        <v>69053.399999999994</v>
      </c>
      <c r="Y718" s="1871">
        <f t="shared" si="261"/>
        <v>1</v>
      </c>
      <c r="Z718" s="1694">
        <f>+E718-W718</f>
        <v>0</v>
      </c>
      <c r="AA718" s="1872">
        <f t="shared" si="262"/>
        <v>0</v>
      </c>
      <c r="AB718" s="1873">
        <f t="shared" si="263"/>
        <v>0</v>
      </c>
      <c r="AC718" s="1418">
        <f t="shared" si="248"/>
        <v>0</v>
      </c>
      <c r="AD718" s="1418">
        <f t="shared" si="249"/>
        <v>0</v>
      </c>
      <c r="AE718" s="1418">
        <v>69053.399999999994</v>
      </c>
      <c r="AF718" s="1418">
        <f t="shared" si="250"/>
        <v>0</v>
      </c>
      <c r="AG718" s="1418">
        <v>8.4499999999999993</v>
      </c>
      <c r="AH718" s="1418">
        <f t="shared" si="251"/>
        <v>0</v>
      </c>
      <c r="AI718" s="1428"/>
      <c r="AO718" s="2504">
        <v>69053.399999999994</v>
      </c>
      <c r="AP718" s="1418">
        <f t="shared" si="259"/>
        <v>0</v>
      </c>
    </row>
    <row r="719" spans="1:42" s="1410" customFormat="1" ht="15.75">
      <c r="A719" s="2102"/>
      <c r="B719" s="1268" t="s">
        <v>2740</v>
      </c>
      <c r="C719" s="1241" t="s">
        <v>3456</v>
      </c>
      <c r="D719" s="1245" t="s">
        <v>38</v>
      </c>
      <c r="E719" s="1413">
        <v>3122</v>
      </c>
      <c r="F719" s="1555">
        <v>7.18</v>
      </c>
      <c r="G719" s="1480">
        <v>7.64</v>
      </c>
      <c r="H719" s="1414">
        <v>7.88</v>
      </c>
      <c r="I719" s="1477">
        <f t="shared" si="246"/>
        <v>22415.96</v>
      </c>
      <c r="J719" s="1477">
        <f t="shared" si="247"/>
        <v>23852.080000000002</v>
      </c>
      <c r="K719" s="1477">
        <v>0</v>
      </c>
      <c r="L719" s="1477">
        <f t="shared" si="252"/>
        <v>0</v>
      </c>
      <c r="M719" s="1477">
        <v>3122</v>
      </c>
      <c r="N719" s="1477">
        <f t="shared" si="253"/>
        <v>3122</v>
      </c>
      <c r="O719" s="1477">
        <f t="shared" si="254"/>
        <v>0</v>
      </c>
      <c r="P719" s="1477">
        <f t="shared" si="255"/>
        <v>23852.080000000002</v>
      </c>
      <c r="Q719" s="1477">
        <f t="shared" si="256"/>
        <v>24601.360000000001</v>
      </c>
      <c r="R719" s="1576">
        <f t="shared" si="257"/>
        <v>24601.360000000001</v>
      </c>
      <c r="S719" s="1869">
        <v>3122</v>
      </c>
      <c r="T719" s="1866">
        <v>24601.360000000001</v>
      </c>
      <c r="U719" s="2442"/>
      <c r="V719" s="1866">
        <f t="shared" si="260"/>
        <v>0</v>
      </c>
      <c r="W719" s="1869">
        <f>S719+U719</f>
        <v>3122</v>
      </c>
      <c r="X719" s="1870">
        <f t="shared" si="258"/>
        <v>24601.360000000001</v>
      </c>
      <c r="Y719" s="1871">
        <f t="shared" si="261"/>
        <v>1</v>
      </c>
      <c r="Z719" s="1694">
        <f>+E719-W719</f>
        <v>0</v>
      </c>
      <c r="AA719" s="1872">
        <f t="shared" si="262"/>
        <v>0</v>
      </c>
      <c r="AB719" s="1873">
        <f t="shared" si="263"/>
        <v>0</v>
      </c>
      <c r="AC719" s="1418">
        <f t="shared" si="248"/>
        <v>0</v>
      </c>
      <c r="AD719" s="1418">
        <f t="shared" si="249"/>
        <v>0</v>
      </c>
      <c r="AE719" s="1418">
        <v>24601.360000000001</v>
      </c>
      <c r="AF719" s="1418">
        <f t="shared" si="250"/>
        <v>0</v>
      </c>
      <c r="AG719" s="1418">
        <v>7.88</v>
      </c>
      <c r="AH719" s="1418">
        <f t="shared" si="251"/>
        <v>0</v>
      </c>
      <c r="AI719" s="1428"/>
      <c r="AO719" s="2504">
        <v>24601.360000000001</v>
      </c>
      <c r="AP719" s="1418">
        <f t="shared" si="259"/>
        <v>0</v>
      </c>
    </row>
    <row r="720" spans="1:42" s="1410" customFormat="1" ht="15.75">
      <c r="A720" s="2102" t="s">
        <v>3619</v>
      </c>
      <c r="B720" s="1272" t="s">
        <v>2741</v>
      </c>
      <c r="C720" s="1262" t="s">
        <v>3489</v>
      </c>
      <c r="D720" s="1273"/>
      <c r="E720" s="1415"/>
      <c r="F720" s="1267"/>
      <c r="G720" s="1480"/>
      <c r="H720" s="1416"/>
      <c r="I720" s="1477">
        <f t="shared" ref="I720:I783" si="267">ROUND(E720*F720,2)</f>
        <v>0</v>
      </c>
      <c r="J720" s="1477">
        <f t="shared" ref="J720:J783" si="268">ROUND(E720*G720,2)</f>
        <v>0</v>
      </c>
      <c r="K720" s="1477"/>
      <c r="L720" s="1477">
        <f t="shared" si="252"/>
        <v>0</v>
      </c>
      <c r="M720" s="1477"/>
      <c r="N720" s="1477">
        <f t="shared" si="253"/>
        <v>0</v>
      </c>
      <c r="O720" s="1477">
        <f t="shared" si="254"/>
        <v>0</v>
      </c>
      <c r="P720" s="1477">
        <f t="shared" si="255"/>
        <v>0</v>
      </c>
      <c r="Q720" s="1477">
        <f t="shared" si="256"/>
        <v>0</v>
      </c>
      <c r="R720" s="1576">
        <f t="shared" si="257"/>
        <v>0</v>
      </c>
      <c r="S720" s="1869"/>
      <c r="T720" s="1866"/>
      <c r="U720" s="2442"/>
      <c r="V720" s="1866">
        <f t="shared" si="260"/>
        <v>0</v>
      </c>
      <c r="W720" s="1869"/>
      <c r="X720" s="1870"/>
      <c r="Y720" s="1871" t="str">
        <f t="shared" si="261"/>
        <v/>
      </c>
      <c r="Z720" s="1694"/>
      <c r="AA720" s="1872">
        <f t="shared" si="262"/>
        <v>0</v>
      </c>
      <c r="AB720" s="1873" t="str">
        <f t="shared" si="263"/>
        <v/>
      </c>
      <c r="AC720" s="1418">
        <f t="shared" ref="AC720:AC783" si="269">+R720-X720-AA720</f>
        <v>0</v>
      </c>
      <c r="AD720" s="1418">
        <f t="shared" ref="AD720:AD783" si="270">+E720-W720-Z720</f>
        <v>0</v>
      </c>
      <c r="AE720" s="1418"/>
      <c r="AF720" s="1418">
        <f t="shared" ref="AF720:AF783" si="271">+AE720-R720</f>
        <v>0</v>
      </c>
      <c r="AG720" s="1418"/>
      <c r="AH720" s="1418">
        <f t="shared" ref="AH720:AH783" si="272">+AG720-H720</f>
        <v>0</v>
      </c>
      <c r="AI720" s="1428"/>
      <c r="AO720" s="2504"/>
      <c r="AP720" s="1418">
        <f t="shared" si="259"/>
        <v>0</v>
      </c>
    </row>
    <row r="721" spans="1:42" s="1410" customFormat="1" ht="15.75">
      <c r="A721" s="2102" t="s">
        <v>3619</v>
      </c>
      <c r="B721" s="1268" t="s">
        <v>2742</v>
      </c>
      <c r="C721" s="1241" t="s">
        <v>3459</v>
      </c>
      <c r="D721" s="1245" t="s">
        <v>36</v>
      </c>
      <c r="E721" s="1413">
        <v>614</v>
      </c>
      <c r="F721" s="1555">
        <v>49.35</v>
      </c>
      <c r="G721" s="1480">
        <v>53.16</v>
      </c>
      <c r="H721" s="1414">
        <v>55.2</v>
      </c>
      <c r="I721" s="1477">
        <f t="shared" si="267"/>
        <v>30300.9</v>
      </c>
      <c r="J721" s="1477">
        <f t="shared" si="268"/>
        <v>32640.240000000002</v>
      </c>
      <c r="K721" s="1477">
        <v>109</v>
      </c>
      <c r="L721" s="1477">
        <f t="shared" ref="L721:L784" si="273">E721-N721</f>
        <v>109</v>
      </c>
      <c r="M721" s="1477">
        <v>505</v>
      </c>
      <c r="N721" s="1477">
        <f t="shared" ref="N721:N784" si="274">ROUND(M721,2)</f>
        <v>505</v>
      </c>
      <c r="O721" s="1477">
        <f t="shared" ref="O721:O784" si="275">ROUND(L721*G721,2)</f>
        <v>5794.44</v>
      </c>
      <c r="P721" s="1477">
        <f t="shared" ref="P721:P784" si="276">ROUND(N721*G721,2)</f>
        <v>26845.8</v>
      </c>
      <c r="Q721" s="1477">
        <f t="shared" ref="Q721:Q784" si="277">ROUND(N721*H721,2)</f>
        <v>27876</v>
      </c>
      <c r="R721" s="1576">
        <f t="shared" ref="R721:R784" si="278">O721+Q721</f>
        <v>33670.44</v>
      </c>
      <c r="S721" s="1869">
        <v>614</v>
      </c>
      <c r="T721" s="1866">
        <v>33670.44</v>
      </c>
      <c r="U721" s="2442"/>
      <c r="V721" s="1866">
        <f t="shared" si="260"/>
        <v>0</v>
      </c>
      <c r="W721" s="1869">
        <f>S721+U721</f>
        <v>614</v>
      </c>
      <c r="X721" s="1870">
        <f t="shared" ref="X721:X784" si="279">+V721+T721</f>
        <v>33670.44</v>
      </c>
      <c r="Y721" s="1871">
        <f t="shared" si="261"/>
        <v>1</v>
      </c>
      <c r="Z721" s="1694">
        <f>+E721-W721</f>
        <v>0</v>
      </c>
      <c r="AA721" s="1872">
        <f t="shared" si="262"/>
        <v>0</v>
      </c>
      <c r="AB721" s="1873">
        <f t="shared" si="263"/>
        <v>0</v>
      </c>
      <c r="AC721" s="1418">
        <f t="shared" si="269"/>
        <v>0</v>
      </c>
      <c r="AD721" s="1418">
        <f t="shared" si="270"/>
        <v>0</v>
      </c>
      <c r="AE721" s="1418">
        <v>33670.44</v>
      </c>
      <c r="AF721" s="1418">
        <f t="shared" si="271"/>
        <v>0</v>
      </c>
      <c r="AG721" s="1418">
        <v>55.2</v>
      </c>
      <c r="AH721" s="1418">
        <f t="shared" si="272"/>
        <v>0</v>
      </c>
      <c r="AI721" s="1428"/>
      <c r="AO721" s="2504">
        <v>33670.44</v>
      </c>
      <c r="AP721" s="1418">
        <f t="shared" ref="AP721:AP784" si="280">+AO721-X721</f>
        <v>0</v>
      </c>
    </row>
    <row r="722" spans="1:42" s="1410" customFormat="1" ht="15.75">
      <c r="A722" s="2102"/>
      <c r="B722" s="1272" t="s">
        <v>2743</v>
      </c>
      <c r="C722" s="1262" t="s">
        <v>3460</v>
      </c>
      <c r="D722" s="1273"/>
      <c r="E722" s="1415"/>
      <c r="F722" s="1267"/>
      <c r="G722" s="1480"/>
      <c r="H722" s="1416"/>
      <c r="I722" s="1477">
        <f t="shared" si="267"/>
        <v>0</v>
      </c>
      <c r="J722" s="1477">
        <f t="shared" si="268"/>
        <v>0</v>
      </c>
      <c r="K722" s="1477"/>
      <c r="L722" s="1477">
        <f t="shared" si="273"/>
        <v>0</v>
      </c>
      <c r="M722" s="1477"/>
      <c r="N722" s="1477">
        <f t="shared" si="274"/>
        <v>0</v>
      </c>
      <c r="O722" s="1477">
        <f t="shared" si="275"/>
        <v>0</v>
      </c>
      <c r="P722" s="1477">
        <f t="shared" si="276"/>
        <v>0</v>
      </c>
      <c r="Q722" s="1477">
        <f t="shared" si="277"/>
        <v>0</v>
      </c>
      <c r="R722" s="1576">
        <f t="shared" si="278"/>
        <v>0</v>
      </c>
      <c r="S722" s="1869"/>
      <c r="T722" s="1866"/>
      <c r="U722" s="2442"/>
      <c r="V722" s="1866">
        <f t="shared" ref="V722:V785" si="281">+U722*H722</f>
        <v>0</v>
      </c>
      <c r="W722" s="1869"/>
      <c r="X722" s="1870"/>
      <c r="Y722" s="1871" t="str">
        <f t="shared" ref="Y722:Y785" si="282">+IF(D722=0,"",X722/R722)</f>
        <v/>
      </c>
      <c r="Z722" s="1694"/>
      <c r="AA722" s="1872">
        <f t="shared" ref="AA722:AA785" si="283">+Z722*H722</f>
        <v>0</v>
      </c>
      <c r="AB722" s="1873" t="str">
        <f t="shared" ref="AB722:AB785" si="284">+IF(R722=0,"",AA722/R722)</f>
        <v/>
      </c>
      <c r="AC722" s="1418">
        <f t="shared" si="269"/>
        <v>0</v>
      </c>
      <c r="AD722" s="1418">
        <f t="shared" si="270"/>
        <v>0</v>
      </c>
      <c r="AE722" s="1418"/>
      <c r="AF722" s="1418">
        <f t="shared" si="271"/>
        <v>0</v>
      </c>
      <c r="AG722" s="1418"/>
      <c r="AH722" s="1418">
        <f t="shared" si="272"/>
        <v>0</v>
      </c>
      <c r="AI722" s="1428"/>
      <c r="AO722" s="2504"/>
      <c r="AP722" s="1418">
        <f t="shared" si="280"/>
        <v>0</v>
      </c>
    </row>
    <row r="723" spans="1:42" s="1231" customFormat="1" ht="15.75">
      <c r="A723" s="2103"/>
      <c r="B723" s="1543" t="s">
        <v>2744</v>
      </c>
      <c r="C723" s="1544" t="s">
        <v>3467</v>
      </c>
      <c r="D723" s="1545"/>
      <c r="E723" s="1266"/>
      <c r="F723" s="1267"/>
      <c r="G723" s="1480"/>
      <c r="H723" s="1267"/>
      <c r="I723" s="1477">
        <f t="shared" si="267"/>
        <v>0</v>
      </c>
      <c r="J723" s="1477">
        <f t="shared" si="268"/>
        <v>0</v>
      </c>
      <c r="K723" s="1477"/>
      <c r="L723" s="1477">
        <f t="shared" si="273"/>
        <v>0</v>
      </c>
      <c r="M723" s="1477"/>
      <c r="N723" s="1477">
        <f t="shared" si="274"/>
        <v>0</v>
      </c>
      <c r="O723" s="1477">
        <f t="shared" si="275"/>
        <v>0</v>
      </c>
      <c r="P723" s="1477">
        <f t="shared" si="276"/>
        <v>0</v>
      </c>
      <c r="Q723" s="1477">
        <f t="shared" si="277"/>
        <v>0</v>
      </c>
      <c r="R723" s="1576">
        <f t="shared" si="278"/>
        <v>0</v>
      </c>
      <c r="S723" s="2452"/>
      <c r="T723" s="1866"/>
      <c r="U723" s="2442"/>
      <c r="V723" s="1866">
        <f t="shared" si="281"/>
        <v>0</v>
      </c>
      <c r="W723" s="2452"/>
      <c r="X723" s="1870"/>
      <c r="Y723" s="1871" t="str">
        <f t="shared" si="282"/>
        <v/>
      </c>
      <c r="Z723" s="1694"/>
      <c r="AA723" s="1872">
        <f t="shared" si="283"/>
        <v>0</v>
      </c>
      <c r="AB723" s="1873" t="str">
        <f t="shared" si="284"/>
        <v/>
      </c>
      <c r="AC723" s="1418">
        <f t="shared" si="269"/>
        <v>0</v>
      </c>
      <c r="AD723" s="1418">
        <f t="shared" si="270"/>
        <v>0</v>
      </c>
      <c r="AE723" s="1230"/>
      <c r="AF723" s="1230">
        <f t="shared" si="271"/>
        <v>0</v>
      </c>
      <c r="AG723" s="1230"/>
      <c r="AH723" s="1418">
        <f t="shared" si="272"/>
        <v>0</v>
      </c>
      <c r="AI723" s="1346"/>
      <c r="AO723" s="1736"/>
      <c r="AP723" s="1418">
        <f t="shared" si="280"/>
        <v>0</v>
      </c>
    </row>
    <row r="724" spans="1:42" s="1410" customFormat="1" ht="15.75">
      <c r="A724" s="2102"/>
      <c r="B724" s="1268" t="s">
        <v>2745</v>
      </c>
      <c r="C724" s="1241" t="s">
        <v>3490</v>
      </c>
      <c r="D724" s="1245" t="s">
        <v>36</v>
      </c>
      <c r="E724" s="1413">
        <v>85</v>
      </c>
      <c r="F724" s="1555">
        <v>915.58</v>
      </c>
      <c r="G724" s="1480">
        <v>918.24</v>
      </c>
      <c r="H724" s="1414">
        <v>919.62</v>
      </c>
      <c r="I724" s="1477">
        <f t="shared" si="267"/>
        <v>77824.3</v>
      </c>
      <c r="J724" s="1477">
        <f t="shared" si="268"/>
        <v>78050.399999999994</v>
      </c>
      <c r="K724" s="1477">
        <v>0</v>
      </c>
      <c r="L724" s="1477">
        <f t="shared" si="273"/>
        <v>0</v>
      </c>
      <c r="M724" s="1477">
        <v>85</v>
      </c>
      <c r="N724" s="1477">
        <f t="shared" si="274"/>
        <v>85</v>
      </c>
      <c r="O724" s="1477">
        <f t="shared" si="275"/>
        <v>0</v>
      </c>
      <c r="P724" s="1477">
        <f t="shared" si="276"/>
        <v>78050.399999999994</v>
      </c>
      <c r="Q724" s="1477">
        <f t="shared" si="277"/>
        <v>78167.7</v>
      </c>
      <c r="R724" s="1576">
        <f t="shared" si="278"/>
        <v>78167.7</v>
      </c>
      <c r="S724" s="1869">
        <v>0</v>
      </c>
      <c r="T724" s="1866">
        <v>0</v>
      </c>
      <c r="U724" s="2442">
        <v>15</v>
      </c>
      <c r="V724" s="1866">
        <f t="shared" si="281"/>
        <v>13794.3</v>
      </c>
      <c r="W724" s="1869">
        <f>S724+U724</f>
        <v>15</v>
      </c>
      <c r="X724" s="1870">
        <f t="shared" si="279"/>
        <v>13794.3</v>
      </c>
      <c r="Y724" s="1871">
        <f t="shared" si="282"/>
        <v>0.1764705882352941</v>
      </c>
      <c r="Z724" s="1694">
        <f>+E724-W724</f>
        <v>70</v>
      </c>
      <c r="AA724" s="1872">
        <f t="shared" si="283"/>
        <v>64373.4</v>
      </c>
      <c r="AB724" s="1873">
        <f t="shared" si="284"/>
        <v>0.82352941176470595</v>
      </c>
      <c r="AC724" s="1418">
        <f t="shared" si="269"/>
        <v>0</v>
      </c>
      <c r="AD724" s="1418">
        <f t="shared" si="270"/>
        <v>0</v>
      </c>
      <c r="AE724" s="1418">
        <v>78167.7</v>
      </c>
      <c r="AF724" s="1418">
        <f t="shared" si="271"/>
        <v>0</v>
      </c>
      <c r="AG724" s="1418">
        <v>919.62</v>
      </c>
      <c r="AH724" s="1418">
        <f t="shared" si="272"/>
        <v>0</v>
      </c>
      <c r="AI724" s="1428"/>
      <c r="AO724" s="2504">
        <v>0</v>
      </c>
      <c r="AP724" s="1418">
        <f t="shared" si="280"/>
        <v>-13794.3</v>
      </c>
    </row>
    <row r="725" spans="1:42" s="1410" customFormat="1" ht="15.75">
      <c r="A725" s="2102"/>
      <c r="B725" s="1272" t="s">
        <v>2746</v>
      </c>
      <c r="C725" s="1262" t="s">
        <v>3489</v>
      </c>
      <c r="D725" s="1273"/>
      <c r="E725" s="1415"/>
      <c r="F725" s="1267"/>
      <c r="G725" s="1480"/>
      <c r="H725" s="1416"/>
      <c r="I725" s="1477">
        <f t="shared" si="267"/>
        <v>0</v>
      </c>
      <c r="J725" s="1477">
        <f t="shared" si="268"/>
        <v>0</v>
      </c>
      <c r="K725" s="1477"/>
      <c r="L725" s="1477">
        <f t="shared" si="273"/>
        <v>0</v>
      </c>
      <c r="M725" s="1477"/>
      <c r="N725" s="1477">
        <f t="shared" si="274"/>
        <v>0</v>
      </c>
      <c r="O725" s="1477">
        <f t="shared" si="275"/>
        <v>0</v>
      </c>
      <c r="P725" s="1477">
        <f t="shared" si="276"/>
        <v>0</v>
      </c>
      <c r="Q725" s="1477">
        <f t="shared" si="277"/>
        <v>0</v>
      </c>
      <c r="R725" s="1576">
        <f t="shared" si="278"/>
        <v>0</v>
      </c>
      <c r="S725" s="1869"/>
      <c r="T725" s="1866"/>
      <c r="U725" s="2442"/>
      <c r="V725" s="1866"/>
      <c r="W725" s="1869"/>
      <c r="X725" s="1870"/>
      <c r="Y725" s="1871"/>
      <c r="Z725" s="1694"/>
      <c r="AA725" s="1872"/>
      <c r="AB725" s="1873" t="str">
        <f t="shared" si="284"/>
        <v/>
      </c>
      <c r="AC725" s="1418">
        <f t="shared" si="269"/>
        <v>0</v>
      </c>
      <c r="AD725" s="1418">
        <f t="shared" si="270"/>
        <v>0</v>
      </c>
      <c r="AE725" s="1418"/>
      <c r="AF725" s="1418">
        <f t="shared" si="271"/>
        <v>0</v>
      </c>
      <c r="AG725" s="1418"/>
      <c r="AH725" s="1418">
        <f t="shared" si="272"/>
        <v>0</v>
      </c>
      <c r="AI725" s="1428"/>
      <c r="AO725" s="2504"/>
      <c r="AP725" s="1418">
        <f t="shared" si="280"/>
        <v>0</v>
      </c>
    </row>
    <row r="726" spans="1:42" s="1410" customFormat="1" ht="15.75">
      <c r="A726" s="2102"/>
      <c r="B726" s="1268" t="s">
        <v>2747</v>
      </c>
      <c r="C726" s="1241" t="s">
        <v>3491</v>
      </c>
      <c r="D726" s="1245" t="s">
        <v>1451</v>
      </c>
      <c r="E726" s="1413">
        <v>614</v>
      </c>
      <c r="F726" s="1555">
        <v>122.75</v>
      </c>
      <c r="G726" s="1480">
        <v>126.39</v>
      </c>
      <c r="H726" s="1414">
        <v>128.44</v>
      </c>
      <c r="I726" s="1477">
        <f t="shared" si="267"/>
        <v>75368.5</v>
      </c>
      <c r="J726" s="1477">
        <f t="shared" si="268"/>
        <v>77603.460000000006</v>
      </c>
      <c r="K726" s="1477">
        <v>0</v>
      </c>
      <c r="L726" s="1477">
        <f t="shared" si="273"/>
        <v>0</v>
      </c>
      <c r="M726" s="1477">
        <v>614</v>
      </c>
      <c r="N726" s="1477">
        <f t="shared" si="274"/>
        <v>614</v>
      </c>
      <c r="O726" s="1477">
        <f t="shared" si="275"/>
        <v>0</v>
      </c>
      <c r="P726" s="1477">
        <f t="shared" si="276"/>
        <v>77603.460000000006</v>
      </c>
      <c r="Q726" s="1477">
        <f t="shared" si="277"/>
        <v>78862.16</v>
      </c>
      <c r="R726" s="1576">
        <f t="shared" si="278"/>
        <v>78862.16</v>
      </c>
      <c r="S726" s="1869">
        <v>614</v>
      </c>
      <c r="T726" s="1866">
        <v>78862.16</v>
      </c>
      <c r="U726" s="2442"/>
      <c r="V726" s="1866">
        <f t="shared" si="281"/>
        <v>0</v>
      </c>
      <c r="W726" s="1869">
        <f>S726+U726</f>
        <v>614</v>
      </c>
      <c r="X726" s="1870">
        <f t="shared" si="279"/>
        <v>78862.16</v>
      </c>
      <c r="Y726" s="1871">
        <f t="shared" si="282"/>
        <v>1</v>
      </c>
      <c r="Z726" s="1694">
        <f>+E726-W726</f>
        <v>0</v>
      </c>
      <c r="AA726" s="1872">
        <f t="shared" si="283"/>
        <v>0</v>
      </c>
      <c r="AB726" s="1873">
        <f t="shared" si="284"/>
        <v>0</v>
      </c>
      <c r="AC726" s="1418">
        <f t="shared" si="269"/>
        <v>0</v>
      </c>
      <c r="AD726" s="1418">
        <f t="shared" si="270"/>
        <v>0</v>
      </c>
      <c r="AE726" s="1418">
        <v>78862.16</v>
      </c>
      <c r="AF726" s="1418">
        <f t="shared" si="271"/>
        <v>0</v>
      </c>
      <c r="AG726" s="1418">
        <v>128.44</v>
      </c>
      <c r="AH726" s="1418">
        <f t="shared" si="272"/>
        <v>0</v>
      </c>
      <c r="AI726" s="1428"/>
      <c r="AO726" s="2504">
        <v>78862.16</v>
      </c>
      <c r="AP726" s="1418">
        <f t="shared" si="280"/>
        <v>0</v>
      </c>
    </row>
    <row r="727" spans="1:42" s="1410" customFormat="1" ht="15.75">
      <c r="A727" s="2102"/>
      <c r="B727" s="1272" t="s">
        <v>2748</v>
      </c>
      <c r="C727" s="1262" t="s">
        <v>3479</v>
      </c>
      <c r="D727" s="1273"/>
      <c r="E727" s="1415"/>
      <c r="F727" s="1267"/>
      <c r="G727" s="1480"/>
      <c r="H727" s="1416"/>
      <c r="I727" s="1477">
        <f t="shared" si="267"/>
        <v>0</v>
      </c>
      <c r="J727" s="1477">
        <f t="shared" si="268"/>
        <v>0</v>
      </c>
      <c r="K727" s="1477"/>
      <c r="L727" s="1477">
        <f t="shared" si="273"/>
        <v>0</v>
      </c>
      <c r="M727" s="1477"/>
      <c r="N727" s="1477">
        <f t="shared" si="274"/>
        <v>0</v>
      </c>
      <c r="O727" s="1477">
        <f t="shared" si="275"/>
        <v>0</v>
      </c>
      <c r="P727" s="1477">
        <f t="shared" si="276"/>
        <v>0</v>
      </c>
      <c r="Q727" s="1477">
        <f t="shared" si="277"/>
        <v>0</v>
      </c>
      <c r="R727" s="1576">
        <f t="shared" si="278"/>
        <v>0</v>
      </c>
      <c r="S727" s="1869"/>
      <c r="T727" s="1866"/>
      <c r="U727" s="2442"/>
      <c r="V727" s="1866">
        <f t="shared" si="281"/>
        <v>0</v>
      </c>
      <c r="W727" s="1869"/>
      <c r="X727" s="1870"/>
      <c r="Y727" s="1871" t="str">
        <f t="shared" si="282"/>
        <v/>
      </c>
      <c r="Z727" s="1694"/>
      <c r="AA727" s="1872">
        <f t="shared" si="283"/>
        <v>0</v>
      </c>
      <c r="AB727" s="1873" t="str">
        <f t="shared" si="284"/>
        <v/>
      </c>
      <c r="AC727" s="1418">
        <f t="shared" si="269"/>
        <v>0</v>
      </c>
      <c r="AD727" s="1418">
        <f t="shared" si="270"/>
        <v>0</v>
      </c>
      <c r="AE727" s="1418"/>
      <c r="AF727" s="1418">
        <f t="shared" si="271"/>
        <v>0</v>
      </c>
      <c r="AG727" s="1418"/>
      <c r="AH727" s="1418">
        <f t="shared" si="272"/>
        <v>0</v>
      </c>
      <c r="AI727" s="1428"/>
      <c r="AO727" s="2504"/>
      <c r="AP727" s="1418">
        <f t="shared" si="280"/>
        <v>0</v>
      </c>
    </row>
    <row r="728" spans="1:42" s="1410" customFormat="1" ht="15.75">
      <c r="A728" s="2102"/>
      <c r="B728" s="1268" t="s">
        <v>2749</v>
      </c>
      <c r="C728" s="1241" t="s">
        <v>3480</v>
      </c>
      <c r="D728" s="1245" t="s">
        <v>36</v>
      </c>
      <c r="E728" s="1413">
        <v>5</v>
      </c>
      <c r="F728" s="1555">
        <v>49.35</v>
      </c>
      <c r="G728" s="1480">
        <v>53.16</v>
      </c>
      <c r="H728" s="1414">
        <v>55.2</v>
      </c>
      <c r="I728" s="1477">
        <f t="shared" si="267"/>
        <v>246.75</v>
      </c>
      <c r="J728" s="1477">
        <f t="shared" si="268"/>
        <v>265.8</v>
      </c>
      <c r="K728" s="1477">
        <v>0</v>
      </c>
      <c r="L728" s="1477">
        <f t="shared" si="273"/>
        <v>0</v>
      </c>
      <c r="M728" s="1477">
        <v>5</v>
      </c>
      <c r="N728" s="1477">
        <f t="shared" si="274"/>
        <v>5</v>
      </c>
      <c r="O728" s="1477">
        <f t="shared" si="275"/>
        <v>0</v>
      </c>
      <c r="P728" s="1477">
        <f t="shared" si="276"/>
        <v>265.8</v>
      </c>
      <c r="Q728" s="1477">
        <f t="shared" si="277"/>
        <v>276</v>
      </c>
      <c r="R728" s="1576">
        <f t="shared" si="278"/>
        <v>276</v>
      </c>
      <c r="S728" s="1869">
        <v>5</v>
      </c>
      <c r="T728" s="1866">
        <v>276</v>
      </c>
      <c r="U728" s="2442"/>
      <c r="V728" s="1866">
        <f t="shared" si="281"/>
        <v>0</v>
      </c>
      <c r="W728" s="1869">
        <f>S728+U728</f>
        <v>5</v>
      </c>
      <c r="X728" s="1870">
        <f t="shared" si="279"/>
        <v>276</v>
      </c>
      <c r="Y728" s="1871">
        <f t="shared" si="282"/>
        <v>1</v>
      </c>
      <c r="Z728" s="1694">
        <f>+E728-W728</f>
        <v>0</v>
      </c>
      <c r="AA728" s="1872">
        <f t="shared" si="283"/>
        <v>0</v>
      </c>
      <c r="AB728" s="1873">
        <f t="shared" si="284"/>
        <v>0</v>
      </c>
      <c r="AC728" s="1418">
        <f t="shared" si="269"/>
        <v>0</v>
      </c>
      <c r="AD728" s="1418">
        <f t="shared" si="270"/>
        <v>0</v>
      </c>
      <c r="AE728" s="1418">
        <v>276</v>
      </c>
      <c r="AF728" s="1418">
        <f t="shared" si="271"/>
        <v>0</v>
      </c>
      <c r="AG728" s="1418">
        <v>55.2</v>
      </c>
      <c r="AH728" s="1418">
        <f t="shared" si="272"/>
        <v>0</v>
      </c>
      <c r="AI728" s="1428"/>
      <c r="AO728" s="2504">
        <v>276</v>
      </c>
      <c r="AP728" s="1418">
        <f t="shared" si="280"/>
        <v>0</v>
      </c>
    </row>
    <row r="729" spans="1:42" s="1231" customFormat="1" ht="15.75">
      <c r="A729" s="2103"/>
      <c r="B729" s="1263" t="s">
        <v>2750</v>
      </c>
      <c r="C729" s="1264" t="s">
        <v>3492</v>
      </c>
      <c r="D729" s="1265"/>
      <c r="E729" s="1266"/>
      <c r="F729" s="1267"/>
      <c r="G729" s="1480"/>
      <c r="H729" s="1267"/>
      <c r="I729" s="1477">
        <f t="shared" si="267"/>
        <v>0</v>
      </c>
      <c r="J729" s="1477">
        <f t="shared" si="268"/>
        <v>0</v>
      </c>
      <c r="K729" s="1477"/>
      <c r="L729" s="1477">
        <f t="shared" si="273"/>
        <v>0</v>
      </c>
      <c r="M729" s="1477"/>
      <c r="N729" s="1477">
        <f t="shared" si="274"/>
        <v>0</v>
      </c>
      <c r="O729" s="1477">
        <f t="shared" si="275"/>
        <v>0</v>
      </c>
      <c r="P729" s="1477">
        <f t="shared" si="276"/>
        <v>0</v>
      </c>
      <c r="Q729" s="1477">
        <f t="shared" si="277"/>
        <v>0</v>
      </c>
      <c r="R729" s="1576">
        <f t="shared" si="278"/>
        <v>0</v>
      </c>
      <c r="S729" s="2452"/>
      <c r="T729" s="1866"/>
      <c r="U729" s="2442"/>
      <c r="V729" s="1866">
        <f t="shared" si="281"/>
        <v>0</v>
      </c>
      <c r="W729" s="2452"/>
      <c r="X729" s="1870"/>
      <c r="Y729" s="1871" t="str">
        <f t="shared" si="282"/>
        <v/>
      </c>
      <c r="Z729" s="1694"/>
      <c r="AA729" s="1872">
        <f t="shared" si="283"/>
        <v>0</v>
      </c>
      <c r="AB729" s="1873" t="str">
        <f t="shared" si="284"/>
        <v/>
      </c>
      <c r="AC729" s="1418">
        <f t="shared" si="269"/>
        <v>0</v>
      </c>
      <c r="AD729" s="1418">
        <f t="shared" si="270"/>
        <v>0</v>
      </c>
      <c r="AE729" s="1230"/>
      <c r="AF729" s="1230">
        <f t="shared" si="271"/>
        <v>0</v>
      </c>
      <c r="AG729" s="1230"/>
      <c r="AH729" s="1418">
        <f t="shared" si="272"/>
        <v>0</v>
      </c>
      <c r="AI729" s="1346"/>
      <c r="AO729" s="1736"/>
      <c r="AP729" s="1418">
        <f t="shared" si="280"/>
        <v>0</v>
      </c>
    </row>
    <row r="730" spans="1:42" s="1410" customFormat="1" ht="15.75">
      <c r="A730" s="2102"/>
      <c r="B730" s="1268" t="s">
        <v>2751</v>
      </c>
      <c r="C730" s="1241" t="s">
        <v>3493</v>
      </c>
      <c r="D730" s="1245" t="s">
        <v>41</v>
      </c>
      <c r="E730" s="1413">
        <v>1</v>
      </c>
      <c r="F730" s="1555">
        <v>121544.25</v>
      </c>
      <c r="G730" s="1480">
        <v>121544.25</v>
      </c>
      <c r="H730" s="1414">
        <v>121544.25</v>
      </c>
      <c r="I730" s="1477">
        <f t="shared" si="267"/>
        <v>121544.25</v>
      </c>
      <c r="J730" s="1477">
        <f t="shared" si="268"/>
        <v>121544.25</v>
      </c>
      <c r="K730" s="1477">
        <v>0</v>
      </c>
      <c r="L730" s="1477">
        <f t="shared" si="273"/>
        <v>0</v>
      </c>
      <c r="M730" s="1477">
        <v>1</v>
      </c>
      <c r="N730" s="1477">
        <f t="shared" si="274"/>
        <v>1</v>
      </c>
      <c r="O730" s="1477">
        <f t="shared" si="275"/>
        <v>0</v>
      </c>
      <c r="P730" s="1477">
        <f t="shared" si="276"/>
        <v>121544.25</v>
      </c>
      <c r="Q730" s="1477">
        <f t="shared" si="277"/>
        <v>121544.25</v>
      </c>
      <c r="R730" s="1576">
        <f t="shared" si="278"/>
        <v>121544.25</v>
      </c>
      <c r="S730" s="1869">
        <v>0</v>
      </c>
      <c r="T730" s="1866">
        <v>0</v>
      </c>
      <c r="U730" s="2442"/>
      <c r="V730" s="1866">
        <f t="shared" si="281"/>
        <v>0</v>
      </c>
      <c r="W730" s="1869">
        <f>S730+U730</f>
        <v>0</v>
      </c>
      <c r="X730" s="1870">
        <f t="shared" si="279"/>
        <v>0</v>
      </c>
      <c r="Y730" s="1871">
        <f t="shared" si="282"/>
        <v>0</v>
      </c>
      <c r="Z730" s="1694">
        <f>+E730-W730</f>
        <v>1</v>
      </c>
      <c r="AA730" s="1872">
        <f t="shared" si="283"/>
        <v>121544.25</v>
      </c>
      <c r="AB730" s="1873">
        <f t="shared" si="284"/>
        <v>1</v>
      </c>
      <c r="AC730" s="1418">
        <f t="shared" si="269"/>
        <v>0</v>
      </c>
      <c r="AD730" s="1418">
        <f t="shared" si="270"/>
        <v>0</v>
      </c>
      <c r="AE730" s="1418">
        <v>121544.25</v>
      </c>
      <c r="AF730" s="1418">
        <f t="shared" si="271"/>
        <v>0</v>
      </c>
      <c r="AG730" s="1418">
        <v>121544.25</v>
      </c>
      <c r="AH730" s="1418">
        <f t="shared" si="272"/>
        <v>0</v>
      </c>
      <c r="AI730" s="1428"/>
      <c r="AO730" s="2504">
        <v>0</v>
      </c>
      <c r="AP730" s="1418">
        <f t="shared" si="280"/>
        <v>0</v>
      </c>
    </row>
    <row r="731" spans="1:42" s="2383" customFormat="1" ht="15.75">
      <c r="A731" s="2373" t="s">
        <v>3619</v>
      </c>
      <c r="B731" s="2384" t="s">
        <v>513</v>
      </c>
      <c r="C731" s="2375" t="s">
        <v>2820</v>
      </c>
      <c r="D731" s="2376"/>
      <c r="E731" s="2377"/>
      <c r="F731" s="2378"/>
      <c r="G731" s="2379"/>
      <c r="H731" s="2378"/>
      <c r="I731" s="2380">
        <f t="shared" si="267"/>
        <v>0</v>
      </c>
      <c r="J731" s="2380">
        <f t="shared" si="268"/>
        <v>0</v>
      </c>
      <c r="K731" s="2380"/>
      <c r="L731" s="2380">
        <f t="shared" si="273"/>
        <v>0</v>
      </c>
      <c r="M731" s="2380"/>
      <c r="N731" s="2380">
        <f t="shared" si="274"/>
        <v>0</v>
      </c>
      <c r="O731" s="2380">
        <f t="shared" si="275"/>
        <v>0</v>
      </c>
      <c r="P731" s="2380">
        <f t="shared" si="276"/>
        <v>0</v>
      </c>
      <c r="Q731" s="2380">
        <f t="shared" si="277"/>
        <v>0</v>
      </c>
      <c r="R731" s="2380"/>
      <c r="S731" s="2454"/>
      <c r="T731" s="2455"/>
      <c r="U731" s="2463"/>
      <c r="V731" s="2455"/>
      <c r="W731" s="2454"/>
      <c r="X731" s="2457"/>
      <c r="Y731" s="2458"/>
      <c r="Z731" s="2459"/>
      <c r="AA731" s="2460"/>
      <c r="AB731" s="2461" t="str">
        <f t="shared" si="284"/>
        <v/>
      </c>
      <c r="AC731" s="2370">
        <f t="shared" si="269"/>
        <v>0</v>
      </c>
      <c r="AD731" s="2370">
        <f t="shared" si="270"/>
        <v>0</v>
      </c>
      <c r="AE731" s="2381"/>
      <c r="AF731" s="2381">
        <f t="shared" si="271"/>
        <v>0</v>
      </c>
      <c r="AG731" s="2381"/>
      <c r="AH731" s="2370">
        <f t="shared" si="272"/>
        <v>0</v>
      </c>
      <c r="AI731" s="2382"/>
      <c r="AO731" s="2509"/>
      <c r="AP731" s="1418">
        <f t="shared" si="280"/>
        <v>0</v>
      </c>
    </row>
    <row r="732" spans="1:42" s="1231" customFormat="1" ht="15.75">
      <c r="A732" s="2103"/>
      <c r="B732" s="1263" t="s">
        <v>514</v>
      </c>
      <c r="C732" s="1264" t="s">
        <v>3494</v>
      </c>
      <c r="D732" s="1265"/>
      <c r="E732" s="1266"/>
      <c r="F732" s="1267"/>
      <c r="G732" s="1480"/>
      <c r="H732" s="1267"/>
      <c r="I732" s="1477">
        <f t="shared" si="267"/>
        <v>0</v>
      </c>
      <c r="J732" s="1477">
        <f t="shared" si="268"/>
        <v>0</v>
      </c>
      <c r="K732" s="1477"/>
      <c r="L732" s="1477">
        <f t="shared" si="273"/>
        <v>0</v>
      </c>
      <c r="M732" s="1477"/>
      <c r="N732" s="1477">
        <f t="shared" si="274"/>
        <v>0</v>
      </c>
      <c r="O732" s="1477">
        <f t="shared" si="275"/>
        <v>0</v>
      </c>
      <c r="P732" s="1477">
        <f t="shared" si="276"/>
        <v>0</v>
      </c>
      <c r="Q732" s="1477">
        <f t="shared" si="277"/>
        <v>0</v>
      </c>
      <c r="R732" s="1576"/>
      <c r="S732" s="2452"/>
      <c r="T732" s="1866"/>
      <c r="U732" s="2442"/>
      <c r="V732" s="1866"/>
      <c r="W732" s="2452"/>
      <c r="X732" s="1870"/>
      <c r="Y732" s="1871"/>
      <c r="Z732" s="1694"/>
      <c r="AA732" s="1872"/>
      <c r="AB732" s="1873" t="str">
        <f t="shared" si="284"/>
        <v/>
      </c>
      <c r="AC732" s="1418">
        <f t="shared" si="269"/>
        <v>0</v>
      </c>
      <c r="AD732" s="1418">
        <f t="shared" si="270"/>
        <v>0</v>
      </c>
      <c r="AE732" s="1230"/>
      <c r="AF732" s="1230">
        <f t="shared" si="271"/>
        <v>0</v>
      </c>
      <c r="AG732" s="1230"/>
      <c r="AH732" s="1418">
        <f t="shared" si="272"/>
        <v>0</v>
      </c>
      <c r="AI732" s="1346"/>
      <c r="AO732" s="1736"/>
      <c r="AP732" s="1418">
        <f t="shared" si="280"/>
        <v>0</v>
      </c>
    </row>
    <row r="733" spans="1:42" s="1410" customFormat="1" ht="15.75">
      <c r="A733" s="2102"/>
      <c r="B733" s="1272" t="s">
        <v>1804</v>
      </c>
      <c r="C733" s="1262" t="s">
        <v>3495</v>
      </c>
      <c r="D733" s="1273"/>
      <c r="E733" s="1415"/>
      <c r="F733" s="1267"/>
      <c r="G733" s="1480"/>
      <c r="H733" s="1416"/>
      <c r="I733" s="1477">
        <f t="shared" si="267"/>
        <v>0</v>
      </c>
      <c r="J733" s="1477">
        <f t="shared" si="268"/>
        <v>0</v>
      </c>
      <c r="K733" s="1477"/>
      <c r="L733" s="1477">
        <f t="shared" si="273"/>
        <v>0</v>
      </c>
      <c r="M733" s="1477"/>
      <c r="N733" s="1477">
        <f t="shared" si="274"/>
        <v>0</v>
      </c>
      <c r="O733" s="1477">
        <f t="shared" si="275"/>
        <v>0</v>
      </c>
      <c r="P733" s="1477">
        <f t="shared" si="276"/>
        <v>0</v>
      </c>
      <c r="Q733" s="1477">
        <f t="shared" si="277"/>
        <v>0</v>
      </c>
      <c r="R733" s="1576"/>
      <c r="S733" s="1869"/>
      <c r="T733" s="1866"/>
      <c r="U733" s="2442"/>
      <c r="V733" s="1866"/>
      <c r="W733" s="1869"/>
      <c r="X733" s="1870"/>
      <c r="Y733" s="1871"/>
      <c r="Z733" s="1694"/>
      <c r="AA733" s="1872"/>
      <c r="AB733" s="1873" t="str">
        <f t="shared" si="284"/>
        <v/>
      </c>
      <c r="AC733" s="1418">
        <f t="shared" si="269"/>
        <v>0</v>
      </c>
      <c r="AD733" s="1418">
        <f t="shared" si="270"/>
        <v>0</v>
      </c>
      <c r="AE733" s="1418"/>
      <c r="AF733" s="1418">
        <f t="shared" si="271"/>
        <v>0</v>
      </c>
      <c r="AG733" s="1418"/>
      <c r="AH733" s="1418">
        <f t="shared" si="272"/>
        <v>0</v>
      </c>
      <c r="AI733" s="1428"/>
      <c r="AO733" s="2504"/>
      <c r="AP733" s="1418">
        <f t="shared" si="280"/>
        <v>0</v>
      </c>
    </row>
    <row r="734" spans="1:42" s="1231" customFormat="1" ht="15.75">
      <c r="A734" s="2103"/>
      <c r="B734" s="1543" t="s">
        <v>2752</v>
      </c>
      <c r="C734" s="1544" t="s">
        <v>3496</v>
      </c>
      <c r="D734" s="1545"/>
      <c r="E734" s="1266"/>
      <c r="F734" s="1267"/>
      <c r="G734" s="1480"/>
      <c r="H734" s="1267"/>
      <c r="I734" s="1477">
        <f t="shared" si="267"/>
        <v>0</v>
      </c>
      <c r="J734" s="1477">
        <f t="shared" si="268"/>
        <v>0</v>
      </c>
      <c r="K734" s="1477"/>
      <c r="L734" s="1477">
        <f t="shared" si="273"/>
        <v>0</v>
      </c>
      <c r="M734" s="1477"/>
      <c r="N734" s="1477">
        <f t="shared" si="274"/>
        <v>0</v>
      </c>
      <c r="O734" s="1477">
        <f t="shared" si="275"/>
        <v>0</v>
      </c>
      <c r="P734" s="1477">
        <f t="shared" si="276"/>
        <v>0</v>
      </c>
      <c r="Q734" s="1477">
        <f t="shared" si="277"/>
        <v>0</v>
      </c>
      <c r="R734" s="1576"/>
      <c r="S734" s="2452"/>
      <c r="T734" s="1866"/>
      <c r="U734" s="2442"/>
      <c r="V734" s="1866"/>
      <c r="W734" s="2452"/>
      <c r="X734" s="1870"/>
      <c r="Y734" s="1871"/>
      <c r="Z734" s="1694"/>
      <c r="AA734" s="1872"/>
      <c r="AB734" s="1873" t="str">
        <f t="shared" si="284"/>
        <v/>
      </c>
      <c r="AC734" s="1418">
        <f t="shared" si="269"/>
        <v>0</v>
      </c>
      <c r="AD734" s="1418">
        <f t="shared" si="270"/>
        <v>0</v>
      </c>
      <c r="AE734" s="1230"/>
      <c r="AF734" s="1230">
        <f t="shared" si="271"/>
        <v>0</v>
      </c>
      <c r="AG734" s="1230"/>
      <c r="AH734" s="1418">
        <f t="shared" si="272"/>
        <v>0</v>
      </c>
      <c r="AI734" s="1346"/>
      <c r="AO734" s="1736"/>
      <c r="AP734" s="1418">
        <f t="shared" si="280"/>
        <v>0</v>
      </c>
    </row>
    <row r="735" spans="1:42" s="1231" customFormat="1" ht="15.75">
      <c r="A735" s="2103"/>
      <c r="B735" s="1550" t="s">
        <v>2753</v>
      </c>
      <c r="C735" s="1551" t="s">
        <v>3497</v>
      </c>
      <c r="D735" s="1552"/>
      <c r="E735" s="1266"/>
      <c r="F735" s="1267"/>
      <c r="G735" s="1480"/>
      <c r="H735" s="1267"/>
      <c r="I735" s="1477">
        <f t="shared" si="267"/>
        <v>0</v>
      </c>
      <c r="J735" s="1477">
        <f t="shared" si="268"/>
        <v>0</v>
      </c>
      <c r="K735" s="1477"/>
      <c r="L735" s="1477">
        <f t="shared" si="273"/>
        <v>0</v>
      </c>
      <c r="M735" s="1477"/>
      <c r="N735" s="1477">
        <f t="shared" si="274"/>
        <v>0</v>
      </c>
      <c r="O735" s="1477">
        <f t="shared" si="275"/>
        <v>0</v>
      </c>
      <c r="P735" s="1477">
        <f t="shared" si="276"/>
        <v>0</v>
      </c>
      <c r="Q735" s="1477">
        <f t="shared" si="277"/>
        <v>0</v>
      </c>
      <c r="R735" s="1576"/>
      <c r="S735" s="2452"/>
      <c r="T735" s="1866"/>
      <c r="U735" s="2442"/>
      <c r="V735" s="1866"/>
      <c r="W735" s="2452"/>
      <c r="X735" s="1870"/>
      <c r="Y735" s="1871"/>
      <c r="Z735" s="1694"/>
      <c r="AA735" s="1872"/>
      <c r="AB735" s="1873" t="str">
        <f t="shared" si="284"/>
        <v/>
      </c>
      <c r="AC735" s="1418">
        <f t="shared" si="269"/>
        <v>0</v>
      </c>
      <c r="AD735" s="1418">
        <f t="shared" si="270"/>
        <v>0</v>
      </c>
      <c r="AE735" s="1230"/>
      <c r="AF735" s="1230">
        <f t="shared" si="271"/>
        <v>0</v>
      </c>
      <c r="AG735" s="1230"/>
      <c r="AH735" s="1418">
        <f t="shared" si="272"/>
        <v>0</v>
      </c>
      <c r="AI735" s="1346"/>
      <c r="AO735" s="1736"/>
      <c r="AP735" s="1418">
        <f t="shared" si="280"/>
        <v>0</v>
      </c>
    </row>
    <row r="736" spans="1:42" s="1410" customFormat="1" ht="15.75">
      <c r="A736" s="2102"/>
      <c r="B736" s="1268" t="s">
        <v>2754</v>
      </c>
      <c r="C736" s="1241" t="s">
        <v>3498</v>
      </c>
      <c r="D736" s="1245" t="s">
        <v>40</v>
      </c>
      <c r="E736" s="1413">
        <v>84.33</v>
      </c>
      <c r="F736" s="1555">
        <v>42.73</v>
      </c>
      <c r="G736" s="1480">
        <v>46.72</v>
      </c>
      <c r="H736" s="1414">
        <v>48.65</v>
      </c>
      <c r="I736" s="1477">
        <f t="shared" si="267"/>
        <v>3603.42</v>
      </c>
      <c r="J736" s="1477">
        <f t="shared" si="268"/>
        <v>3939.9</v>
      </c>
      <c r="K736" s="1477">
        <v>0</v>
      </c>
      <c r="L736" s="1477">
        <f t="shared" si="273"/>
        <v>0</v>
      </c>
      <c r="M736" s="1477">
        <v>84.33</v>
      </c>
      <c r="N736" s="1477">
        <f t="shared" si="274"/>
        <v>84.33</v>
      </c>
      <c r="O736" s="1477">
        <f t="shared" si="275"/>
        <v>0</v>
      </c>
      <c r="P736" s="1477">
        <f t="shared" si="276"/>
        <v>3939.9</v>
      </c>
      <c r="Q736" s="1477">
        <f t="shared" si="277"/>
        <v>4102.6499999999996</v>
      </c>
      <c r="R736" s="1576">
        <f t="shared" si="278"/>
        <v>4102.6499999999996</v>
      </c>
      <c r="S736" s="1869">
        <v>84.33</v>
      </c>
      <c r="T736" s="1866">
        <v>4102.6545000000006</v>
      </c>
      <c r="U736" s="2442"/>
      <c r="V736" s="1866">
        <f t="shared" si="281"/>
        <v>0</v>
      </c>
      <c r="W736" s="1869">
        <f t="shared" ref="W736:W742" si="285">S736+U736</f>
        <v>84.33</v>
      </c>
      <c r="X736" s="1870">
        <f t="shared" si="279"/>
        <v>4102.6545000000006</v>
      </c>
      <c r="Y736" s="1871">
        <f t="shared" si="282"/>
        <v>1.000001096852035</v>
      </c>
      <c r="Z736" s="1694">
        <f t="shared" ref="Z736:Z742" si="286">+E736-W736</f>
        <v>0</v>
      </c>
      <c r="AA736" s="1872">
        <f t="shared" si="283"/>
        <v>0</v>
      </c>
      <c r="AB736" s="1873">
        <f t="shared" si="284"/>
        <v>0</v>
      </c>
      <c r="AC736" s="1418">
        <f t="shared" si="269"/>
        <v>-4.5000000009167707E-3</v>
      </c>
      <c r="AD736" s="1418">
        <f t="shared" si="270"/>
        <v>0</v>
      </c>
      <c r="AE736" s="1418">
        <v>4102.6544999999996</v>
      </c>
      <c r="AF736" s="1418">
        <f t="shared" si="271"/>
        <v>4.500000000007276E-3</v>
      </c>
      <c r="AG736" s="1418">
        <v>48.65</v>
      </c>
      <c r="AH736" s="1418">
        <f t="shared" si="272"/>
        <v>0</v>
      </c>
      <c r="AI736" s="1428"/>
      <c r="AO736" s="2504">
        <v>4102.6545000000006</v>
      </c>
      <c r="AP736" s="1418">
        <f t="shared" si="280"/>
        <v>0</v>
      </c>
    </row>
    <row r="737" spans="1:42" s="1410" customFormat="1" ht="15.75">
      <c r="A737" s="2102"/>
      <c r="B737" s="1268" t="s">
        <v>2755</v>
      </c>
      <c r="C737" s="1241" t="s">
        <v>3499</v>
      </c>
      <c r="D737" s="1245" t="s">
        <v>40</v>
      </c>
      <c r="E737" s="1413">
        <v>8.1</v>
      </c>
      <c r="F737" s="1555">
        <v>42.73</v>
      </c>
      <c r="G737" s="1480">
        <v>46.72</v>
      </c>
      <c r="H737" s="1414">
        <v>48.65</v>
      </c>
      <c r="I737" s="1477">
        <f t="shared" si="267"/>
        <v>346.11</v>
      </c>
      <c r="J737" s="1477">
        <f t="shared" si="268"/>
        <v>378.43</v>
      </c>
      <c r="K737" s="1477">
        <v>0</v>
      </c>
      <c r="L737" s="1477">
        <f t="shared" si="273"/>
        <v>0</v>
      </c>
      <c r="M737" s="1477">
        <v>8.1</v>
      </c>
      <c r="N737" s="1477">
        <f t="shared" si="274"/>
        <v>8.1</v>
      </c>
      <c r="O737" s="1477">
        <f t="shared" si="275"/>
        <v>0</v>
      </c>
      <c r="P737" s="1477">
        <f t="shared" si="276"/>
        <v>378.43</v>
      </c>
      <c r="Q737" s="1477">
        <f t="shared" si="277"/>
        <v>394.07</v>
      </c>
      <c r="R737" s="1576">
        <f t="shared" si="278"/>
        <v>394.07</v>
      </c>
      <c r="S737" s="1869">
        <v>8.1</v>
      </c>
      <c r="T737" s="1866">
        <v>394.065</v>
      </c>
      <c r="U737" s="2442"/>
      <c r="V737" s="1866">
        <f t="shared" si="281"/>
        <v>0</v>
      </c>
      <c r="W737" s="1869">
        <f t="shared" si="285"/>
        <v>8.1</v>
      </c>
      <c r="X737" s="1870">
        <f t="shared" si="279"/>
        <v>394.065</v>
      </c>
      <c r="Y737" s="1871">
        <f t="shared" si="282"/>
        <v>0.99998731189890122</v>
      </c>
      <c r="Z737" s="1694">
        <f t="shared" si="286"/>
        <v>0</v>
      </c>
      <c r="AA737" s="1872">
        <f t="shared" si="283"/>
        <v>0</v>
      </c>
      <c r="AB737" s="1873">
        <f t="shared" si="284"/>
        <v>0</v>
      </c>
      <c r="AC737" s="1418">
        <f t="shared" si="269"/>
        <v>4.9999999999954525E-3</v>
      </c>
      <c r="AD737" s="1418">
        <f t="shared" si="270"/>
        <v>0</v>
      </c>
      <c r="AE737" s="1418">
        <v>394.065</v>
      </c>
      <c r="AF737" s="1418">
        <f t="shared" si="271"/>
        <v>-4.9999999999954525E-3</v>
      </c>
      <c r="AG737" s="1418">
        <v>48.65</v>
      </c>
      <c r="AH737" s="1418">
        <f t="shared" si="272"/>
        <v>0</v>
      </c>
      <c r="AI737" s="1428"/>
      <c r="AO737" s="2504">
        <v>394.065</v>
      </c>
      <c r="AP737" s="1418">
        <f t="shared" si="280"/>
        <v>0</v>
      </c>
    </row>
    <row r="738" spans="1:42" s="1410" customFormat="1" ht="15.75">
      <c r="A738" s="2102"/>
      <c r="B738" s="1268" t="s">
        <v>2756</v>
      </c>
      <c r="C738" s="1241" t="s">
        <v>3500</v>
      </c>
      <c r="D738" s="1245" t="s">
        <v>40</v>
      </c>
      <c r="E738" s="1413">
        <v>7.03</v>
      </c>
      <c r="F738" s="1555">
        <v>44.71</v>
      </c>
      <c r="G738" s="1480">
        <v>46.42</v>
      </c>
      <c r="H738" s="1414">
        <v>47.25</v>
      </c>
      <c r="I738" s="1477">
        <f t="shared" si="267"/>
        <v>314.31</v>
      </c>
      <c r="J738" s="1477">
        <f t="shared" si="268"/>
        <v>326.33</v>
      </c>
      <c r="K738" s="1477">
        <v>0</v>
      </c>
      <c r="L738" s="1477">
        <f t="shared" si="273"/>
        <v>0</v>
      </c>
      <c r="M738" s="1477">
        <v>7.03</v>
      </c>
      <c r="N738" s="1477">
        <f t="shared" si="274"/>
        <v>7.03</v>
      </c>
      <c r="O738" s="1477">
        <f t="shared" si="275"/>
        <v>0</v>
      </c>
      <c r="P738" s="1477">
        <f t="shared" si="276"/>
        <v>326.33</v>
      </c>
      <c r="Q738" s="1477">
        <f t="shared" si="277"/>
        <v>332.17</v>
      </c>
      <c r="R738" s="1576">
        <f t="shared" si="278"/>
        <v>332.17</v>
      </c>
      <c r="S738" s="1869">
        <v>7.03</v>
      </c>
      <c r="T738" s="1866">
        <v>332.16750000000002</v>
      </c>
      <c r="U738" s="2442"/>
      <c r="V738" s="1866">
        <f t="shared" si="281"/>
        <v>0</v>
      </c>
      <c r="W738" s="1869">
        <f t="shared" si="285"/>
        <v>7.03</v>
      </c>
      <c r="X738" s="1870">
        <f t="shared" si="279"/>
        <v>332.16750000000002</v>
      </c>
      <c r="Y738" s="1871">
        <f t="shared" si="282"/>
        <v>0.99999247373332933</v>
      </c>
      <c r="Z738" s="1694">
        <f t="shared" si="286"/>
        <v>0</v>
      </c>
      <c r="AA738" s="1872">
        <f t="shared" si="283"/>
        <v>0</v>
      </c>
      <c r="AB738" s="1873">
        <f t="shared" si="284"/>
        <v>0</v>
      </c>
      <c r="AC738" s="1418">
        <f t="shared" si="269"/>
        <v>2.4999999999977263E-3</v>
      </c>
      <c r="AD738" s="1418">
        <f t="shared" si="270"/>
        <v>0</v>
      </c>
      <c r="AE738" s="1418">
        <v>332.16750000000002</v>
      </c>
      <c r="AF738" s="1418">
        <f t="shared" si="271"/>
        <v>-2.4999999999977263E-3</v>
      </c>
      <c r="AG738" s="1418">
        <v>47.25</v>
      </c>
      <c r="AH738" s="1418">
        <f t="shared" si="272"/>
        <v>0</v>
      </c>
      <c r="AI738" s="1428"/>
      <c r="AO738" s="2504">
        <v>332.16750000000002</v>
      </c>
      <c r="AP738" s="1418">
        <f t="shared" si="280"/>
        <v>0</v>
      </c>
    </row>
    <row r="739" spans="1:42" s="1410" customFormat="1" ht="15.75">
      <c r="A739" s="2102"/>
      <c r="B739" s="1268" t="s">
        <v>2757</v>
      </c>
      <c r="C739" s="1241" t="s">
        <v>3501</v>
      </c>
      <c r="D739" s="1245" t="s">
        <v>40</v>
      </c>
      <c r="E739" s="1413">
        <v>35.14</v>
      </c>
      <c r="F739" s="1555">
        <v>18.309999999999999</v>
      </c>
      <c r="G739" s="1480">
        <v>20.02</v>
      </c>
      <c r="H739" s="1414">
        <v>20.85</v>
      </c>
      <c r="I739" s="1477">
        <f t="shared" si="267"/>
        <v>643.41</v>
      </c>
      <c r="J739" s="1477">
        <f t="shared" si="268"/>
        <v>703.5</v>
      </c>
      <c r="K739" s="1477">
        <v>0</v>
      </c>
      <c r="L739" s="1477">
        <f t="shared" si="273"/>
        <v>0</v>
      </c>
      <c r="M739" s="1477">
        <v>35.14</v>
      </c>
      <c r="N739" s="1477">
        <f t="shared" si="274"/>
        <v>35.14</v>
      </c>
      <c r="O739" s="1477">
        <f t="shared" si="275"/>
        <v>0</v>
      </c>
      <c r="P739" s="1477">
        <f t="shared" si="276"/>
        <v>703.5</v>
      </c>
      <c r="Q739" s="1477">
        <f t="shared" si="277"/>
        <v>732.67</v>
      </c>
      <c r="R739" s="1576">
        <f t="shared" si="278"/>
        <v>732.67</v>
      </c>
      <c r="S739" s="1869">
        <v>35.14</v>
      </c>
      <c r="T739" s="1866">
        <v>732.6690000000001</v>
      </c>
      <c r="U739" s="2442"/>
      <c r="V739" s="1866">
        <f t="shared" si="281"/>
        <v>0</v>
      </c>
      <c r="W739" s="1869">
        <f t="shared" si="285"/>
        <v>35.14</v>
      </c>
      <c r="X739" s="1870">
        <f t="shared" si="279"/>
        <v>732.6690000000001</v>
      </c>
      <c r="Y739" s="1871">
        <f t="shared" si="282"/>
        <v>0.99999863512904874</v>
      </c>
      <c r="Z739" s="1694">
        <f t="shared" si="286"/>
        <v>0</v>
      </c>
      <c r="AA739" s="1872">
        <f t="shared" si="283"/>
        <v>0</v>
      </c>
      <c r="AB739" s="1873">
        <f t="shared" si="284"/>
        <v>0</v>
      </c>
      <c r="AC739" s="1418">
        <f t="shared" si="269"/>
        <v>9.999999998626663E-4</v>
      </c>
      <c r="AD739" s="1418">
        <f t="shared" si="270"/>
        <v>0</v>
      </c>
      <c r="AE739" s="1418">
        <v>732.6690000000001</v>
      </c>
      <c r="AF739" s="1418">
        <f t="shared" si="271"/>
        <v>-9.999999998626663E-4</v>
      </c>
      <c r="AG739" s="1418">
        <v>20.85</v>
      </c>
      <c r="AH739" s="1418">
        <f t="shared" si="272"/>
        <v>0</v>
      </c>
      <c r="AI739" s="1428"/>
      <c r="AO739" s="2504">
        <v>732.6690000000001</v>
      </c>
      <c r="AP739" s="1418">
        <f t="shared" si="280"/>
        <v>0</v>
      </c>
    </row>
    <row r="740" spans="1:42" s="1410" customFormat="1" ht="15.75">
      <c r="A740" s="2102"/>
      <c r="B740" s="1268" t="s">
        <v>2758</v>
      </c>
      <c r="C740" s="1241" t="s">
        <v>3502</v>
      </c>
      <c r="D740" s="1245" t="s">
        <v>40</v>
      </c>
      <c r="E740" s="1413">
        <v>42.17</v>
      </c>
      <c r="F740" s="1555">
        <v>18.309999999999999</v>
      </c>
      <c r="G740" s="1480">
        <v>20.02</v>
      </c>
      <c r="H740" s="1414">
        <v>20.85</v>
      </c>
      <c r="I740" s="1477">
        <f t="shared" si="267"/>
        <v>772.13</v>
      </c>
      <c r="J740" s="1477">
        <f t="shared" si="268"/>
        <v>844.24</v>
      </c>
      <c r="K740" s="1477">
        <v>0</v>
      </c>
      <c r="L740" s="1477">
        <f t="shared" si="273"/>
        <v>0</v>
      </c>
      <c r="M740" s="1477">
        <v>42.17</v>
      </c>
      <c r="N740" s="1477">
        <f t="shared" si="274"/>
        <v>42.17</v>
      </c>
      <c r="O740" s="1477">
        <f t="shared" si="275"/>
        <v>0</v>
      </c>
      <c r="P740" s="1477">
        <f t="shared" si="276"/>
        <v>844.24</v>
      </c>
      <c r="Q740" s="1477">
        <f t="shared" si="277"/>
        <v>879.24</v>
      </c>
      <c r="R740" s="1576">
        <f t="shared" si="278"/>
        <v>879.24</v>
      </c>
      <c r="S740" s="1869">
        <v>42.17</v>
      </c>
      <c r="T740" s="1866">
        <v>879.24450000000002</v>
      </c>
      <c r="U740" s="2442"/>
      <c r="V740" s="1866">
        <f t="shared" si="281"/>
        <v>0</v>
      </c>
      <c r="W740" s="1869">
        <f t="shared" si="285"/>
        <v>42.17</v>
      </c>
      <c r="X740" s="1870">
        <f t="shared" si="279"/>
        <v>879.24450000000002</v>
      </c>
      <c r="Y740" s="1871">
        <f t="shared" si="282"/>
        <v>1.0000051180565033</v>
      </c>
      <c r="Z740" s="1694">
        <f t="shared" si="286"/>
        <v>0</v>
      </c>
      <c r="AA740" s="1872">
        <f t="shared" si="283"/>
        <v>0</v>
      </c>
      <c r="AB740" s="1873">
        <f t="shared" si="284"/>
        <v>0</v>
      </c>
      <c r="AC740" s="1418">
        <f t="shared" si="269"/>
        <v>-4.500000000007276E-3</v>
      </c>
      <c r="AD740" s="1418">
        <f t="shared" si="270"/>
        <v>0</v>
      </c>
      <c r="AE740" s="1418">
        <v>879.24450000000013</v>
      </c>
      <c r="AF740" s="1418">
        <f t="shared" si="271"/>
        <v>4.5000000001209628E-3</v>
      </c>
      <c r="AG740" s="1418">
        <v>20.85</v>
      </c>
      <c r="AH740" s="1418">
        <f t="shared" si="272"/>
        <v>0</v>
      </c>
      <c r="AI740" s="1428"/>
      <c r="AO740" s="2504">
        <v>879.24450000000002</v>
      </c>
      <c r="AP740" s="1418">
        <f t="shared" si="280"/>
        <v>0</v>
      </c>
    </row>
    <row r="741" spans="1:42" s="1410" customFormat="1" ht="15.75">
      <c r="A741" s="2102"/>
      <c r="B741" s="1268" t="s">
        <v>2759</v>
      </c>
      <c r="C741" s="1241" t="s">
        <v>3503</v>
      </c>
      <c r="D741" s="1245" t="s">
        <v>40</v>
      </c>
      <c r="E741" s="1413">
        <v>1.86</v>
      </c>
      <c r="F741" s="1555">
        <v>94.65</v>
      </c>
      <c r="G741" s="1480">
        <v>97.04</v>
      </c>
      <c r="H741" s="1414">
        <v>98.19</v>
      </c>
      <c r="I741" s="1477">
        <f t="shared" si="267"/>
        <v>176.05</v>
      </c>
      <c r="J741" s="1477">
        <f t="shared" si="268"/>
        <v>180.49</v>
      </c>
      <c r="K741" s="1477">
        <v>0</v>
      </c>
      <c r="L741" s="1477">
        <f t="shared" si="273"/>
        <v>0</v>
      </c>
      <c r="M741" s="1477">
        <v>1.86</v>
      </c>
      <c r="N741" s="1477">
        <f t="shared" si="274"/>
        <v>1.86</v>
      </c>
      <c r="O741" s="1477">
        <f t="shared" si="275"/>
        <v>0</v>
      </c>
      <c r="P741" s="1477">
        <f t="shared" si="276"/>
        <v>180.49</v>
      </c>
      <c r="Q741" s="1477">
        <f t="shared" si="277"/>
        <v>182.63</v>
      </c>
      <c r="R741" s="1576">
        <f t="shared" si="278"/>
        <v>182.63</v>
      </c>
      <c r="S741" s="1869">
        <v>1.86</v>
      </c>
      <c r="T741" s="1866">
        <v>182.63339999999999</v>
      </c>
      <c r="U741" s="2442"/>
      <c r="V741" s="1866">
        <f t="shared" si="281"/>
        <v>0</v>
      </c>
      <c r="W741" s="1869">
        <f t="shared" si="285"/>
        <v>1.86</v>
      </c>
      <c r="X741" s="1870">
        <f t="shared" si="279"/>
        <v>182.63339999999999</v>
      </c>
      <c r="Y741" s="1871">
        <f t="shared" si="282"/>
        <v>1.0000186168756502</v>
      </c>
      <c r="Z741" s="1694">
        <f t="shared" si="286"/>
        <v>0</v>
      </c>
      <c r="AA741" s="1872">
        <f t="shared" si="283"/>
        <v>0</v>
      </c>
      <c r="AB741" s="1873">
        <f t="shared" si="284"/>
        <v>0</v>
      </c>
      <c r="AC741" s="1418">
        <f t="shared" si="269"/>
        <v>-3.3999999999991815E-3</v>
      </c>
      <c r="AD741" s="1418">
        <f t="shared" si="270"/>
        <v>0</v>
      </c>
      <c r="AE741" s="1418">
        <v>182.63339999999999</v>
      </c>
      <c r="AF741" s="1418">
        <f t="shared" si="271"/>
        <v>3.3999999999991815E-3</v>
      </c>
      <c r="AG741" s="1418">
        <v>98.19</v>
      </c>
      <c r="AH741" s="1418">
        <f t="shared" si="272"/>
        <v>0</v>
      </c>
      <c r="AI741" s="1428"/>
      <c r="AO741" s="2504">
        <v>182.63339999999999</v>
      </c>
      <c r="AP741" s="1418">
        <f t="shared" si="280"/>
        <v>0</v>
      </c>
    </row>
    <row r="742" spans="1:42" s="1410" customFormat="1" ht="15.75">
      <c r="A742" s="2102"/>
      <c r="B742" s="1268" t="s">
        <v>2760</v>
      </c>
      <c r="C742" s="1241" t="s">
        <v>3504</v>
      </c>
      <c r="D742" s="1245" t="s">
        <v>40</v>
      </c>
      <c r="E742" s="1413">
        <v>15.12</v>
      </c>
      <c r="F742" s="1555">
        <v>3.51</v>
      </c>
      <c r="G742" s="1480">
        <v>3.69</v>
      </c>
      <c r="H742" s="1414">
        <v>3.77</v>
      </c>
      <c r="I742" s="1477">
        <f t="shared" si="267"/>
        <v>53.07</v>
      </c>
      <c r="J742" s="1477">
        <f t="shared" si="268"/>
        <v>55.79</v>
      </c>
      <c r="K742" s="1477">
        <v>0</v>
      </c>
      <c r="L742" s="1477">
        <f t="shared" si="273"/>
        <v>0</v>
      </c>
      <c r="M742" s="1477">
        <v>15.12</v>
      </c>
      <c r="N742" s="1477">
        <f t="shared" si="274"/>
        <v>15.12</v>
      </c>
      <c r="O742" s="1477">
        <f t="shared" si="275"/>
        <v>0</v>
      </c>
      <c r="P742" s="1477">
        <f t="shared" si="276"/>
        <v>55.79</v>
      </c>
      <c r="Q742" s="1477">
        <f t="shared" si="277"/>
        <v>57</v>
      </c>
      <c r="R742" s="1576">
        <f t="shared" si="278"/>
        <v>57</v>
      </c>
      <c r="S742" s="1869">
        <v>15.12</v>
      </c>
      <c r="T742" s="1866">
        <v>57.002400000000002</v>
      </c>
      <c r="U742" s="2442"/>
      <c r="V742" s="1866">
        <f t="shared" si="281"/>
        <v>0</v>
      </c>
      <c r="W742" s="1869">
        <f t="shared" si="285"/>
        <v>15.12</v>
      </c>
      <c r="X742" s="1870">
        <f t="shared" si="279"/>
        <v>57.002400000000002</v>
      </c>
      <c r="Y742" s="1871">
        <f t="shared" si="282"/>
        <v>1.0000421052631578</v>
      </c>
      <c r="Z742" s="1694">
        <f t="shared" si="286"/>
        <v>0</v>
      </c>
      <c r="AA742" s="1872">
        <f t="shared" si="283"/>
        <v>0</v>
      </c>
      <c r="AB742" s="1873">
        <f t="shared" si="284"/>
        <v>0</v>
      </c>
      <c r="AC742" s="1418">
        <f t="shared" si="269"/>
        <v>-2.400000000001512E-3</v>
      </c>
      <c r="AD742" s="1418">
        <f t="shared" si="270"/>
        <v>0</v>
      </c>
      <c r="AE742" s="1418">
        <v>57.002399999999994</v>
      </c>
      <c r="AF742" s="1418">
        <f t="shared" si="271"/>
        <v>2.3999999999944066E-3</v>
      </c>
      <c r="AG742" s="1418">
        <v>3.77</v>
      </c>
      <c r="AH742" s="1418">
        <f t="shared" si="272"/>
        <v>0</v>
      </c>
      <c r="AI742" s="1428"/>
      <c r="AO742" s="2504">
        <v>57.002400000000002</v>
      </c>
      <c r="AP742" s="1418">
        <f t="shared" si="280"/>
        <v>0</v>
      </c>
    </row>
    <row r="743" spans="1:42" s="1231" customFormat="1" ht="15.75">
      <c r="A743" s="2103"/>
      <c r="B743" s="1550" t="s">
        <v>2761</v>
      </c>
      <c r="C743" s="1551" t="s">
        <v>3505</v>
      </c>
      <c r="D743" s="1552"/>
      <c r="E743" s="1266"/>
      <c r="F743" s="1267"/>
      <c r="G743" s="1480"/>
      <c r="H743" s="1267"/>
      <c r="I743" s="1477">
        <f t="shared" si="267"/>
        <v>0</v>
      </c>
      <c r="J743" s="1477">
        <f t="shared" si="268"/>
        <v>0</v>
      </c>
      <c r="K743" s="1477"/>
      <c r="L743" s="1477">
        <f t="shared" si="273"/>
        <v>0</v>
      </c>
      <c r="M743" s="1477"/>
      <c r="N743" s="1477">
        <f t="shared" si="274"/>
        <v>0</v>
      </c>
      <c r="O743" s="1477">
        <f t="shared" si="275"/>
        <v>0</v>
      </c>
      <c r="P743" s="1477">
        <f t="shared" si="276"/>
        <v>0</v>
      </c>
      <c r="Q743" s="1477">
        <f t="shared" si="277"/>
        <v>0</v>
      </c>
      <c r="R743" s="1576"/>
      <c r="S743" s="2452"/>
      <c r="T743" s="1866"/>
      <c r="U743" s="2442"/>
      <c r="V743" s="1866"/>
      <c r="W743" s="2452"/>
      <c r="X743" s="1870"/>
      <c r="Y743" s="1871"/>
      <c r="Z743" s="1694"/>
      <c r="AA743" s="1872"/>
      <c r="AB743" s="1873" t="str">
        <f t="shared" si="284"/>
        <v/>
      </c>
      <c r="AC743" s="1418">
        <f t="shared" si="269"/>
        <v>0</v>
      </c>
      <c r="AD743" s="1418">
        <f t="shared" si="270"/>
        <v>0</v>
      </c>
      <c r="AE743" s="1230"/>
      <c r="AF743" s="1230">
        <f t="shared" si="271"/>
        <v>0</v>
      </c>
      <c r="AG743" s="1230"/>
      <c r="AH743" s="1418">
        <f t="shared" si="272"/>
        <v>0</v>
      </c>
      <c r="AI743" s="1346"/>
      <c r="AO743" s="1736"/>
      <c r="AP743" s="1418">
        <f t="shared" si="280"/>
        <v>0</v>
      </c>
    </row>
    <row r="744" spans="1:42" s="1410" customFormat="1" ht="15.75">
      <c r="A744" s="2102"/>
      <c r="B744" s="1268" t="s">
        <v>2762</v>
      </c>
      <c r="C744" s="1241" t="s">
        <v>3506</v>
      </c>
      <c r="D744" s="1245" t="s">
        <v>36</v>
      </c>
      <c r="E744" s="1413">
        <v>22</v>
      </c>
      <c r="F744" s="1555">
        <v>245.26</v>
      </c>
      <c r="G744" s="1480">
        <v>258.86</v>
      </c>
      <c r="H744" s="1414">
        <v>265.82</v>
      </c>
      <c r="I744" s="1477">
        <f t="shared" si="267"/>
        <v>5395.72</v>
      </c>
      <c r="J744" s="1477">
        <f t="shared" si="268"/>
        <v>5694.92</v>
      </c>
      <c r="K744" s="1477">
        <v>0</v>
      </c>
      <c r="L744" s="1477">
        <f t="shared" si="273"/>
        <v>0</v>
      </c>
      <c r="M744" s="1477">
        <v>22</v>
      </c>
      <c r="N744" s="1477">
        <f t="shared" si="274"/>
        <v>22</v>
      </c>
      <c r="O744" s="1477">
        <f t="shared" si="275"/>
        <v>0</v>
      </c>
      <c r="P744" s="1477">
        <f t="shared" si="276"/>
        <v>5694.92</v>
      </c>
      <c r="Q744" s="1477">
        <f t="shared" si="277"/>
        <v>5848.04</v>
      </c>
      <c r="R744" s="1576">
        <f t="shared" si="278"/>
        <v>5848.04</v>
      </c>
      <c r="S744" s="1869">
        <v>22</v>
      </c>
      <c r="T744" s="1866">
        <v>5848.04</v>
      </c>
      <c r="U744" s="2442"/>
      <c r="V744" s="1866">
        <f t="shared" si="281"/>
        <v>0</v>
      </c>
      <c r="W744" s="1869">
        <f>S744+U744</f>
        <v>22</v>
      </c>
      <c r="X744" s="1870">
        <f t="shared" si="279"/>
        <v>5848.04</v>
      </c>
      <c r="Y744" s="1871">
        <f t="shared" si="282"/>
        <v>1</v>
      </c>
      <c r="Z744" s="1694">
        <f>+E744-W744</f>
        <v>0</v>
      </c>
      <c r="AA744" s="1872">
        <f t="shared" si="283"/>
        <v>0</v>
      </c>
      <c r="AB744" s="1873">
        <f t="shared" si="284"/>
        <v>0</v>
      </c>
      <c r="AC744" s="1418">
        <f t="shared" si="269"/>
        <v>0</v>
      </c>
      <c r="AD744" s="1418">
        <f t="shared" si="270"/>
        <v>0</v>
      </c>
      <c r="AE744" s="1418">
        <v>5848.04</v>
      </c>
      <c r="AF744" s="1418">
        <f t="shared" si="271"/>
        <v>0</v>
      </c>
      <c r="AG744" s="1418">
        <v>265.82</v>
      </c>
      <c r="AH744" s="1418">
        <f t="shared" si="272"/>
        <v>0</v>
      </c>
      <c r="AI744" s="1428"/>
      <c r="AO744" s="2504">
        <v>5848.04</v>
      </c>
      <c r="AP744" s="1418">
        <f t="shared" si="280"/>
        <v>0</v>
      </c>
    </row>
    <row r="745" spans="1:42" s="1231" customFormat="1" ht="15.75">
      <c r="A745" s="2103"/>
      <c r="B745" s="1550" t="s">
        <v>2763</v>
      </c>
      <c r="C745" s="1551" t="s">
        <v>3507</v>
      </c>
      <c r="D745" s="1552"/>
      <c r="E745" s="1266"/>
      <c r="F745" s="1267"/>
      <c r="G745" s="1480"/>
      <c r="H745" s="1267"/>
      <c r="I745" s="1477">
        <f t="shared" si="267"/>
        <v>0</v>
      </c>
      <c r="J745" s="1477">
        <f t="shared" si="268"/>
        <v>0</v>
      </c>
      <c r="K745" s="1477"/>
      <c r="L745" s="1477">
        <f t="shared" si="273"/>
        <v>0</v>
      </c>
      <c r="M745" s="1477"/>
      <c r="N745" s="1477">
        <f t="shared" si="274"/>
        <v>0</v>
      </c>
      <c r="O745" s="1477">
        <f t="shared" si="275"/>
        <v>0</v>
      </c>
      <c r="P745" s="1477">
        <f t="shared" si="276"/>
        <v>0</v>
      </c>
      <c r="Q745" s="1477">
        <f t="shared" si="277"/>
        <v>0</v>
      </c>
      <c r="R745" s="1576">
        <f t="shared" si="278"/>
        <v>0</v>
      </c>
      <c r="S745" s="2452"/>
      <c r="T745" s="1866"/>
      <c r="U745" s="2442"/>
      <c r="V745" s="1866">
        <f t="shared" si="281"/>
        <v>0</v>
      </c>
      <c r="W745" s="2452"/>
      <c r="X745" s="1870"/>
      <c r="Y745" s="1871" t="str">
        <f t="shared" si="282"/>
        <v/>
      </c>
      <c r="Z745" s="1694"/>
      <c r="AA745" s="1872"/>
      <c r="AB745" s="1873" t="str">
        <f t="shared" si="284"/>
        <v/>
      </c>
      <c r="AC745" s="1418">
        <f t="shared" si="269"/>
        <v>0</v>
      </c>
      <c r="AD745" s="1418">
        <f t="shared" si="270"/>
        <v>0</v>
      </c>
      <c r="AE745" s="1230"/>
      <c r="AF745" s="1230">
        <f t="shared" si="271"/>
        <v>0</v>
      </c>
      <c r="AG745" s="1230"/>
      <c r="AH745" s="1418">
        <f t="shared" si="272"/>
        <v>0</v>
      </c>
      <c r="AI745" s="1346"/>
      <c r="AO745" s="1736"/>
      <c r="AP745" s="1418">
        <f t="shared" si="280"/>
        <v>0</v>
      </c>
    </row>
    <row r="746" spans="1:42" s="1410" customFormat="1" ht="15.75">
      <c r="A746" s="2102"/>
      <c r="B746" s="1268" t="s">
        <v>2764</v>
      </c>
      <c r="C746" s="1241" t="s">
        <v>3508</v>
      </c>
      <c r="D746" s="1245" t="s">
        <v>38</v>
      </c>
      <c r="E746" s="1413">
        <v>69.25</v>
      </c>
      <c r="F746" s="1555">
        <v>24.06</v>
      </c>
      <c r="G746" s="1480">
        <v>24.82</v>
      </c>
      <c r="H746" s="1414">
        <v>25.22</v>
      </c>
      <c r="I746" s="1477">
        <f t="shared" si="267"/>
        <v>1666.16</v>
      </c>
      <c r="J746" s="1477">
        <f t="shared" si="268"/>
        <v>1718.79</v>
      </c>
      <c r="K746" s="1477">
        <v>0</v>
      </c>
      <c r="L746" s="1477">
        <f t="shared" si="273"/>
        <v>0</v>
      </c>
      <c r="M746" s="1477">
        <v>69.25</v>
      </c>
      <c r="N746" s="1477">
        <f t="shared" si="274"/>
        <v>69.25</v>
      </c>
      <c r="O746" s="1477">
        <f t="shared" si="275"/>
        <v>0</v>
      </c>
      <c r="P746" s="1477">
        <f t="shared" si="276"/>
        <v>1718.79</v>
      </c>
      <c r="Q746" s="1477">
        <f t="shared" si="277"/>
        <v>1746.49</v>
      </c>
      <c r="R746" s="1576">
        <f t="shared" si="278"/>
        <v>1746.49</v>
      </c>
      <c r="S746" s="1869">
        <v>69.25</v>
      </c>
      <c r="T746" s="1866">
        <v>1746.4849999999999</v>
      </c>
      <c r="U746" s="2442"/>
      <c r="V746" s="1866">
        <f t="shared" si="281"/>
        <v>0</v>
      </c>
      <c r="W746" s="1869">
        <f>S746+U746</f>
        <v>69.25</v>
      </c>
      <c r="X746" s="1870">
        <f t="shared" si="279"/>
        <v>1746.4849999999999</v>
      </c>
      <c r="Y746" s="1871">
        <f t="shared" si="282"/>
        <v>0.99999713711501348</v>
      </c>
      <c r="Z746" s="1694">
        <f>+E746-W746</f>
        <v>0</v>
      </c>
      <c r="AA746" s="1872">
        <f t="shared" si="283"/>
        <v>0</v>
      </c>
      <c r="AB746" s="1873">
        <f t="shared" si="284"/>
        <v>0</v>
      </c>
      <c r="AC746" s="1418">
        <f t="shared" si="269"/>
        <v>5.0000000001091394E-3</v>
      </c>
      <c r="AD746" s="1418">
        <f t="shared" si="270"/>
        <v>0</v>
      </c>
      <c r="AE746" s="1418">
        <v>1746.4849999999999</v>
      </c>
      <c r="AF746" s="1418">
        <f t="shared" si="271"/>
        <v>-5.0000000001091394E-3</v>
      </c>
      <c r="AG746" s="1418">
        <v>25.22</v>
      </c>
      <c r="AH746" s="1418">
        <f t="shared" si="272"/>
        <v>0</v>
      </c>
      <c r="AI746" s="1428"/>
      <c r="AO746" s="2504">
        <v>1746.4849999999999</v>
      </c>
      <c r="AP746" s="1418">
        <f t="shared" si="280"/>
        <v>0</v>
      </c>
    </row>
    <row r="747" spans="1:42" s="1231" customFormat="1" ht="15.75">
      <c r="A747" s="2103"/>
      <c r="B747" s="1543" t="s">
        <v>2765</v>
      </c>
      <c r="C747" s="1544" t="s">
        <v>3509</v>
      </c>
      <c r="D747" s="1545"/>
      <c r="E747" s="1266"/>
      <c r="F747" s="1267"/>
      <c r="G747" s="1480"/>
      <c r="H747" s="1267"/>
      <c r="I747" s="1477">
        <f t="shared" si="267"/>
        <v>0</v>
      </c>
      <c r="J747" s="1477">
        <f t="shared" si="268"/>
        <v>0</v>
      </c>
      <c r="K747" s="1477"/>
      <c r="L747" s="1477">
        <f t="shared" si="273"/>
        <v>0</v>
      </c>
      <c r="M747" s="1477"/>
      <c r="N747" s="1477">
        <f t="shared" si="274"/>
        <v>0</v>
      </c>
      <c r="O747" s="1477">
        <f t="shared" si="275"/>
        <v>0</v>
      </c>
      <c r="P747" s="1477">
        <f t="shared" si="276"/>
        <v>0</v>
      </c>
      <c r="Q747" s="1477">
        <f t="shared" si="277"/>
        <v>0</v>
      </c>
      <c r="R747" s="1576">
        <f t="shared" si="278"/>
        <v>0</v>
      </c>
      <c r="S747" s="2452"/>
      <c r="T747" s="1866"/>
      <c r="U747" s="2442"/>
      <c r="V747" s="1866">
        <f t="shared" si="281"/>
        <v>0</v>
      </c>
      <c r="W747" s="2452"/>
      <c r="X747" s="1870"/>
      <c r="Y747" s="1871" t="str">
        <f t="shared" si="282"/>
        <v/>
      </c>
      <c r="Z747" s="1694"/>
      <c r="AA747" s="1872"/>
      <c r="AB747" s="1873" t="str">
        <f t="shared" si="284"/>
        <v/>
      </c>
      <c r="AC747" s="1418">
        <f t="shared" si="269"/>
        <v>0</v>
      </c>
      <c r="AD747" s="1418">
        <f t="shared" si="270"/>
        <v>0</v>
      </c>
      <c r="AE747" s="1230"/>
      <c r="AF747" s="1230">
        <f t="shared" si="271"/>
        <v>0</v>
      </c>
      <c r="AG747" s="1230"/>
      <c r="AH747" s="1418">
        <f t="shared" si="272"/>
        <v>0</v>
      </c>
      <c r="AI747" s="1346"/>
      <c r="AO747" s="1736"/>
      <c r="AP747" s="1418">
        <f t="shared" si="280"/>
        <v>0</v>
      </c>
    </row>
    <row r="748" spans="1:42" s="1410" customFormat="1" ht="15.75">
      <c r="A748" s="2102"/>
      <c r="B748" s="1268" t="s">
        <v>2766</v>
      </c>
      <c r="C748" s="1241" t="s">
        <v>3510</v>
      </c>
      <c r="D748" s="1245" t="s">
        <v>38</v>
      </c>
      <c r="E748" s="1413">
        <v>547.80999999999995</v>
      </c>
      <c r="F748" s="1555">
        <v>6.03</v>
      </c>
      <c r="G748" s="1480">
        <v>6.34</v>
      </c>
      <c r="H748" s="1414">
        <v>6.52</v>
      </c>
      <c r="I748" s="1477">
        <f t="shared" si="267"/>
        <v>3303.29</v>
      </c>
      <c r="J748" s="1477">
        <f t="shared" si="268"/>
        <v>3473.12</v>
      </c>
      <c r="K748" s="1477">
        <v>0</v>
      </c>
      <c r="L748" s="1477">
        <f t="shared" si="273"/>
        <v>0</v>
      </c>
      <c r="M748" s="1477">
        <v>547.80999999999995</v>
      </c>
      <c r="N748" s="1477">
        <f t="shared" si="274"/>
        <v>547.80999999999995</v>
      </c>
      <c r="O748" s="1477">
        <f t="shared" si="275"/>
        <v>0</v>
      </c>
      <c r="P748" s="1477">
        <f t="shared" si="276"/>
        <v>3473.12</v>
      </c>
      <c r="Q748" s="1477">
        <f t="shared" si="277"/>
        <v>3571.72</v>
      </c>
      <c r="R748" s="1576">
        <f t="shared" si="278"/>
        <v>3571.72</v>
      </c>
      <c r="S748" s="1869">
        <v>547.80999999999995</v>
      </c>
      <c r="T748" s="1866">
        <v>3571.7211999999995</v>
      </c>
      <c r="U748" s="2442"/>
      <c r="V748" s="1866">
        <f t="shared" si="281"/>
        <v>0</v>
      </c>
      <c r="W748" s="1869">
        <f>S748+U748</f>
        <v>547.80999999999995</v>
      </c>
      <c r="X748" s="1870">
        <f t="shared" si="279"/>
        <v>3571.7211999999995</v>
      </c>
      <c r="Y748" s="1871">
        <f t="shared" si="282"/>
        <v>1.0000003359725846</v>
      </c>
      <c r="Z748" s="1694">
        <f>+E748-W748</f>
        <v>0</v>
      </c>
      <c r="AA748" s="1872">
        <f t="shared" si="283"/>
        <v>0</v>
      </c>
      <c r="AB748" s="1873">
        <f t="shared" si="284"/>
        <v>0</v>
      </c>
      <c r="AC748" s="1418">
        <f t="shared" si="269"/>
        <v>-1.1999999996987754E-3</v>
      </c>
      <c r="AD748" s="1418">
        <f t="shared" si="270"/>
        <v>0</v>
      </c>
      <c r="AE748" s="1418">
        <v>3571.7211999999995</v>
      </c>
      <c r="AF748" s="1418">
        <f t="shared" si="271"/>
        <v>1.1999999996987754E-3</v>
      </c>
      <c r="AG748" s="1418">
        <v>6.52</v>
      </c>
      <c r="AH748" s="1418">
        <f t="shared" si="272"/>
        <v>0</v>
      </c>
      <c r="AI748" s="1428"/>
      <c r="AO748" s="2504">
        <v>3571.7211999999995</v>
      </c>
      <c r="AP748" s="1418">
        <f t="shared" si="280"/>
        <v>0</v>
      </c>
    </row>
    <row r="749" spans="1:42" s="1410" customFormat="1" ht="15.75">
      <c r="A749" s="2102"/>
      <c r="B749" s="1268" t="s">
        <v>2767</v>
      </c>
      <c r="C749" s="1241" t="s">
        <v>3511</v>
      </c>
      <c r="D749" s="1245" t="s">
        <v>38</v>
      </c>
      <c r="E749" s="1413">
        <v>60.34</v>
      </c>
      <c r="F749" s="1555">
        <v>7</v>
      </c>
      <c r="G749" s="1480">
        <v>7.31</v>
      </c>
      <c r="H749" s="1414">
        <v>7.49</v>
      </c>
      <c r="I749" s="1477">
        <f t="shared" si="267"/>
        <v>422.38</v>
      </c>
      <c r="J749" s="1477">
        <f t="shared" si="268"/>
        <v>441.09</v>
      </c>
      <c r="K749" s="1477">
        <v>0</v>
      </c>
      <c r="L749" s="1477">
        <f t="shared" si="273"/>
        <v>0</v>
      </c>
      <c r="M749" s="1477">
        <v>60.34</v>
      </c>
      <c r="N749" s="1477">
        <f t="shared" si="274"/>
        <v>60.34</v>
      </c>
      <c r="O749" s="1477">
        <f t="shared" si="275"/>
        <v>0</v>
      </c>
      <c r="P749" s="1477">
        <f t="shared" si="276"/>
        <v>441.09</v>
      </c>
      <c r="Q749" s="1477">
        <f t="shared" si="277"/>
        <v>451.95</v>
      </c>
      <c r="R749" s="1576">
        <f t="shared" si="278"/>
        <v>451.95</v>
      </c>
      <c r="S749" s="1869">
        <v>60.34</v>
      </c>
      <c r="T749" s="1866">
        <v>451.94659999999999</v>
      </c>
      <c r="U749" s="2442"/>
      <c r="V749" s="1866">
        <f t="shared" si="281"/>
        <v>0</v>
      </c>
      <c r="W749" s="1869">
        <f>S749+U749</f>
        <v>60.34</v>
      </c>
      <c r="X749" s="1870">
        <f t="shared" si="279"/>
        <v>451.94659999999999</v>
      </c>
      <c r="Y749" s="1871">
        <f t="shared" si="282"/>
        <v>0.9999924770439208</v>
      </c>
      <c r="Z749" s="1694">
        <f>+E749-W749</f>
        <v>0</v>
      </c>
      <c r="AA749" s="1872">
        <f t="shared" si="283"/>
        <v>0</v>
      </c>
      <c r="AB749" s="1873">
        <f t="shared" si="284"/>
        <v>0</v>
      </c>
      <c r="AC749" s="1418">
        <f t="shared" si="269"/>
        <v>3.3999999999991815E-3</v>
      </c>
      <c r="AD749" s="1418">
        <f t="shared" si="270"/>
        <v>0</v>
      </c>
      <c r="AE749" s="1418">
        <v>451.94660000000005</v>
      </c>
      <c r="AF749" s="1418">
        <f t="shared" si="271"/>
        <v>-3.399999999942338E-3</v>
      </c>
      <c r="AG749" s="1418">
        <v>7.49</v>
      </c>
      <c r="AH749" s="1418">
        <f t="shared" si="272"/>
        <v>0</v>
      </c>
      <c r="AI749" s="1428"/>
      <c r="AO749" s="2504">
        <v>451.94659999999999</v>
      </c>
      <c r="AP749" s="1418">
        <f t="shared" si="280"/>
        <v>0</v>
      </c>
    </row>
    <row r="750" spans="1:42" s="1410" customFormat="1" ht="15.75">
      <c r="A750" s="2102"/>
      <c r="B750" s="1268" t="s">
        <v>2768</v>
      </c>
      <c r="C750" s="1241" t="s">
        <v>3512</v>
      </c>
      <c r="D750" s="1245" t="s">
        <v>38</v>
      </c>
      <c r="E750" s="1413">
        <v>95.83</v>
      </c>
      <c r="F750" s="1555">
        <v>9.8800000000000008</v>
      </c>
      <c r="G750" s="1480">
        <v>10.19</v>
      </c>
      <c r="H750" s="1414">
        <v>10.37</v>
      </c>
      <c r="I750" s="1477">
        <f t="shared" si="267"/>
        <v>946.8</v>
      </c>
      <c r="J750" s="1477">
        <f t="shared" si="268"/>
        <v>976.51</v>
      </c>
      <c r="K750" s="1477">
        <v>0</v>
      </c>
      <c r="L750" s="1477">
        <f t="shared" si="273"/>
        <v>0</v>
      </c>
      <c r="M750" s="1477">
        <v>95.83</v>
      </c>
      <c r="N750" s="1477">
        <f t="shared" si="274"/>
        <v>95.83</v>
      </c>
      <c r="O750" s="1477">
        <f t="shared" si="275"/>
        <v>0</v>
      </c>
      <c r="P750" s="1477">
        <f t="shared" si="276"/>
        <v>976.51</v>
      </c>
      <c r="Q750" s="1477">
        <f t="shared" si="277"/>
        <v>993.76</v>
      </c>
      <c r="R750" s="1576">
        <f t="shared" si="278"/>
        <v>993.76</v>
      </c>
      <c r="S750" s="1869">
        <v>95.83</v>
      </c>
      <c r="T750" s="1866">
        <v>993.75709999999992</v>
      </c>
      <c r="U750" s="2442"/>
      <c r="V750" s="1866">
        <f t="shared" si="281"/>
        <v>0</v>
      </c>
      <c r="W750" s="1869">
        <f>S750+U750</f>
        <v>95.83</v>
      </c>
      <c r="X750" s="1870">
        <f t="shared" si="279"/>
        <v>993.75709999999992</v>
      </c>
      <c r="Y750" s="1871">
        <f t="shared" si="282"/>
        <v>0.99999708179037183</v>
      </c>
      <c r="Z750" s="1694">
        <f>+E750-W750</f>
        <v>0</v>
      </c>
      <c r="AA750" s="1872">
        <f t="shared" si="283"/>
        <v>0</v>
      </c>
      <c r="AB750" s="1873">
        <f t="shared" si="284"/>
        <v>0</v>
      </c>
      <c r="AC750" s="1418">
        <f t="shared" si="269"/>
        <v>2.9000000000678483E-3</v>
      </c>
      <c r="AD750" s="1418">
        <f t="shared" si="270"/>
        <v>0</v>
      </c>
      <c r="AE750" s="1418">
        <v>993.75709999999992</v>
      </c>
      <c r="AF750" s="1418">
        <f t="shared" si="271"/>
        <v>-2.9000000000678483E-3</v>
      </c>
      <c r="AG750" s="1418">
        <v>10.37</v>
      </c>
      <c r="AH750" s="1418">
        <f t="shared" si="272"/>
        <v>0</v>
      </c>
      <c r="AI750" s="1428"/>
      <c r="AO750" s="2504">
        <v>993.75709999999992</v>
      </c>
      <c r="AP750" s="1418">
        <f t="shared" si="280"/>
        <v>0</v>
      </c>
    </row>
    <row r="751" spans="1:42" s="1410" customFormat="1" ht="15.75">
      <c r="A751" s="2102"/>
      <c r="B751" s="1272" t="s">
        <v>1926</v>
      </c>
      <c r="C751" s="1262" t="s">
        <v>3513</v>
      </c>
      <c r="D751" s="1273"/>
      <c r="E751" s="1415"/>
      <c r="F751" s="1267"/>
      <c r="G751" s="1480"/>
      <c r="H751" s="1416"/>
      <c r="I751" s="1477">
        <f t="shared" si="267"/>
        <v>0</v>
      </c>
      <c r="J751" s="1477">
        <f t="shared" si="268"/>
        <v>0</v>
      </c>
      <c r="K751" s="1477"/>
      <c r="L751" s="1477">
        <f t="shared" si="273"/>
        <v>0</v>
      </c>
      <c r="M751" s="1477"/>
      <c r="N751" s="1477">
        <f t="shared" si="274"/>
        <v>0</v>
      </c>
      <c r="O751" s="1477">
        <f t="shared" si="275"/>
        <v>0</v>
      </c>
      <c r="P751" s="1477">
        <f t="shared" si="276"/>
        <v>0</v>
      </c>
      <c r="Q751" s="1477">
        <f t="shared" si="277"/>
        <v>0</v>
      </c>
      <c r="R751" s="1576">
        <f t="shared" si="278"/>
        <v>0</v>
      </c>
      <c r="S751" s="1869"/>
      <c r="T751" s="1866"/>
      <c r="U751" s="2442"/>
      <c r="V751" s="1866">
        <f t="shared" si="281"/>
        <v>0</v>
      </c>
      <c r="W751" s="1869"/>
      <c r="X751" s="1870"/>
      <c r="Y751" s="1871" t="str">
        <f t="shared" si="282"/>
        <v/>
      </c>
      <c r="Z751" s="1694"/>
      <c r="AA751" s="1872">
        <f t="shared" si="283"/>
        <v>0</v>
      </c>
      <c r="AB751" s="1873" t="str">
        <f t="shared" si="284"/>
        <v/>
      </c>
      <c r="AC751" s="1418">
        <f t="shared" si="269"/>
        <v>0</v>
      </c>
      <c r="AD751" s="1418">
        <f t="shared" si="270"/>
        <v>0</v>
      </c>
      <c r="AE751" s="1418"/>
      <c r="AF751" s="1418">
        <f t="shared" si="271"/>
        <v>0</v>
      </c>
      <c r="AG751" s="1418"/>
      <c r="AH751" s="1418">
        <f t="shared" si="272"/>
        <v>0</v>
      </c>
      <c r="AI751" s="1428"/>
      <c r="AO751" s="2504"/>
      <c r="AP751" s="1418">
        <f t="shared" si="280"/>
        <v>0</v>
      </c>
    </row>
    <row r="752" spans="1:42" s="1410" customFormat="1" ht="15.75">
      <c r="A752" s="2102"/>
      <c r="B752" s="1268" t="s">
        <v>2769</v>
      </c>
      <c r="C752" s="1241" t="s">
        <v>3514</v>
      </c>
      <c r="D752" s="1245" t="s">
        <v>38</v>
      </c>
      <c r="E752" s="1413">
        <v>84.4</v>
      </c>
      <c r="F752" s="1555">
        <v>6.26</v>
      </c>
      <c r="G752" s="1480">
        <v>6.72</v>
      </c>
      <c r="H752" s="1414">
        <v>6.96</v>
      </c>
      <c r="I752" s="1477">
        <f t="shared" si="267"/>
        <v>528.34</v>
      </c>
      <c r="J752" s="1477">
        <f t="shared" si="268"/>
        <v>567.16999999999996</v>
      </c>
      <c r="K752" s="1477">
        <v>0</v>
      </c>
      <c r="L752" s="1477">
        <f t="shared" si="273"/>
        <v>0</v>
      </c>
      <c r="M752" s="1477">
        <v>84.4</v>
      </c>
      <c r="N752" s="1477">
        <f t="shared" si="274"/>
        <v>84.4</v>
      </c>
      <c r="O752" s="1477">
        <f t="shared" si="275"/>
        <v>0</v>
      </c>
      <c r="P752" s="1477">
        <f t="shared" si="276"/>
        <v>567.16999999999996</v>
      </c>
      <c r="Q752" s="1477">
        <f t="shared" si="277"/>
        <v>587.41999999999996</v>
      </c>
      <c r="R752" s="1576">
        <f t="shared" si="278"/>
        <v>587.41999999999996</v>
      </c>
      <c r="S752" s="1869">
        <v>0</v>
      </c>
      <c r="T752" s="1866">
        <v>0</v>
      </c>
      <c r="U752" s="2442"/>
      <c r="V752" s="1866">
        <f t="shared" si="281"/>
        <v>0</v>
      </c>
      <c r="W752" s="1869">
        <f>S752+U752</f>
        <v>0</v>
      </c>
      <c r="X752" s="1870">
        <f t="shared" si="279"/>
        <v>0</v>
      </c>
      <c r="Y752" s="1871">
        <f t="shared" si="282"/>
        <v>0</v>
      </c>
      <c r="Z752" s="1694">
        <f>+E752-W752</f>
        <v>84.4</v>
      </c>
      <c r="AA752" s="1872">
        <f t="shared" si="283"/>
        <v>587.42400000000009</v>
      </c>
      <c r="AB752" s="1873">
        <f t="shared" si="284"/>
        <v>1.0000068094378811</v>
      </c>
      <c r="AC752" s="1418">
        <f t="shared" si="269"/>
        <v>-4.0000000001327862E-3</v>
      </c>
      <c r="AD752" s="1418">
        <f t="shared" si="270"/>
        <v>0</v>
      </c>
      <c r="AE752" s="1418">
        <v>587.42400000000009</v>
      </c>
      <c r="AF752" s="1418">
        <f t="shared" si="271"/>
        <v>4.0000000001327862E-3</v>
      </c>
      <c r="AG752" s="1418">
        <v>6.96</v>
      </c>
      <c r="AH752" s="1418">
        <f t="shared" si="272"/>
        <v>0</v>
      </c>
      <c r="AI752" s="1428"/>
      <c r="AO752" s="2504">
        <v>0</v>
      </c>
      <c r="AP752" s="1418">
        <f t="shared" si="280"/>
        <v>0</v>
      </c>
    </row>
    <row r="753" spans="1:42" s="1410" customFormat="1" ht="15.75">
      <c r="A753" s="2102"/>
      <c r="B753" s="1268" t="s">
        <v>2770</v>
      </c>
      <c r="C753" s="1241" t="s">
        <v>3515</v>
      </c>
      <c r="D753" s="1245" t="s">
        <v>38</v>
      </c>
      <c r="E753" s="1413">
        <v>282.2</v>
      </c>
      <c r="F753" s="1555">
        <v>11.56</v>
      </c>
      <c r="G753" s="1480">
        <v>12.02</v>
      </c>
      <c r="H753" s="1414">
        <v>12.26</v>
      </c>
      <c r="I753" s="1477">
        <f t="shared" si="267"/>
        <v>3262.23</v>
      </c>
      <c r="J753" s="1477">
        <f t="shared" si="268"/>
        <v>3392.04</v>
      </c>
      <c r="K753" s="1477">
        <v>0</v>
      </c>
      <c r="L753" s="1477">
        <f t="shared" si="273"/>
        <v>0</v>
      </c>
      <c r="M753" s="1477">
        <v>282.2</v>
      </c>
      <c r="N753" s="1477">
        <f t="shared" si="274"/>
        <v>282.2</v>
      </c>
      <c r="O753" s="1477">
        <f t="shared" si="275"/>
        <v>0</v>
      </c>
      <c r="P753" s="1477">
        <f t="shared" si="276"/>
        <v>3392.04</v>
      </c>
      <c r="Q753" s="1477">
        <f t="shared" si="277"/>
        <v>3459.77</v>
      </c>
      <c r="R753" s="1576">
        <f t="shared" si="278"/>
        <v>3459.77</v>
      </c>
      <c r="S753" s="1869">
        <v>0</v>
      </c>
      <c r="T753" s="1866">
        <v>0</v>
      </c>
      <c r="U753" s="2442"/>
      <c r="V753" s="1866">
        <f t="shared" si="281"/>
        <v>0</v>
      </c>
      <c r="W753" s="1869">
        <f>S753+U753</f>
        <v>0</v>
      </c>
      <c r="X753" s="1870">
        <f t="shared" si="279"/>
        <v>0</v>
      </c>
      <c r="Y753" s="1871">
        <f t="shared" si="282"/>
        <v>0</v>
      </c>
      <c r="Z753" s="1694">
        <f>+E753-W753</f>
        <v>282.2</v>
      </c>
      <c r="AA753" s="1872">
        <f t="shared" si="283"/>
        <v>3459.7719999999999</v>
      </c>
      <c r="AB753" s="1873">
        <f t="shared" si="284"/>
        <v>1.0000005780731089</v>
      </c>
      <c r="AC753" s="1418">
        <f t="shared" si="269"/>
        <v>-1.9999999999527063E-3</v>
      </c>
      <c r="AD753" s="1418">
        <f t="shared" si="270"/>
        <v>0</v>
      </c>
      <c r="AE753" s="1418">
        <v>3459.7719999999999</v>
      </c>
      <c r="AF753" s="1418">
        <f t="shared" si="271"/>
        <v>1.9999999999527063E-3</v>
      </c>
      <c r="AG753" s="1418">
        <v>12.26</v>
      </c>
      <c r="AH753" s="1418">
        <f t="shared" si="272"/>
        <v>0</v>
      </c>
      <c r="AI753" s="1428"/>
      <c r="AO753" s="2504">
        <v>0</v>
      </c>
      <c r="AP753" s="1418">
        <f t="shared" si="280"/>
        <v>0</v>
      </c>
    </row>
    <row r="754" spans="1:42" s="1410" customFormat="1" ht="15.75">
      <c r="A754" s="2102"/>
      <c r="B754" s="1268" t="s">
        <v>2771</v>
      </c>
      <c r="C754" s="1241" t="s">
        <v>3516</v>
      </c>
      <c r="D754" s="1245" t="s">
        <v>38</v>
      </c>
      <c r="E754" s="1413">
        <v>123.53</v>
      </c>
      <c r="F754" s="1555">
        <v>12.38</v>
      </c>
      <c r="G754" s="1480">
        <v>12.84</v>
      </c>
      <c r="H754" s="1414">
        <v>13.08</v>
      </c>
      <c r="I754" s="1477">
        <f t="shared" si="267"/>
        <v>1529.3</v>
      </c>
      <c r="J754" s="1477">
        <f t="shared" si="268"/>
        <v>1586.13</v>
      </c>
      <c r="K754" s="1477">
        <v>0</v>
      </c>
      <c r="L754" s="1477">
        <f t="shared" si="273"/>
        <v>0</v>
      </c>
      <c r="M754" s="1477">
        <v>123.53</v>
      </c>
      <c r="N754" s="1477">
        <f t="shared" si="274"/>
        <v>123.53</v>
      </c>
      <c r="O754" s="1477">
        <f t="shared" si="275"/>
        <v>0</v>
      </c>
      <c r="P754" s="1477">
        <f t="shared" si="276"/>
        <v>1586.13</v>
      </c>
      <c r="Q754" s="1477">
        <f t="shared" si="277"/>
        <v>1615.77</v>
      </c>
      <c r="R754" s="1576">
        <f t="shared" si="278"/>
        <v>1615.77</v>
      </c>
      <c r="S754" s="1869">
        <v>0</v>
      </c>
      <c r="T754" s="1866">
        <v>0</v>
      </c>
      <c r="U754" s="2442"/>
      <c r="V754" s="1866">
        <f t="shared" si="281"/>
        <v>0</v>
      </c>
      <c r="W754" s="1869">
        <f>S754+U754</f>
        <v>0</v>
      </c>
      <c r="X754" s="1870">
        <f t="shared" si="279"/>
        <v>0</v>
      </c>
      <c r="Y754" s="1871">
        <f t="shared" si="282"/>
        <v>0</v>
      </c>
      <c r="Z754" s="1694">
        <f>+E754-W754</f>
        <v>123.53</v>
      </c>
      <c r="AA754" s="1872">
        <f t="shared" si="283"/>
        <v>1615.7724000000001</v>
      </c>
      <c r="AB754" s="1873">
        <f t="shared" si="284"/>
        <v>1.0000014853599213</v>
      </c>
      <c r="AC754" s="1418">
        <f t="shared" si="269"/>
        <v>-2.4000000000796717E-3</v>
      </c>
      <c r="AD754" s="1418">
        <f t="shared" si="270"/>
        <v>0</v>
      </c>
      <c r="AE754" s="1418">
        <v>1615.7724000000001</v>
      </c>
      <c r="AF754" s="1418">
        <f t="shared" si="271"/>
        <v>2.4000000000796717E-3</v>
      </c>
      <c r="AG754" s="1418">
        <v>13.08</v>
      </c>
      <c r="AH754" s="1418">
        <f t="shared" si="272"/>
        <v>0</v>
      </c>
      <c r="AI754" s="1428"/>
      <c r="AO754" s="2504">
        <v>0</v>
      </c>
      <c r="AP754" s="1418">
        <f t="shared" si="280"/>
        <v>0</v>
      </c>
    </row>
    <row r="755" spans="1:42" s="1410" customFormat="1" ht="15.75">
      <c r="A755" s="2102"/>
      <c r="B755" s="1268" t="s">
        <v>2772</v>
      </c>
      <c r="C755" s="1241" t="s">
        <v>3517</v>
      </c>
      <c r="D755" s="1245" t="s">
        <v>38</v>
      </c>
      <c r="E755" s="1413">
        <v>472.23</v>
      </c>
      <c r="F755" s="1555">
        <v>6.97</v>
      </c>
      <c r="G755" s="1480">
        <v>7.43</v>
      </c>
      <c r="H755" s="1414">
        <v>7.67</v>
      </c>
      <c r="I755" s="1477">
        <f t="shared" si="267"/>
        <v>3291.44</v>
      </c>
      <c r="J755" s="1477">
        <f t="shared" si="268"/>
        <v>3508.67</v>
      </c>
      <c r="K755" s="1477">
        <v>0</v>
      </c>
      <c r="L755" s="1477">
        <f t="shared" si="273"/>
        <v>0</v>
      </c>
      <c r="M755" s="1477">
        <v>472.23</v>
      </c>
      <c r="N755" s="1477">
        <f t="shared" si="274"/>
        <v>472.23</v>
      </c>
      <c r="O755" s="1477">
        <f t="shared" si="275"/>
        <v>0</v>
      </c>
      <c r="P755" s="1477">
        <f t="shared" si="276"/>
        <v>3508.67</v>
      </c>
      <c r="Q755" s="1477">
        <f t="shared" si="277"/>
        <v>3622</v>
      </c>
      <c r="R755" s="1576">
        <f t="shared" si="278"/>
        <v>3622</v>
      </c>
      <c r="S755" s="1869">
        <v>472.23</v>
      </c>
      <c r="T755" s="1866">
        <v>3622.0041000000001</v>
      </c>
      <c r="U755" s="2442"/>
      <c r="V755" s="1866">
        <f t="shared" si="281"/>
        <v>0</v>
      </c>
      <c r="W755" s="1869">
        <f>S755+U755</f>
        <v>472.23</v>
      </c>
      <c r="X755" s="1870">
        <f t="shared" si="279"/>
        <v>3622.0041000000001</v>
      </c>
      <c r="Y755" s="1871">
        <f t="shared" si="282"/>
        <v>1.0000011319712867</v>
      </c>
      <c r="Z755" s="1694">
        <f>+E755-W755</f>
        <v>0</v>
      </c>
      <c r="AA755" s="1872">
        <f t="shared" si="283"/>
        <v>0</v>
      </c>
      <c r="AB755" s="1873">
        <f t="shared" si="284"/>
        <v>0</v>
      </c>
      <c r="AC755" s="1418">
        <f t="shared" si="269"/>
        <v>-4.1000000001076842E-3</v>
      </c>
      <c r="AD755" s="1418">
        <f t="shared" si="270"/>
        <v>0</v>
      </c>
      <c r="AE755" s="1418">
        <v>3622.0041000000001</v>
      </c>
      <c r="AF755" s="1418">
        <f t="shared" si="271"/>
        <v>4.1000000001076842E-3</v>
      </c>
      <c r="AG755" s="1418">
        <v>7.67</v>
      </c>
      <c r="AH755" s="1418">
        <f t="shared" si="272"/>
        <v>0</v>
      </c>
      <c r="AI755" s="1428"/>
      <c r="AO755" s="2504">
        <v>3622.0041000000001</v>
      </c>
      <c r="AP755" s="1418">
        <f t="shared" si="280"/>
        <v>0</v>
      </c>
    </row>
    <row r="756" spans="1:42" s="1410" customFormat="1" ht="15.75">
      <c r="A756" s="2102"/>
      <c r="B756" s="1268" t="s">
        <v>2773</v>
      </c>
      <c r="C756" s="1241" t="s">
        <v>3518</v>
      </c>
      <c r="D756" s="1245" t="s">
        <v>38</v>
      </c>
      <c r="E756" s="1413">
        <v>255.47</v>
      </c>
      <c r="F756" s="1555">
        <v>6.76</v>
      </c>
      <c r="G756" s="1480">
        <v>7.22</v>
      </c>
      <c r="H756" s="1414">
        <v>7.46</v>
      </c>
      <c r="I756" s="1477">
        <f t="shared" si="267"/>
        <v>1726.98</v>
      </c>
      <c r="J756" s="1477">
        <f t="shared" si="268"/>
        <v>1844.49</v>
      </c>
      <c r="K756" s="1477">
        <v>0</v>
      </c>
      <c r="L756" s="1477">
        <f t="shared" si="273"/>
        <v>0</v>
      </c>
      <c r="M756" s="1477">
        <v>255.47</v>
      </c>
      <c r="N756" s="1477">
        <f t="shared" si="274"/>
        <v>255.47</v>
      </c>
      <c r="O756" s="1477">
        <f t="shared" si="275"/>
        <v>0</v>
      </c>
      <c r="P756" s="1477">
        <f t="shared" si="276"/>
        <v>1844.49</v>
      </c>
      <c r="Q756" s="1477">
        <f t="shared" si="277"/>
        <v>1905.81</v>
      </c>
      <c r="R756" s="1576">
        <f t="shared" si="278"/>
        <v>1905.81</v>
      </c>
      <c r="S756" s="1869">
        <v>255.47</v>
      </c>
      <c r="T756" s="1866">
        <v>1905.8062</v>
      </c>
      <c r="U756" s="2442"/>
      <c r="V756" s="1866">
        <f t="shared" si="281"/>
        <v>0</v>
      </c>
      <c r="W756" s="1869">
        <f>S756+U756</f>
        <v>255.47</v>
      </c>
      <c r="X756" s="1870">
        <f t="shared" si="279"/>
        <v>1905.8062</v>
      </c>
      <c r="Y756" s="1871">
        <f t="shared" si="282"/>
        <v>0.99999800609714506</v>
      </c>
      <c r="Z756" s="1694">
        <f>+E756-W756</f>
        <v>0</v>
      </c>
      <c r="AA756" s="1872">
        <f t="shared" si="283"/>
        <v>0</v>
      </c>
      <c r="AB756" s="1873">
        <f t="shared" si="284"/>
        <v>0</v>
      </c>
      <c r="AC756" s="1418">
        <f t="shared" si="269"/>
        <v>3.7999999999556167E-3</v>
      </c>
      <c r="AD756" s="1418">
        <f t="shared" si="270"/>
        <v>0</v>
      </c>
      <c r="AE756" s="1418">
        <v>1905.8062</v>
      </c>
      <c r="AF756" s="1418">
        <f t="shared" si="271"/>
        <v>-3.7999999999556167E-3</v>
      </c>
      <c r="AG756" s="1418">
        <v>7.46</v>
      </c>
      <c r="AH756" s="1418">
        <f t="shared" si="272"/>
        <v>0</v>
      </c>
      <c r="AI756" s="1428"/>
      <c r="AO756" s="2504">
        <v>1905.8062</v>
      </c>
      <c r="AP756" s="1418">
        <f t="shared" si="280"/>
        <v>0</v>
      </c>
    </row>
    <row r="757" spans="1:42" s="1410" customFormat="1" ht="15.75">
      <c r="A757" s="2102"/>
      <c r="B757" s="1272" t="s">
        <v>1928</v>
      </c>
      <c r="C757" s="1262" t="s">
        <v>3519</v>
      </c>
      <c r="D757" s="1273"/>
      <c r="E757" s="1415"/>
      <c r="F757" s="1267"/>
      <c r="G757" s="1480"/>
      <c r="H757" s="1416"/>
      <c r="I757" s="1477">
        <f t="shared" si="267"/>
        <v>0</v>
      </c>
      <c r="J757" s="1477">
        <f t="shared" si="268"/>
        <v>0</v>
      </c>
      <c r="K757" s="1477"/>
      <c r="L757" s="1477">
        <f t="shared" si="273"/>
        <v>0</v>
      </c>
      <c r="M757" s="1477"/>
      <c r="N757" s="1477">
        <f t="shared" si="274"/>
        <v>0</v>
      </c>
      <c r="O757" s="1477">
        <f t="shared" si="275"/>
        <v>0</v>
      </c>
      <c r="P757" s="1477">
        <f t="shared" si="276"/>
        <v>0</v>
      </c>
      <c r="Q757" s="1477">
        <f t="shared" si="277"/>
        <v>0</v>
      </c>
      <c r="R757" s="1576">
        <f t="shared" si="278"/>
        <v>0</v>
      </c>
      <c r="S757" s="1869"/>
      <c r="T757" s="1866"/>
      <c r="U757" s="2442"/>
      <c r="V757" s="1866">
        <f t="shared" si="281"/>
        <v>0</v>
      </c>
      <c r="W757" s="1869"/>
      <c r="X757" s="1870"/>
      <c r="Y757" s="1871" t="str">
        <f t="shared" si="282"/>
        <v/>
      </c>
      <c r="Z757" s="1694"/>
      <c r="AA757" s="1872">
        <f t="shared" si="283"/>
        <v>0</v>
      </c>
      <c r="AB757" s="1873" t="str">
        <f t="shared" si="284"/>
        <v/>
      </c>
      <c r="AC757" s="1418">
        <f t="shared" si="269"/>
        <v>0</v>
      </c>
      <c r="AD757" s="1418">
        <f t="shared" si="270"/>
        <v>0</v>
      </c>
      <c r="AE757" s="1418"/>
      <c r="AF757" s="1418">
        <f t="shared" si="271"/>
        <v>0</v>
      </c>
      <c r="AG757" s="1418"/>
      <c r="AH757" s="1418">
        <f t="shared" si="272"/>
        <v>0</v>
      </c>
      <c r="AI757" s="1428"/>
      <c r="AO757" s="2504"/>
      <c r="AP757" s="1418">
        <f t="shared" si="280"/>
        <v>0</v>
      </c>
    </row>
    <row r="758" spans="1:42" s="1410" customFormat="1" ht="15.75">
      <c r="A758" s="2102"/>
      <c r="B758" s="1268" t="s">
        <v>2774</v>
      </c>
      <c r="C758" s="1241" t="s">
        <v>3520</v>
      </c>
      <c r="D758" s="1245" t="s">
        <v>36</v>
      </c>
      <c r="E758" s="1413">
        <v>15</v>
      </c>
      <c r="F758" s="1555">
        <v>397.6</v>
      </c>
      <c r="G758" s="1480">
        <v>399.12</v>
      </c>
      <c r="H758" s="1414">
        <v>399.93</v>
      </c>
      <c r="I758" s="1477">
        <f t="shared" si="267"/>
        <v>5964</v>
      </c>
      <c r="J758" s="1477">
        <f t="shared" si="268"/>
        <v>5986.8</v>
      </c>
      <c r="K758" s="1477">
        <v>0</v>
      </c>
      <c r="L758" s="1477">
        <f t="shared" si="273"/>
        <v>0</v>
      </c>
      <c r="M758" s="1477">
        <v>15</v>
      </c>
      <c r="N758" s="1477">
        <f t="shared" si="274"/>
        <v>15</v>
      </c>
      <c r="O758" s="1477">
        <f t="shared" si="275"/>
        <v>0</v>
      </c>
      <c r="P758" s="1477">
        <f t="shared" si="276"/>
        <v>5986.8</v>
      </c>
      <c r="Q758" s="1477">
        <f t="shared" si="277"/>
        <v>5998.95</v>
      </c>
      <c r="R758" s="1576">
        <f t="shared" si="278"/>
        <v>5998.95</v>
      </c>
      <c r="S758" s="1869">
        <v>0</v>
      </c>
      <c r="T758" s="1866">
        <v>0</v>
      </c>
      <c r="U758" s="2442"/>
      <c r="V758" s="1866">
        <f t="shared" si="281"/>
        <v>0</v>
      </c>
      <c r="W758" s="1869">
        <f>S758+U758</f>
        <v>0</v>
      </c>
      <c r="X758" s="1870">
        <f t="shared" si="279"/>
        <v>0</v>
      </c>
      <c r="Y758" s="1871">
        <f t="shared" si="282"/>
        <v>0</v>
      </c>
      <c r="Z758" s="1694">
        <f>+E758-W758</f>
        <v>15</v>
      </c>
      <c r="AA758" s="1872">
        <f t="shared" si="283"/>
        <v>5998.95</v>
      </c>
      <c r="AB758" s="1873">
        <f t="shared" si="284"/>
        <v>1</v>
      </c>
      <c r="AC758" s="1418">
        <f t="shared" si="269"/>
        <v>0</v>
      </c>
      <c r="AD758" s="1418">
        <f t="shared" si="270"/>
        <v>0</v>
      </c>
      <c r="AE758" s="1418">
        <v>5998.95</v>
      </c>
      <c r="AF758" s="1418">
        <f t="shared" si="271"/>
        <v>0</v>
      </c>
      <c r="AG758" s="1418">
        <v>399.93</v>
      </c>
      <c r="AH758" s="1418">
        <f t="shared" si="272"/>
        <v>0</v>
      </c>
      <c r="AI758" s="1428"/>
      <c r="AO758" s="2504">
        <v>0</v>
      </c>
      <c r="AP758" s="1418">
        <f t="shared" si="280"/>
        <v>0</v>
      </c>
    </row>
    <row r="759" spans="1:42" s="1410" customFormat="1" ht="15.75">
      <c r="A759" s="2102"/>
      <c r="B759" s="1272" t="s">
        <v>1929</v>
      </c>
      <c r="C759" s="1262" t="s">
        <v>3521</v>
      </c>
      <c r="D759" s="1273"/>
      <c r="E759" s="1415"/>
      <c r="F759" s="1267"/>
      <c r="G759" s="1480"/>
      <c r="H759" s="1416"/>
      <c r="I759" s="1477">
        <f t="shared" si="267"/>
        <v>0</v>
      </c>
      <c r="J759" s="1477">
        <f t="shared" si="268"/>
        <v>0</v>
      </c>
      <c r="K759" s="1477"/>
      <c r="L759" s="1477">
        <f t="shared" si="273"/>
        <v>0</v>
      </c>
      <c r="M759" s="1477"/>
      <c r="N759" s="1477">
        <f t="shared" si="274"/>
        <v>0</v>
      </c>
      <c r="O759" s="1477">
        <f t="shared" si="275"/>
        <v>0</v>
      </c>
      <c r="P759" s="1477">
        <f t="shared" si="276"/>
        <v>0</v>
      </c>
      <c r="Q759" s="1477">
        <f t="shared" si="277"/>
        <v>0</v>
      </c>
      <c r="R759" s="1576">
        <f t="shared" si="278"/>
        <v>0</v>
      </c>
      <c r="S759" s="1869"/>
      <c r="T759" s="1866"/>
      <c r="U759" s="2442"/>
      <c r="V759" s="1866">
        <f t="shared" si="281"/>
        <v>0</v>
      </c>
      <c r="W759" s="1869"/>
      <c r="X759" s="1870"/>
      <c r="Y759" s="1871" t="str">
        <f t="shared" si="282"/>
        <v/>
      </c>
      <c r="Z759" s="1694"/>
      <c r="AA759" s="1872">
        <f t="shared" si="283"/>
        <v>0</v>
      </c>
      <c r="AB759" s="1873" t="str">
        <f t="shared" si="284"/>
        <v/>
      </c>
      <c r="AC759" s="1418">
        <f t="shared" si="269"/>
        <v>0</v>
      </c>
      <c r="AD759" s="1418">
        <f t="shared" si="270"/>
        <v>0</v>
      </c>
      <c r="AE759" s="1418"/>
      <c r="AF759" s="1418">
        <f t="shared" si="271"/>
        <v>0</v>
      </c>
      <c r="AG759" s="1418"/>
      <c r="AH759" s="1418">
        <f t="shared" si="272"/>
        <v>0</v>
      </c>
      <c r="AI759" s="1428"/>
      <c r="AO759" s="2504"/>
      <c r="AP759" s="1418">
        <f t="shared" si="280"/>
        <v>0</v>
      </c>
    </row>
    <row r="760" spans="1:42" s="1410" customFormat="1" ht="15.75">
      <c r="A760" s="2102"/>
      <c r="B760" s="1268" t="s">
        <v>2775</v>
      </c>
      <c r="C760" s="2131" t="s">
        <v>3522</v>
      </c>
      <c r="D760" s="1245" t="s">
        <v>36</v>
      </c>
      <c r="E760" s="1413">
        <v>15</v>
      </c>
      <c r="F760" s="1555">
        <v>1551.35</v>
      </c>
      <c r="G760" s="1480">
        <v>1555.68</v>
      </c>
      <c r="H760" s="1414">
        <v>1558.12</v>
      </c>
      <c r="I760" s="1477">
        <f t="shared" si="267"/>
        <v>23270.25</v>
      </c>
      <c r="J760" s="1477">
        <f t="shared" si="268"/>
        <v>23335.200000000001</v>
      </c>
      <c r="K760" s="1477">
        <v>0</v>
      </c>
      <c r="L760" s="1477">
        <f t="shared" si="273"/>
        <v>0</v>
      </c>
      <c r="M760" s="1477">
        <v>15</v>
      </c>
      <c r="N760" s="1477">
        <f t="shared" si="274"/>
        <v>15</v>
      </c>
      <c r="O760" s="1477">
        <f t="shared" si="275"/>
        <v>0</v>
      </c>
      <c r="P760" s="1477">
        <f t="shared" si="276"/>
        <v>23335.200000000001</v>
      </c>
      <c r="Q760" s="1477">
        <f t="shared" si="277"/>
        <v>23371.8</v>
      </c>
      <c r="R760" s="1576">
        <f t="shared" si="278"/>
        <v>23371.8</v>
      </c>
      <c r="S760" s="1869">
        <v>0</v>
      </c>
      <c r="T760" s="1866">
        <v>0</v>
      </c>
      <c r="U760" s="2442"/>
      <c r="V760" s="1866">
        <f t="shared" si="281"/>
        <v>0</v>
      </c>
      <c r="W760" s="1869">
        <f>S760+U760</f>
        <v>0</v>
      </c>
      <c r="X760" s="1870">
        <f t="shared" si="279"/>
        <v>0</v>
      </c>
      <c r="Y760" s="1871">
        <f t="shared" si="282"/>
        <v>0</v>
      </c>
      <c r="Z760" s="1694">
        <f>+E760-W760</f>
        <v>15</v>
      </c>
      <c r="AA760" s="1872">
        <f t="shared" si="283"/>
        <v>23371.8</v>
      </c>
      <c r="AB760" s="1873">
        <f t="shared" si="284"/>
        <v>1</v>
      </c>
      <c r="AC760" s="1418">
        <f t="shared" si="269"/>
        <v>0</v>
      </c>
      <c r="AD760" s="1418">
        <f t="shared" si="270"/>
        <v>0</v>
      </c>
      <c r="AE760" s="1418">
        <v>23371.8</v>
      </c>
      <c r="AF760" s="1418">
        <f t="shared" si="271"/>
        <v>0</v>
      </c>
      <c r="AG760" s="1418">
        <v>1558.12</v>
      </c>
      <c r="AH760" s="1418">
        <f t="shared" si="272"/>
        <v>0</v>
      </c>
      <c r="AI760" s="1428"/>
      <c r="AO760" s="2504">
        <v>0</v>
      </c>
      <c r="AP760" s="1418">
        <f t="shared" si="280"/>
        <v>0</v>
      </c>
    </row>
    <row r="761" spans="1:42" s="1410" customFormat="1" ht="15.75">
      <c r="A761" s="2102"/>
      <c r="B761" s="1268" t="s">
        <v>2776</v>
      </c>
      <c r="C761" s="1241" t="s">
        <v>3523</v>
      </c>
      <c r="D761" s="1245" t="s">
        <v>36</v>
      </c>
      <c r="E761" s="1413">
        <v>1</v>
      </c>
      <c r="F761" s="1555">
        <v>1925.37</v>
      </c>
      <c r="G761" s="1480">
        <v>1929.7</v>
      </c>
      <c r="H761" s="1414">
        <v>1932.14</v>
      </c>
      <c r="I761" s="1477">
        <f t="shared" si="267"/>
        <v>1925.37</v>
      </c>
      <c r="J761" s="1477">
        <f t="shared" si="268"/>
        <v>1929.7</v>
      </c>
      <c r="K761" s="1477">
        <v>0</v>
      </c>
      <c r="L761" s="1477">
        <f t="shared" si="273"/>
        <v>0</v>
      </c>
      <c r="M761" s="1477">
        <v>1</v>
      </c>
      <c r="N761" s="1477">
        <f t="shared" si="274"/>
        <v>1</v>
      </c>
      <c r="O761" s="1477">
        <f t="shared" si="275"/>
        <v>0</v>
      </c>
      <c r="P761" s="1477">
        <f t="shared" si="276"/>
        <v>1929.7</v>
      </c>
      <c r="Q761" s="1477">
        <f t="shared" si="277"/>
        <v>1932.14</v>
      </c>
      <c r="R761" s="1576">
        <f t="shared" si="278"/>
        <v>1932.14</v>
      </c>
      <c r="S761" s="1869">
        <v>1</v>
      </c>
      <c r="T761" s="1866">
        <v>1932.14</v>
      </c>
      <c r="U761" s="2442"/>
      <c r="V761" s="1866">
        <f t="shared" si="281"/>
        <v>0</v>
      </c>
      <c r="W761" s="1869">
        <f>S761+U761</f>
        <v>1</v>
      </c>
      <c r="X761" s="1870">
        <f t="shared" si="279"/>
        <v>1932.14</v>
      </c>
      <c r="Y761" s="1871">
        <f t="shared" si="282"/>
        <v>1</v>
      </c>
      <c r="Z761" s="1694">
        <f>+E761-W761</f>
        <v>0</v>
      </c>
      <c r="AA761" s="1872">
        <f t="shared" si="283"/>
        <v>0</v>
      </c>
      <c r="AB761" s="1873">
        <f t="shared" si="284"/>
        <v>0</v>
      </c>
      <c r="AC761" s="1418">
        <f t="shared" si="269"/>
        <v>0</v>
      </c>
      <c r="AD761" s="1418">
        <f t="shared" si="270"/>
        <v>0</v>
      </c>
      <c r="AE761" s="1418">
        <v>1932.14</v>
      </c>
      <c r="AF761" s="1418">
        <f t="shared" si="271"/>
        <v>0</v>
      </c>
      <c r="AG761" s="1418">
        <v>1932.14</v>
      </c>
      <c r="AH761" s="1418">
        <f t="shared" si="272"/>
        <v>0</v>
      </c>
      <c r="AI761" s="1428"/>
      <c r="AO761" s="2504">
        <v>1932.14</v>
      </c>
      <c r="AP761" s="1418">
        <f t="shared" si="280"/>
        <v>0</v>
      </c>
    </row>
    <row r="762" spans="1:42" s="1410" customFormat="1" ht="15.75">
      <c r="A762" s="2102"/>
      <c r="B762" s="1272" t="s">
        <v>1930</v>
      </c>
      <c r="C762" s="1262" t="s">
        <v>3524</v>
      </c>
      <c r="D762" s="1273"/>
      <c r="E762" s="1415"/>
      <c r="F762" s="1267"/>
      <c r="G762" s="1480"/>
      <c r="H762" s="1416"/>
      <c r="I762" s="1477">
        <f t="shared" si="267"/>
        <v>0</v>
      </c>
      <c r="J762" s="1477">
        <f t="shared" si="268"/>
        <v>0</v>
      </c>
      <c r="K762" s="1477"/>
      <c r="L762" s="1477">
        <f t="shared" si="273"/>
        <v>0</v>
      </c>
      <c r="M762" s="1477"/>
      <c r="N762" s="1477">
        <f t="shared" si="274"/>
        <v>0</v>
      </c>
      <c r="O762" s="1477">
        <f t="shared" si="275"/>
        <v>0</v>
      </c>
      <c r="P762" s="1477">
        <f t="shared" si="276"/>
        <v>0</v>
      </c>
      <c r="Q762" s="1477">
        <f t="shared" si="277"/>
        <v>0</v>
      </c>
      <c r="R762" s="1576">
        <f t="shared" si="278"/>
        <v>0</v>
      </c>
      <c r="S762" s="1869"/>
      <c r="T762" s="1866"/>
      <c r="U762" s="2442"/>
      <c r="V762" s="1866">
        <f t="shared" si="281"/>
        <v>0</v>
      </c>
      <c r="W762" s="1869"/>
      <c r="X762" s="1870"/>
      <c r="Y762" s="1871" t="str">
        <f t="shared" si="282"/>
        <v/>
      </c>
      <c r="Z762" s="1694"/>
      <c r="AA762" s="1872">
        <f t="shared" si="283"/>
        <v>0</v>
      </c>
      <c r="AB762" s="1873" t="str">
        <f t="shared" si="284"/>
        <v/>
      </c>
      <c r="AC762" s="1418">
        <f t="shared" si="269"/>
        <v>0</v>
      </c>
      <c r="AD762" s="1418">
        <f t="shared" si="270"/>
        <v>0</v>
      </c>
      <c r="AE762" s="1418"/>
      <c r="AF762" s="1418">
        <f t="shared" si="271"/>
        <v>0</v>
      </c>
      <c r="AG762" s="1418"/>
      <c r="AH762" s="1418">
        <f t="shared" si="272"/>
        <v>0</v>
      </c>
      <c r="AI762" s="1428"/>
      <c r="AO762" s="2504"/>
      <c r="AP762" s="1418">
        <f t="shared" si="280"/>
        <v>0</v>
      </c>
    </row>
    <row r="763" spans="1:42" s="1410" customFormat="1" ht="15.75">
      <c r="A763" s="2102"/>
      <c r="B763" s="1268" t="s">
        <v>2777</v>
      </c>
      <c r="C763" s="1241" t="s">
        <v>3525</v>
      </c>
      <c r="D763" s="1245" t="s">
        <v>36</v>
      </c>
      <c r="E763" s="1413">
        <v>50</v>
      </c>
      <c r="F763" s="1555">
        <v>68.91</v>
      </c>
      <c r="G763" s="1480">
        <v>72.099999999999994</v>
      </c>
      <c r="H763" s="1414">
        <v>73.89</v>
      </c>
      <c r="I763" s="1477">
        <f t="shared" si="267"/>
        <v>3445.5</v>
      </c>
      <c r="J763" s="1477">
        <f t="shared" si="268"/>
        <v>3605</v>
      </c>
      <c r="K763" s="1477">
        <v>0</v>
      </c>
      <c r="L763" s="1477">
        <f t="shared" si="273"/>
        <v>0</v>
      </c>
      <c r="M763" s="1477">
        <v>50</v>
      </c>
      <c r="N763" s="1477">
        <f t="shared" si="274"/>
        <v>50</v>
      </c>
      <c r="O763" s="1477">
        <f t="shared" si="275"/>
        <v>0</v>
      </c>
      <c r="P763" s="1477">
        <f t="shared" si="276"/>
        <v>3605</v>
      </c>
      <c r="Q763" s="1477">
        <f t="shared" si="277"/>
        <v>3694.5</v>
      </c>
      <c r="R763" s="1576">
        <f t="shared" si="278"/>
        <v>3694.5</v>
      </c>
      <c r="S763" s="1869">
        <v>47</v>
      </c>
      <c r="T763" s="1866">
        <v>3472.8300000000004</v>
      </c>
      <c r="U763" s="2442"/>
      <c r="V763" s="1866">
        <f t="shared" si="281"/>
        <v>0</v>
      </c>
      <c r="W763" s="1869">
        <f>S763+U763</f>
        <v>47</v>
      </c>
      <c r="X763" s="1870">
        <f t="shared" si="279"/>
        <v>3472.8300000000004</v>
      </c>
      <c r="Y763" s="1871">
        <f t="shared" si="282"/>
        <v>0.94000000000000006</v>
      </c>
      <c r="Z763" s="1694">
        <f>+E763-W763</f>
        <v>3</v>
      </c>
      <c r="AA763" s="1872">
        <f t="shared" si="283"/>
        <v>221.67000000000002</v>
      </c>
      <c r="AB763" s="1873">
        <f t="shared" si="284"/>
        <v>6.0000000000000005E-2</v>
      </c>
      <c r="AC763" s="1418">
        <f t="shared" si="269"/>
        <v>-3.979039320256561E-13</v>
      </c>
      <c r="AD763" s="1418">
        <f t="shared" si="270"/>
        <v>0</v>
      </c>
      <c r="AE763" s="1418">
        <v>3694.5</v>
      </c>
      <c r="AF763" s="1418">
        <f t="shared" si="271"/>
        <v>0</v>
      </c>
      <c r="AG763" s="1418">
        <v>73.89</v>
      </c>
      <c r="AH763" s="1418">
        <f t="shared" si="272"/>
        <v>0</v>
      </c>
      <c r="AI763" s="1428"/>
      <c r="AO763" s="2504">
        <v>3472.8300000000004</v>
      </c>
      <c r="AP763" s="1418">
        <f t="shared" si="280"/>
        <v>0</v>
      </c>
    </row>
    <row r="764" spans="1:42" s="1410" customFormat="1" ht="15.75">
      <c r="A764" s="2102"/>
      <c r="B764" s="1268" t="s">
        <v>2778</v>
      </c>
      <c r="C764" s="1241" t="s">
        <v>3526</v>
      </c>
      <c r="D764" s="1245" t="s">
        <v>36</v>
      </c>
      <c r="E764" s="1413">
        <v>1</v>
      </c>
      <c r="F764" s="1555">
        <v>137.04</v>
      </c>
      <c r="G764" s="1480">
        <v>140.22999999999999</v>
      </c>
      <c r="H764" s="1414">
        <v>142.02000000000001</v>
      </c>
      <c r="I764" s="1477">
        <f t="shared" si="267"/>
        <v>137.04</v>
      </c>
      <c r="J764" s="1477">
        <f t="shared" si="268"/>
        <v>140.22999999999999</v>
      </c>
      <c r="K764" s="1477">
        <v>0</v>
      </c>
      <c r="L764" s="1477">
        <f t="shared" si="273"/>
        <v>0</v>
      </c>
      <c r="M764" s="1477">
        <v>1</v>
      </c>
      <c r="N764" s="1477">
        <f t="shared" si="274"/>
        <v>1</v>
      </c>
      <c r="O764" s="1477">
        <f t="shared" si="275"/>
        <v>0</v>
      </c>
      <c r="P764" s="1477">
        <f t="shared" si="276"/>
        <v>140.22999999999999</v>
      </c>
      <c r="Q764" s="1477">
        <f t="shared" si="277"/>
        <v>142.02000000000001</v>
      </c>
      <c r="R764" s="1576">
        <f t="shared" si="278"/>
        <v>142.02000000000001</v>
      </c>
      <c r="S764" s="1869">
        <v>1</v>
      </c>
      <c r="T764" s="1866">
        <v>142.02000000000001</v>
      </c>
      <c r="U764" s="2442"/>
      <c r="V764" s="1866">
        <f t="shared" si="281"/>
        <v>0</v>
      </c>
      <c r="W764" s="1869">
        <f>S764+U764</f>
        <v>1</v>
      </c>
      <c r="X764" s="1870">
        <f t="shared" si="279"/>
        <v>142.02000000000001</v>
      </c>
      <c r="Y764" s="1871">
        <f t="shared" si="282"/>
        <v>1</v>
      </c>
      <c r="Z764" s="1694">
        <f>+E764-W764</f>
        <v>0</v>
      </c>
      <c r="AA764" s="1872">
        <f t="shared" si="283"/>
        <v>0</v>
      </c>
      <c r="AB764" s="1873">
        <f t="shared" si="284"/>
        <v>0</v>
      </c>
      <c r="AC764" s="1418">
        <f t="shared" si="269"/>
        <v>0</v>
      </c>
      <c r="AD764" s="1418">
        <f t="shared" si="270"/>
        <v>0</v>
      </c>
      <c r="AE764" s="1418">
        <v>142.02000000000001</v>
      </c>
      <c r="AF764" s="1418">
        <f t="shared" si="271"/>
        <v>0</v>
      </c>
      <c r="AG764" s="1418">
        <v>142.02000000000001</v>
      </c>
      <c r="AH764" s="1418">
        <f t="shared" si="272"/>
        <v>0</v>
      </c>
      <c r="AI764" s="1428"/>
      <c r="AO764" s="2504">
        <v>142.02000000000001</v>
      </c>
      <c r="AP764" s="1418">
        <f t="shared" si="280"/>
        <v>0</v>
      </c>
    </row>
    <row r="765" spans="1:42" s="1410" customFormat="1" ht="15.75">
      <c r="A765" s="2102"/>
      <c r="B765" s="1272" t="s">
        <v>1931</v>
      </c>
      <c r="C765" s="1262" t="s">
        <v>3527</v>
      </c>
      <c r="D765" s="1273"/>
      <c r="E765" s="1415"/>
      <c r="F765" s="1267"/>
      <c r="G765" s="1480"/>
      <c r="H765" s="1416"/>
      <c r="I765" s="1477">
        <f t="shared" si="267"/>
        <v>0</v>
      </c>
      <c r="J765" s="1477">
        <f t="shared" si="268"/>
        <v>0</v>
      </c>
      <c r="K765" s="1477"/>
      <c r="L765" s="1477">
        <f t="shared" si="273"/>
        <v>0</v>
      </c>
      <c r="M765" s="1477"/>
      <c r="N765" s="1477">
        <f t="shared" si="274"/>
        <v>0</v>
      </c>
      <c r="O765" s="1477">
        <f t="shared" si="275"/>
        <v>0</v>
      </c>
      <c r="P765" s="1477">
        <f t="shared" si="276"/>
        <v>0</v>
      </c>
      <c r="Q765" s="1477">
        <f t="shared" si="277"/>
        <v>0</v>
      </c>
      <c r="R765" s="1576">
        <f t="shared" si="278"/>
        <v>0</v>
      </c>
      <c r="S765" s="1869"/>
      <c r="T765" s="1866"/>
      <c r="U765" s="2442"/>
      <c r="V765" s="1866">
        <f t="shared" si="281"/>
        <v>0</v>
      </c>
      <c r="W765" s="1869"/>
      <c r="X765" s="1870"/>
      <c r="Y765" s="1871" t="str">
        <f t="shared" si="282"/>
        <v/>
      </c>
      <c r="Z765" s="1694"/>
      <c r="AA765" s="1872">
        <f t="shared" si="283"/>
        <v>0</v>
      </c>
      <c r="AB765" s="1873" t="str">
        <f t="shared" si="284"/>
        <v/>
      </c>
      <c r="AC765" s="1418">
        <f t="shared" si="269"/>
        <v>0</v>
      </c>
      <c r="AD765" s="1418">
        <f t="shared" si="270"/>
        <v>0</v>
      </c>
      <c r="AE765" s="1418"/>
      <c r="AF765" s="1418">
        <f t="shared" si="271"/>
        <v>0</v>
      </c>
      <c r="AG765" s="1418"/>
      <c r="AH765" s="1418">
        <f t="shared" si="272"/>
        <v>0</v>
      </c>
      <c r="AI765" s="1428"/>
      <c r="AO765" s="2504"/>
      <c r="AP765" s="1418">
        <f t="shared" si="280"/>
        <v>0</v>
      </c>
    </row>
    <row r="766" spans="1:42" s="1410" customFormat="1" ht="15.75">
      <c r="A766" s="2102"/>
      <c r="B766" s="1268" t="s">
        <v>2779</v>
      </c>
      <c r="C766" s="1241" t="s">
        <v>3528</v>
      </c>
      <c r="D766" s="1245" t="s">
        <v>36</v>
      </c>
      <c r="E766" s="1413">
        <v>16</v>
      </c>
      <c r="F766" s="1555">
        <v>681.39</v>
      </c>
      <c r="G766" s="1480">
        <v>682.91</v>
      </c>
      <c r="H766" s="1414">
        <v>683.72</v>
      </c>
      <c r="I766" s="1477">
        <f t="shared" si="267"/>
        <v>10902.24</v>
      </c>
      <c r="J766" s="1477">
        <f t="shared" si="268"/>
        <v>10926.56</v>
      </c>
      <c r="K766" s="1477">
        <v>0</v>
      </c>
      <c r="L766" s="1477">
        <f t="shared" si="273"/>
        <v>0</v>
      </c>
      <c r="M766" s="1477">
        <v>16</v>
      </c>
      <c r="N766" s="1477">
        <f t="shared" si="274"/>
        <v>16</v>
      </c>
      <c r="O766" s="1477">
        <f t="shared" si="275"/>
        <v>0</v>
      </c>
      <c r="P766" s="1477">
        <f t="shared" si="276"/>
        <v>10926.56</v>
      </c>
      <c r="Q766" s="1477">
        <f t="shared" si="277"/>
        <v>10939.52</v>
      </c>
      <c r="R766" s="1576">
        <f t="shared" si="278"/>
        <v>10939.52</v>
      </c>
      <c r="S766" s="1869">
        <v>0</v>
      </c>
      <c r="T766" s="1866">
        <v>0</v>
      </c>
      <c r="U766" s="2442"/>
      <c r="V766" s="1866">
        <f t="shared" si="281"/>
        <v>0</v>
      </c>
      <c r="W766" s="1869">
        <f t="shared" ref="W766:W773" si="287">S766+U766</f>
        <v>0</v>
      </c>
      <c r="X766" s="1870">
        <f t="shared" si="279"/>
        <v>0</v>
      </c>
      <c r="Y766" s="1871">
        <f t="shared" si="282"/>
        <v>0</v>
      </c>
      <c r="Z766" s="1694">
        <f t="shared" ref="Z766:Z773" si="288">+E766-W766</f>
        <v>16</v>
      </c>
      <c r="AA766" s="1872">
        <f t="shared" si="283"/>
        <v>10939.52</v>
      </c>
      <c r="AB766" s="1873">
        <f t="shared" si="284"/>
        <v>1</v>
      </c>
      <c r="AC766" s="1418">
        <f t="shared" si="269"/>
        <v>0</v>
      </c>
      <c r="AD766" s="1418">
        <f t="shared" si="270"/>
        <v>0</v>
      </c>
      <c r="AE766" s="1418">
        <v>10939.52</v>
      </c>
      <c r="AF766" s="1418">
        <f t="shared" si="271"/>
        <v>0</v>
      </c>
      <c r="AG766" s="1418">
        <v>683.72</v>
      </c>
      <c r="AH766" s="1418">
        <f t="shared" si="272"/>
        <v>0</v>
      </c>
      <c r="AI766" s="1428"/>
      <c r="AO766" s="2504">
        <v>0</v>
      </c>
      <c r="AP766" s="1418">
        <f t="shared" si="280"/>
        <v>0</v>
      </c>
    </row>
    <row r="767" spans="1:42" s="1410" customFormat="1" ht="15.75">
      <c r="A767" s="2102"/>
      <c r="B767" s="1268" t="s">
        <v>2780</v>
      </c>
      <c r="C767" s="1241" t="s">
        <v>3529</v>
      </c>
      <c r="D767" s="1245" t="s">
        <v>36</v>
      </c>
      <c r="E767" s="1413">
        <v>16</v>
      </c>
      <c r="F767" s="1555">
        <v>3609.59</v>
      </c>
      <c r="G767" s="1480">
        <v>3611.11</v>
      </c>
      <c r="H767" s="1414">
        <v>3611.92</v>
      </c>
      <c r="I767" s="1477">
        <f t="shared" si="267"/>
        <v>57753.440000000002</v>
      </c>
      <c r="J767" s="1477">
        <f t="shared" si="268"/>
        <v>57777.760000000002</v>
      </c>
      <c r="K767" s="1477">
        <v>0</v>
      </c>
      <c r="L767" s="1477">
        <f t="shared" si="273"/>
        <v>0</v>
      </c>
      <c r="M767" s="1477">
        <v>16</v>
      </c>
      <c r="N767" s="1477">
        <f t="shared" si="274"/>
        <v>16</v>
      </c>
      <c r="O767" s="1477">
        <f t="shared" si="275"/>
        <v>0</v>
      </c>
      <c r="P767" s="1477">
        <f t="shared" si="276"/>
        <v>57777.760000000002</v>
      </c>
      <c r="Q767" s="1477">
        <f t="shared" si="277"/>
        <v>57790.720000000001</v>
      </c>
      <c r="R767" s="1576">
        <f t="shared" si="278"/>
        <v>57790.720000000001</v>
      </c>
      <c r="S767" s="1869">
        <v>0</v>
      </c>
      <c r="T767" s="1866">
        <v>0</v>
      </c>
      <c r="U767" s="2442"/>
      <c r="V767" s="1866">
        <f t="shared" si="281"/>
        <v>0</v>
      </c>
      <c r="W767" s="1869">
        <f t="shared" si="287"/>
        <v>0</v>
      </c>
      <c r="X767" s="1870">
        <f t="shared" si="279"/>
        <v>0</v>
      </c>
      <c r="Y767" s="1871">
        <f t="shared" si="282"/>
        <v>0</v>
      </c>
      <c r="Z767" s="1694">
        <f t="shared" si="288"/>
        <v>16</v>
      </c>
      <c r="AA767" s="1872">
        <f t="shared" si="283"/>
        <v>57790.720000000001</v>
      </c>
      <c r="AB767" s="1873">
        <f t="shared" si="284"/>
        <v>1</v>
      </c>
      <c r="AC767" s="1418">
        <f t="shared" si="269"/>
        <v>0</v>
      </c>
      <c r="AD767" s="1418">
        <f t="shared" si="270"/>
        <v>0</v>
      </c>
      <c r="AE767" s="1418">
        <v>57790.720000000001</v>
      </c>
      <c r="AF767" s="1418">
        <f t="shared" si="271"/>
        <v>0</v>
      </c>
      <c r="AG767" s="1418">
        <v>3611.92</v>
      </c>
      <c r="AH767" s="1418">
        <f t="shared" si="272"/>
        <v>0</v>
      </c>
      <c r="AI767" s="1428"/>
      <c r="AO767" s="2504">
        <v>0</v>
      </c>
      <c r="AP767" s="1418">
        <f t="shared" si="280"/>
        <v>0</v>
      </c>
    </row>
    <row r="768" spans="1:42" s="1410" customFormat="1" ht="15.75">
      <c r="A768" s="2102"/>
      <c r="B768" s="1268" t="s">
        <v>2781</v>
      </c>
      <c r="C768" s="1241" t="s">
        <v>3530</v>
      </c>
      <c r="D768" s="1245" t="s">
        <v>36</v>
      </c>
      <c r="E768" s="1413">
        <v>16</v>
      </c>
      <c r="F768" s="1555">
        <v>218.09</v>
      </c>
      <c r="G768" s="1480">
        <v>219.61</v>
      </c>
      <c r="H768" s="1414">
        <v>220.42</v>
      </c>
      <c r="I768" s="1477">
        <f t="shared" si="267"/>
        <v>3489.44</v>
      </c>
      <c r="J768" s="1477">
        <f t="shared" si="268"/>
        <v>3513.76</v>
      </c>
      <c r="K768" s="1477">
        <v>0</v>
      </c>
      <c r="L768" s="1477">
        <f t="shared" si="273"/>
        <v>0</v>
      </c>
      <c r="M768" s="1477">
        <v>16</v>
      </c>
      <c r="N768" s="1477">
        <f t="shared" si="274"/>
        <v>16</v>
      </c>
      <c r="O768" s="1477">
        <f t="shared" si="275"/>
        <v>0</v>
      </c>
      <c r="P768" s="1477">
        <f t="shared" si="276"/>
        <v>3513.76</v>
      </c>
      <c r="Q768" s="1477">
        <f t="shared" si="277"/>
        <v>3526.72</v>
      </c>
      <c r="R768" s="1576">
        <f t="shared" si="278"/>
        <v>3526.72</v>
      </c>
      <c r="S768" s="1869">
        <v>0</v>
      </c>
      <c r="T768" s="1866">
        <v>0</v>
      </c>
      <c r="U768" s="2442"/>
      <c r="V768" s="1866">
        <f t="shared" si="281"/>
        <v>0</v>
      </c>
      <c r="W768" s="1869">
        <f t="shared" si="287"/>
        <v>0</v>
      </c>
      <c r="X768" s="1870">
        <f t="shared" si="279"/>
        <v>0</v>
      </c>
      <c r="Y768" s="1871">
        <f t="shared" si="282"/>
        <v>0</v>
      </c>
      <c r="Z768" s="1694">
        <f t="shared" si="288"/>
        <v>16</v>
      </c>
      <c r="AA768" s="1872">
        <f t="shared" si="283"/>
        <v>3526.72</v>
      </c>
      <c r="AB768" s="1873">
        <f t="shared" si="284"/>
        <v>1</v>
      </c>
      <c r="AC768" s="1418">
        <f t="shared" si="269"/>
        <v>0</v>
      </c>
      <c r="AD768" s="1418">
        <f t="shared" si="270"/>
        <v>0</v>
      </c>
      <c r="AE768" s="1418">
        <v>3526.72</v>
      </c>
      <c r="AF768" s="1418">
        <f t="shared" si="271"/>
        <v>0</v>
      </c>
      <c r="AG768" s="1418">
        <v>220.42</v>
      </c>
      <c r="AH768" s="1418">
        <f t="shared" si="272"/>
        <v>0</v>
      </c>
      <c r="AI768" s="1428"/>
      <c r="AO768" s="2504">
        <v>0</v>
      </c>
      <c r="AP768" s="1418">
        <f t="shared" si="280"/>
        <v>0</v>
      </c>
    </row>
    <row r="769" spans="1:44" s="1410" customFormat="1" ht="15.75">
      <c r="A769" s="2102"/>
      <c r="B769" s="1268" t="s">
        <v>2782</v>
      </c>
      <c r="C769" s="2131" t="s">
        <v>3531</v>
      </c>
      <c r="D769" s="1245" t="s">
        <v>36</v>
      </c>
      <c r="E769" s="1413">
        <v>16</v>
      </c>
      <c r="F769" s="1555">
        <v>843.09</v>
      </c>
      <c r="G769" s="1480">
        <v>844.61</v>
      </c>
      <c r="H769" s="1414">
        <v>845.42</v>
      </c>
      <c r="I769" s="1477">
        <f t="shared" si="267"/>
        <v>13489.44</v>
      </c>
      <c r="J769" s="1477">
        <f t="shared" si="268"/>
        <v>13513.76</v>
      </c>
      <c r="K769" s="1477">
        <v>0</v>
      </c>
      <c r="L769" s="1477">
        <f t="shared" si="273"/>
        <v>0</v>
      </c>
      <c r="M769" s="1477">
        <v>16</v>
      </c>
      <c r="N769" s="1477">
        <f t="shared" si="274"/>
        <v>16</v>
      </c>
      <c r="O769" s="1477">
        <f t="shared" si="275"/>
        <v>0</v>
      </c>
      <c r="P769" s="1477">
        <f t="shared" si="276"/>
        <v>13513.76</v>
      </c>
      <c r="Q769" s="1477">
        <f t="shared" si="277"/>
        <v>13526.72</v>
      </c>
      <c r="R769" s="1576">
        <f t="shared" si="278"/>
        <v>13526.72</v>
      </c>
      <c r="S769" s="1869">
        <v>2</v>
      </c>
      <c r="T769" s="1866">
        <v>1690.84</v>
      </c>
      <c r="U769" s="2442"/>
      <c r="V769" s="1866">
        <f t="shared" si="281"/>
        <v>0</v>
      </c>
      <c r="W769" s="1869">
        <f t="shared" si="287"/>
        <v>2</v>
      </c>
      <c r="X769" s="1870">
        <f t="shared" si="279"/>
        <v>1690.84</v>
      </c>
      <c r="Y769" s="1871">
        <f t="shared" si="282"/>
        <v>0.125</v>
      </c>
      <c r="Z769" s="1694">
        <f t="shared" si="288"/>
        <v>14</v>
      </c>
      <c r="AA769" s="1872">
        <f t="shared" si="283"/>
        <v>11835.88</v>
      </c>
      <c r="AB769" s="1873">
        <f t="shared" si="284"/>
        <v>0.875</v>
      </c>
      <c r="AC769" s="1418">
        <f t="shared" si="269"/>
        <v>0</v>
      </c>
      <c r="AD769" s="1418">
        <f t="shared" si="270"/>
        <v>0</v>
      </c>
      <c r="AE769" s="1418">
        <v>13526.72</v>
      </c>
      <c r="AF769" s="1418">
        <f t="shared" si="271"/>
        <v>0</v>
      </c>
      <c r="AG769" s="1418">
        <v>845.42</v>
      </c>
      <c r="AH769" s="1418">
        <f t="shared" si="272"/>
        <v>0</v>
      </c>
      <c r="AI769" s="1428"/>
      <c r="AO769" s="2504">
        <v>1690.84</v>
      </c>
      <c r="AP769" s="1418">
        <f t="shared" si="280"/>
        <v>0</v>
      </c>
    </row>
    <row r="770" spans="1:44" s="1410" customFormat="1" ht="15.75">
      <c r="A770" s="2102"/>
      <c r="B770" s="1268" t="s">
        <v>2783</v>
      </c>
      <c r="C770" s="1241" t="s">
        <v>3532</v>
      </c>
      <c r="D770" s="1245" t="s">
        <v>36</v>
      </c>
      <c r="E770" s="1413">
        <v>4</v>
      </c>
      <c r="F770" s="1555">
        <v>3081.58</v>
      </c>
      <c r="G770" s="1480">
        <v>3083.1</v>
      </c>
      <c r="H770" s="1414">
        <v>3083.91</v>
      </c>
      <c r="I770" s="1477">
        <f t="shared" si="267"/>
        <v>12326.32</v>
      </c>
      <c r="J770" s="1477">
        <f t="shared" si="268"/>
        <v>12332.4</v>
      </c>
      <c r="K770" s="1477">
        <v>0</v>
      </c>
      <c r="L770" s="1477">
        <f t="shared" si="273"/>
        <v>0</v>
      </c>
      <c r="M770" s="1477">
        <v>4</v>
      </c>
      <c r="N770" s="1477">
        <f t="shared" si="274"/>
        <v>4</v>
      </c>
      <c r="O770" s="1477">
        <f t="shared" si="275"/>
        <v>0</v>
      </c>
      <c r="P770" s="1477">
        <f t="shared" si="276"/>
        <v>12332.4</v>
      </c>
      <c r="Q770" s="1477">
        <f t="shared" si="277"/>
        <v>12335.64</v>
      </c>
      <c r="R770" s="1576">
        <f t="shared" si="278"/>
        <v>12335.64</v>
      </c>
      <c r="S770" s="1869">
        <v>4</v>
      </c>
      <c r="T770" s="1866">
        <v>12335.64</v>
      </c>
      <c r="U770" s="2442"/>
      <c r="V770" s="1866">
        <f t="shared" si="281"/>
        <v>0</v>
      </c>
      <c r="W770" s="1869">
        <f t="shared" si="287"/>
        <v>4</v>
      </c>
      <c r="X770" s="1870">
        <f t="shared" si="279"/>
        <v>12335.64</v>
      </c>
      <c r="Y770" s="1871">
        <f t="shared" si="282"/>
        <v>1</v>
      </c>
      <c r="Z770" s="1694">
        <f t="shared" si="288"/>
        <v>0</v>
      </c>
      <c r="AA770" s="1872">
        <f t="shared" si="283"/>
        <v>0</v>
      </c>
      <c r="AB770" s="1873">
        <f t="shared" si="284"/>
        <v>0</v>
      </c>
      <c r="AC770" s="1418">
        <f t="shared" si="269"/>
        <v>0</v>
      </c>
      <c r="AD770" s="1418">
        <f t="shared" si="270"/>
        <v>0</v>
      </c>
      <c r="AE770" s="1418">
        <v>12335.64</v>
      </c>
      <c r="AF770" s="1418">
        <f t="shared" si="271"/>
        <v>0</v>
      </c>
      <c r="AG770" s="1418">
        <v>3083.91</v>
      </c>
      <c r="AH770" s="1418">
        <f t="shared" si="272"/>
        <v>0</v>
      </c>
      <c r="AI770" s="1428"/>
      <c r="AO770" s="2504">
        <v>12335.64</v>
      </c>
      <c r="AP770" s="1418">
        <f t="shared" si="280"/>
        <v>0</v>
      </c>
    </row>
    <row r="771" spans="1:44" s="1410" customFormat="1" ht="15.75">
      <c r="A771" s="2102"/>
      <c r="B771" s="1268" t="s">
        <v>2784</v>
      </c>
      <c r="C771" s="1241" t="s">
        <v>3533</v>
      </c>
      <c r="D771" s="1245" t="s">
        <v>36</v>
      </c>
      <c r="E771" s="1413">
        <v>1</v>
      </c>
      <c r="F771" s="1555">
        <v>667.09</v>
      </c>
      <c r="G771" s="1480">
        <v>668.61</v>
      </c>
      <c r="H771" s="1414">
        <v>669.42</v>
      </c>
      <c r="I771" s="1477">
        <f t="shared" si="267"/>
        <v>667.09</v>
      </c>
      <c r="J771" s="1477">
        <f t="shared" si="268"/>
        <v>668.61</v>
      </c>
      <c r="K771" s="1477">
        <v>0</v>
      </c>
      <c r="L771" s="1477">
        <f t="shared" si="273"/>
        <v>0</v>
      </c>
      <c r="M771" s="1477">
        <v>1</v>
      </c>
      <c r="N771" s="1477">
        <f t="shared" si="274"/>
        <v>1</v>
      </c>
      <c r="O771" s="1477">
        <f t="shared" si="275"/>
        <v>0</v>
      </c>
      <c r="P771" s="1477">
        <f t="shared" si="276"/>
        <v>668.61</v>
      </c>
      <c r="Q771" s="1477">
        <f t="shared" si="277"/>
        <v>669.42</v>
      </c>
      <c r="R771" s="1576">
        <f t="shared" si="278"/>
        <v>669.42</v>
      </c>
      <c r="S771" s="1869">
        <v>1</v>
      </c>
      <c r="T771" s="1866">
        <v>669.42</v>
      </c>
      <c r="U771" s="2442"/>
      <c r="V771" s="1866">
        <f t="shared" si="281"/>
        <v>0</v>
      </c>
      <c r="W771" s="1869">
        <f t="shared" si="287"/>
        <v>1</v>
      </c>
      <c r="X771" s="1870">
        <f t="shared" si="279"/>
        <v>669.42</v>
      </c>
      <c r="Y771" s="1871">
        <f t="shared" si="282"/>
        <v>1</v>
      </c>
      <c r="Z771" s="1694">
        <f t="shared" si="288"/>
        <v>0</v>
      </c>
      <c r="AA771" s="1872">
        <f t="shared" si="283"/>
        <v>0</v>
      </c>
      <c r="AB771" s="1873">
        <f t="shared" si="284"/>
        <v>0</v>
      </c>
      <c r="AC771" s="1418">
        <f t="shared" si="269"/>
        <v>0</v>
      </c>
      <c r="AD771" s="1418">
        <f t="shared" si="270"/>
        <v>0</v>
      </c>
      <c r="AE771" s="1418">
        <v>669.42</v>
      </c>
      <c r="AF771" s="1418">
        <f t="shared" si="271"/>
        <v>0</v>
      </c>
      <c r="AG771" s="1418">
        <v>669.42</v>
      </c>
      <c r="AH771" s="1418">
        <f t="shared" si="272"/>
        <v>0</v>
      </c>
      <c r="AI771" s="1428"/>
      <c r="AO771" s="2504">
        <v>669.42</v>
      </c>
      <c r="AP771" s="1418">
        <f t="shared" si="280"/>
        <v>0</v>
      </c>
    </row>
    <row r="772" spans="1:44" s="1410" customFormat="1" ht="15.75">
      <c r="A772" s="2102"/>
      <c r="B772" s="1268" t="s">
        <v>2785</v>
      </c>
      <c r="C772" s="1241" t="s">
        <v>3534</v>
      </c>
      <c r="D772" s="1245" t="s">
        <v>36</v>
      </c>
      <c r="E772" s="1413">
        <v>1</v>
      </c>
      <c r="F772" s="1555">
        <v>67.59</v>
      </c>
      <c r="G772" s="1480">
        <v>69.11</v>
      </c>
      <c r="H772" s="1414">
        <v>69.92</v>
      </c>
      <c r="I772" s="1477">
        <f t="shared" si="267"/>
        <v>67.59</v>
      </c>
      <c r="J772" s="1477">
        <f t="shared" si="268"/>
        <v>69.11</v>
      </c>
      <c r="K772" s="1477">
        <v>0</v>
      </c>
      <c r="L772" s="1477">
        <f t="shared" si="273"/>
        <v>0</v>
      </c>
      <c r="M772" s="1477">
        <v>1</v>
      </c>
      <c r="N772" s="1477">
        <f t="shared" si="274"/>
        <v>1</v>
      </c>
      <c r="O772" s="1477">
        <f t="shared" si="275"/>
        <v>0</v>
      </c>
      <c r="P772" s="1477">
        <f t="shared" si="276"/>
        <v>69.11</v>
      </c>
      <c r="Q772" s="1477">
        <f t="shared" si="277"/>
        <v>69.92</v>
      </c>
      <c r="R772" s="1576">
        <f t="shared" si="278"/>
        <v>69.92</v>
      </c>
      <c r="S772" s="1869">
        <v>0</v>
      </c>
      <c r="T772" s="1866">
        <v>0</v>
      </c>
      <c r="U772" s="2442"/>
      <c r="V772" s="1866">
        <f t="shared" si="281"/>
        <v>0</v>
      </c>
      <c r="W772" s="1869">
        <f t="shared" si="287"/>
        <v>0</v>
      </c>
      <c r="X772" s="1870">
        <f t="shared" si="279"/>
        <v>0</v>
      </c>
      <c r="Y772" s="1871">
        <f t="shared" si="282"/>
        <v>0</v>
      </c>
      <c r="Z772" s="1694">
        <f t="shared" si="288"/>
        <v>1</v>
      </c>
      <c r="AA772" s="1872">
        <f t="shared" si="283"/>
        <v>69.92</v>
      </c>
      <c r="AB772" s="1873">
        <f t="shared" si="284"/>
        <v>1</v>
      </c>
      <c r="AC772" s="1418">
        <f t="shared" si="269"/>
        <v>0</v>
      </c>
      <c r="AD772" s="1418">
        <f t="shared" si="270"/>
        <v>0</v>
      </c>
      <c r="AE772" s="1418">
        <v>69.92</v>
      </c>
      <c r="AF772" s="1418">
        <f t="shared" si="271"/>
        <v>0</v>
      </c>
      <c r="AG772" s="1418">
        <v>69.92</v>
      </c>
      <c r="AH772" s="1418">
        <f t="shared" si="272"/>
        <v>0</v>
      </c>
      <c r="AI772" s="1428"/>
      <c r="AO772" s="2504">
        <v>0</v>
      </c>
      <c r="AP772" s="1418">
        <f t="shared" si="280"/>
        <v>0</v>
      </c>
    </row>
    <row r="773" spans="1:44" s="1410" customFormat="1" ht="15.75">
      <c r="A773" s="2102"/>
      <c r="B773" s="1268" t="s">
        <v>2786</v>
      </c>
      <c r="C773" s="1241" t="s">
        <v>3535</v>
      </c>
      <c r="D773" s="1245" t="s">
        <v>36</v>
      </c>
      <c r="E773" s="1413">
        <v>1</v>
      </c>
      <c r="F773" s="1555">
        <v>1118.0899999999999</v>
      </c>
      <c r="G773" s="1480">
        <v>1119.6099999999999</v>
      </c>
      <c r="H773" s="1414">
        <v>1120.42</v>
      </c>
      <c r="I773" s="1477">
        <f t="shared" si="267"/>
        <v>1118.0899999999999</v>
      </c>
      <c r="J773" s="1477">
        <f t="shared" si="268"/>
        <v>1119.6099999999999</v>
      </c>
      <c r="K773" s="1477">
        <v>0</v>
      </c>
      <c r="L773" s="1477">
        <f t="shared" si="273"/>
        <v>0</v>
      </c>
      <c r="M773" s="1477">
        <v>1</v>
      </c>
      <c r="N773" s="1477">
        <f t="shared" si="274"/>
        <v>1</v>
      </c>
      <c r="O773" s="1477">
        <f t="shared" si="275"/>
        <v>0</v>
      </c>
      <c r="P773" s="1477">
        <f t="shared" si="276"/>
        <v>1119.6099999999999</v>
      </c>
      <c r="Q773" s="1477">
        <f t="shared" si="277"/>
        <v>1120.42</v>
      </c>
      <c r="R773" s="1576">
        <f t="shared" si="278"/>
        <v>1120.42</v>
      </c>
      <c r="S773" s="1869">
        <v>1</v>
      </c>
      <c r="T773" s="1866">
        <v>1120.42</v>
      </c>
      <c r="U773" s="2442"/>
      <c r="V773" s="1866">
        <f t="shared" si="281"/>
        <v>0</v>
      </c>
      <c r="W773" s="1869">
        <f t="shared" si="287"/>
        <v>1</v>
      </c>
      <c r="X773" s="1870">
        <f t="shared" si="279"/>
        <v>1120.42</v>
      </c>
      <c r="Y773" s="1871">
        <f t="shared" si="282"/>
        <v>1</v>
      </c>
      <c r="Z773" s="1694">
        <f t="shared" si="288"/>
        <v>0</v>
      </c>
      <c r="AA773" s="1872">
        <f t="shared" si="283"/>
        <v>0</v>
      </c>
      <c r="AB773" s="1873">
        <f t="shared" si="284"/>
        <v>0</v>
      </c>
      <c r="AC773" s="1418">
        <f t="shared" si="269"/>
        <v>0</v>
      </c>
      <c r="AD773" s="1418">
        <f t="shared" si="270"/>
        <v>0</v>
      </c>
      <c r="AE773" s="1418">
        <v>1120.42</v>
      </c>
      <c r="AF773" s="1418">
        <f t="shared" si="271"/>
        <v>0</v>
      </c>
      <c r="AG773" s="1418">
        <v>1120.42</v>
      </c>
      <c r="AH773" s="1418">
        <f t="shared" si="272"/>
        <v>0</v>
      </c>
      <c r="AI773" s="1428"/>
      <c r="AO773" s="2504">
        <v>1120.42</v>
      </c>
      <c r="AP773" s="1418">
        <f t="shared" si="280"/>
        <v>0</v>
      </c>
    </row>
    <row r="774" spans="1:44" s="1231" customFormat="1" ht="15.75">
      <c r="A774" s="2103" t="s">
        <v>3619</v>
      </c>
      <c r="B774" s="1263" t="s">
        <v>2062</v>
      </c>
      <c r="C774" s="1264" t="s">
        <v>3536</v>
      </c>
      <c r="D774" s="1265"/>
      <c r="E774" s="1266"/>
      <c r="F774" s="1267"/>
      <c r="G774" s="1480"/>
      <c r="H774" s="1267"/>
      <c r="I774" s="1477">
        <f t="shared" si="267"/>
        <v>0</v>
      </c>
      <c r="J774" s="1477">
        <f t="shared" si="268"/>
        <v>0</v>
      </c>
      <c r="K774" s="1477"/>
      <c r="L774" s="1477">
        <f t="shared" si="273"/>
        <v>0</v>
      </c>
      <c r="M774" s="1477"/>
      <c r="N774" s="1477">
        <f t="shared" si="274"/>
        <v>0</v>
      </c>
      <c r="O774" s="1477">
        <f t="shared" si="275"/>
        <v>0</v>
      </c>
      <c r="P774" s="1477">
        <f t="shared" si="276"/>
        <v>0</v>
      </c>
      <c r="Q774" s="1477">
        <f t="shared" si="277"/>
        <v>0</v>
      </c>
      <c r="R774" s="1576">
        <f t="shared" si="278"/>
        <v>0</v>
      </c>
      <c r="S774" s="2452"/>
      <c r="T774" s="1866"/>
      <c r="U774" s="2442"/>
      <c r="V774" s="1866">
        <f t="shared" si="281"/>
        <v>0</v>
      </c>
      <c r="W774" s="2452"/>
      <c r="X774" s="1870"/>
      <c r="Y774" s="1871" t="str">
        <f t="shared" si="282"/>
        <v/>
      </c>
      <c r="Z774" s="1694"/>
      <c r="AA774" s="1872">
        <f t="shared" si="283"/>
        <v>0</v>
      </c>
      <c r="AB774" s="1873" t="str">
        <f t="shared" si="284"/>
        <v/>
      </c>
      <c r="AC774" s="1418">
        <f t="shared" si="269"/>
        <v>0</v>
      </c>
      <c r="AD774" s="1418">
        <f t="shared" si="270"/>
        <v>0</v>
      </c>
      <c r="AE774" s="1230"/>
      <c r="AF774" s="1230">
        <f t="shared" si="271"/>
        <v>0</v>
      </c>
      <c r="AG774" s="1230"/>
      <c r="AH774" s="1418">
        <f t="shared" si="272"/>
        <v>0</v>
      </c>
      <c r="AI774" s="1346"/>
      <c r="AO774" s="1736"/>
      <c r="AP774" s="1418">
        <f t="shared" si="280"/>
        <v>0</v>
      </c>
    </row>
    <row r="775" spans="1:44" s="1410" customFormat="1" ht="15.75">
      <c r="A775" s="2102"/>
      <c r="B775" s="1272" t="s">
        <v>2063</v>
      </c>
      <c r="C775" s="1262" t="s">
        <v>3495</v>
      </c>
      <c r="D775" s="1273"/>
      <c r="E775" s="1415"/>
      <c r="F775" s="1267"/>
      <c r="G775" s="1480"/>
      <c r="H775" s="1416"/>
      <c r="I775" s="1477">
        <f t="shared" si="267"/>
        <v>0</v>
      </c>
      <c r="J775" s="1477">
        <f t="shared" si="268"/>
        <v>0</v>
      </c>
      <c r="K775" s="1477"/>
      <c r="L775" s="1477">
        <f t="shared" si="273"/>
        <v>0</v>
      </c>
      <c r="M775" s="1477"/>
      <c r="N775" s="1477">
        <f t="shared" si="274"/>
        <v>0</v>
      </c>
      <c r="O775" s="1477">
        <f t="shared" si="275"/>
        <v>0</v>
      </c>
      <c r="P775" s="1477">
        <f t="shared" si="276"/>
        <v>0</v>
      </c>
      <c r="Q775" s="1477">
        <f t="shared" si="277"/>
        <v>0</v>
      </c>
      <c r="R775" s="1576">
        <f t="shared" si="278"/>
        <v>0</v>
      </c>
      <c r="S775" s="1869"/>
      <c r="T775" s="1866"/>
      <c r="U775" s="2442"/>
      <c r="V775" s="1866">
        <f t="shared" si="281"/>
        <v>0</v>
      </c>
      <c r="W775" s="1869"/>
      <c r="X775" s="1870"/>
      <c r="Y775" s="1871" t="str">
        <f t="shared" si="282"/>
        <v/>
      </c>
      <c r="Z775" s="1694"/>
      <c r="AA775" s="1872">
        <f t="shared" si="283"/>
        <v>0</v>
      </c>
      <c r="AB775" s="1873" t="str">
        <f t="shared" si="284"/>
        <v/>
      </c>
      <c r="AC775" s="1418">
        <f t="shared" si="269"/>
        <v>0</v>
      </c>
      <c r="AD775" s="1418">
        <f t="shared" si="270"/>
        <v>0</v>
      </c>
      <c r="AE775" s="1418"/>
      <c r="AF775" s="1418">
        <f t="shared" si="271"/>
        <v>0</v>
      </c>
      <c r="AG775" s="1418"/>
      <c r="AH775" s="1418">
        <f t="shared" si="272"/>
        <v>0</v>
      </c>
      <c r="AI775" s="1428"/>
      <c r="AO775" s="2504"/>
      <c r="AP775" s="1418">
        <f t="shared" si="280"/>
        <v>0</v>
      </c>
    </row>
    <row r="776" spans="1:44" s="1410" customFormat="1" ht="15.75">
      <c r="A776" s="2102"/>
      <c r="B776" s="1268" t="s">
        <v>2064</v>
      </c>
      <c r="C776" s="1241" t="s">
        <v>3537</v>
      </c>
      <c r="D776" s="1245" t="s">
        <v>38</v>
      </c>
      <c r="E776" s="1413">
        <v>1120</v>
      </c>
      <c r="F776" s="1555">
        <v>6.03</v>
      </c>
      <c r="G776" s="1480">
        <v>6.34</v>
      </c>
      <c r="H776" s="1414">
        <v>6.52</v>
      </c>
      <c r="I776" s="1477">
        <f t="shared" si="267"/>
        <v>6753.6</v>
      </c>
      <c r="J776" s="1477">
        <f t="shared" si="268"/>
        <v>7100.8</v>
      </c>
      <c r="K776" s="1477">
        <v>232</v>
      </c>
      <c r="L776" s="1477">
        <f t="shared" si="273"/>
        <v>232</v>
      </c>
      <c r="M776" s="1477">
        <v>888</v>
      </c>
      <c r="N776" s="1477">
        <f t="shared" si="274"/>
        <v>888</v>
      </c>
      <c r="O776" s="1477">
        <f t="shared" si="275"/>
        <v>1470.88</v>
      </c>
      <c r="P776" s="1477">
        <f t="shared" si="276"/>
        <v>5629.92</v>
      </c>
      <c r="Q776" s="1477">
        <f t="shared" si="277"/>
        <v>5789.76</v>
      </c>
      <c r="R776" s="1576">
        <f t="shared" si="278"/>
        <v>7260.64</v>
      </c>
      <c r="S776" s="1869">
        <v>1120</v>
      </c>
      <c r="T776" s="1866">
        <v>7260.64</v>
      </c>
      <c r="U776" s="2442"/>
      <c r="V776" s="1866">
        <f t="shared" si="281"/>
        <v>0</v>
      </c>
      <c r="W776" s="1869">
        <f>S776+U776</f>
        <v>1120</v>
      </c>
      <c r="X776" s="1870">
        <f t="shared" si="279"/>
        <v>7260.64</v>
      </c>
      <c r="Y776" s="1871">
        <f t="shared" si="282"/>
        <v>1</v>
      </c>
      <c r="Z776" s="1694">
        <f>+E776-W776</f>
        <v>0</v>
      </c>
      <c r="AA776" s="1872">
        <f t="shared" si="283"/>
        <v>0</v>
      </c>
      <c r="AB776" s="1873">
        <f t="shared" si="284"/>
        <v>0</v>
      </c>
      <c r="AC776" s="1418">
        <f t="shared" si="269"/>
        <v>0</v>
      </c>
      <c r="AD776" s="1418">
        <f t="shared" si="270"/>
        <v>0</v>
      </c>
      <c r="AE776" s="1418">
        <v>7260.6399999999994</v>
      </c>
      <c r="AF776" s="1418">
        <f t="shared" si="271"/>
        <v>0</v>
      </c>
      <c r="AG776" s="1418">
        <v>6.52</v>
      </c>
      <c r="AH776" s="1418">
        <f t="shared" si="272"/>
        <v>0</v>
      </c>
      <c r="AI776" s="1428"/>
      <c r="AO776" s="2504">
        <v>7260.64</v>
      </c>
      <c r="AP776" s="1418">
        <f t="shared" si="280"/>
        <v>0</v>
      </c>
      <c r="AQ776" s="1410">
        <v>200</v>
      </c>
      <c r="AR776" s="1410" t="s">
        <v>4319</v>
      </c>
    </row>
    <row r="777" spans="1:44" s="1410" customFormat="1" ht="15.75">
      <c r="A777" s="2102"/>
      <c r="B777" s="1268" t="s">
        <v>2787</v>
      </c>
      <c r="C777" s="1241" t="s">
        <v>3443</v>
      </c>
      <c r="D777" s="1245" t="s">
        <v>38</v>
      </c>
      <c r="E777" s="1413">
        <v>168.38</v>
      </c>
      <c r="F777" s="1555">
        <v>7</v>
      </c>
      <c r="G777" s="1480">
        <v>7.31</v>
      </c>
      <c r="H777" s="1414">
        <v>7.49</v>
      </c>
      <c r="I777" s="1477">
        <f t="shared" si="267"/>
        <v>1178.6600000000001</v>
      </c>
      <c r="J777" s="1477">
        <f t="shared" si="268"/>
        <v>1230.8599999999999</v>
      </c>
      <c r="K777" s="1477">
        <v>41</v>
      </c>
      <c r="L777" s="1477">
        <f t="shared" si="273"/>
        <v>41</v>
      </c>
      <c r="M777" s="1477">
        <v>127.38</v>
      </c>
      <c r="N777" s="1477">
        <f t="shared" si="274"/>
        <v>127.38</v>
      </c>
      <c r="O777" s="1477">
        <f t="shared" si="275"/>
        <v>299.70999999999998</v>
      </c>
      <c r="P777" s="1477">
        <f t="shared" si="276"/>
        <v>931.15</v>
      </c>
      <c r="Q777" s="1477">
        <f t="shared" si="277"/>
        <v>954.08</v>
      </c>
      <c r="R777" s="1576">
        <f t="shared" si="278"/>
        <v>1253.79</v>
      </c>
      <c r="S777" s="1869">
        <v>168</v>
      </c>
      <c r="T777" s="1866">
        <v>1250.94</v>
      </c>
      <c r="U777" s="2442"/>
      <c r="V777" s="1866">
        <f t="shared" si="281"/>
        <v>0</v>
      </c>
      <c r="W777" s="1869">
        <f>S777+U777</f>
        <v>168</v>
      </c>
      <c r="X777" s="1870">
        <f t="shared" si="279"/>
        <v>1250.94</v>
      </c>
      <c r="Y777" s="1871">
        <f t="shared" si="282"/>
        <v>0.99772689206326426</v>
      </c>
      <c r="Z777" s="1694">
        <f>+E777-W777</f>
        <v>0.37999999999999545</v>
      </c>
      <c r="AA777" s="1872">
        <f t="shared" si="283"/>
        <v>2.8461999999999659</v>
      </c>
      <c r="AB777" s="1873">
        <f t="shared" si="284"/>
        <v>2.2700771261534754E-3</v>
      </c>
      <c r="AC777" s="1418">
        <f t="shared" si="269"/>
        <v>3.7999999999431822E-3</v>
      </c>
      <c r="AD777" s="1418">
        <f t="shared" si="270"/>
        <v>0</v>
      </c>
      <c r="AE777" s="1418">
        <v>1253.7862</v>
      </c>
      <c r="AF777" s="1418">
        <f t="shared" si="271"/>
        <v>-3.7999999999556167E-3</v>
      </c>
      <c r="AG777" s="1418">
        <v>7.49</v>
      </c>
      <c r="AH777" s="1418">
        <f t="shared" si="272"/>
        <v>0</v>
      </c>
      <c r="AI777" s="1428"/>
      <c r="AO777" s="2504">
        <v>1250.94</v>
      </c>
      <c r="AP777" s="1418">
        <f t="shared" si="280"/>
        <v>0</v>
      </c>
    </row>
    <row r="778" spans="1:44" s="1410" customFormat="1" ht="15.75">
      <c r="A778" s="2102"/>
      <c r="B778" s="1268" t="s">
        <v>2788</v>
      </c>
      <c r="C778" s="1241" t="s">
        <v>3538</v>
      </c>
      <c r="D778" s="1245" t="s">
        <v>38</v>
      </c>
      <c r="E778" s="1413">
        <v>186.43</v>
      </c>
      <c r="F778" s="1555">
        <v>9.8800000000000008</v>
      </c>
      <c r="G778" s="1480">
        <v>10.19</v>
      </c>
      <c r="H778" s="1414">
        <v>10.37</v>
      </c>
      <c r="I778" s="1477">
        <f t="shared" si="267"/>
        <v>1841.93</v>
      </c>
      <c r="J778" s="1477">
        <f t="shared" si="268"/>
        <v>1899.72</v>
      </c>
      <c r="K778" s="1477">
        <v>39</v>
      </c>
      <c r="L778" s="1477">
        <f t="shared" si="273"/>
        <v>39</v>
      </c>
      <c r="M778" s="1477">
        <v>147.43</v>
      </c>
      <c r="N778" s="1477">
        <f t="shared" si="274"/>
        <v>147.43</v>
      </c>
      <c r="O778" s="1477">
        <f t="shared" si="275"/>
        <v>397.41</v>
      </c>
      <c r="P778" s="1477">
        <f t="shared" si="276"/>
        <v>1502.31</v>
      </c>
      <c r="Q778" s="1477">
        <f t="shared" si="277"/>
        <v>1528.85</v>
      </c>
      <c r="R778" s="1576">
        <f t="shared" si="278"/>
        <v>1926.26</v>
      </c>
      <c r="S778" s="1869">
        <v>186.43</v>
      </c>
      <c r="T778" s="1866">
        <v>1926.2591</v>
      </c>
      <c r="U778" s="2442"/>
      <c r="V778" s="1866">
        <f t="shared" si="281"/>
        <v>0</v>
      </c>
      <c r="W778" s="1869">
        <f>S778+U778</f>
        <v>186.43</v>
      </c>
      <c r="X778" s="1870">
        <f t="shared" si="279"/>
        <v>1926.2591</v>
      </c>
      <c r="Y778" s="1871">
        <f t="shared" si="282"/>
        <v>0.99999953277335352</v>
      </c>
      <c r="Z778" s="1694">
        <f>+E778-W778</f>
        <v>0</v>
      </c>
      <c r="AA778" s="1872">
        <f t="shared" si="283"/>
        <v>0</v>
      </c>
      <c r="AB778" s="1873">
        <f t="shared" si="284"/>
        <v>0</v>
      </c>
      <c r="AC778" s="1418">
        <f t="shared" si="269"/>
        <v>9.0000000000145519E-4</v>
      </c>
      <c r="AD778" s="1418">
        <f t="shared" si="270"/>
        <v>0</v>
      </c>
      <c r="AE778" s="1418">
        <v>1926.2590999999998</v>
      </c>
      <c r="AF778" s="1418">
        <f t="shared" si="271"/>
        <v>-9.0000000022882887E-4</v>
      </c>
      <c r="AG778" s="1418">
        <v>10.37</v>
      </c>
      <c r="AH778" s="1418">
        <f t="shared" si="272"/>
        <v>0</v>
      </c>
      <c r="AI778" s="1428"/>
      <c r="AO778" s="2504">
        <v>1926.2591</v>
      </c>
      <c r="AP778" s="1418">
        <f t="shared" si="280"/>
        <v>0</v>
      </c>
    </row>
    <row r="779" spans="1:44" s="1410" customFormat="1" ht="15.75">
      <c r="A779" s="2102"/>
      <c r="B779" s="1272" t="s">
        <v>2065</v>
      </c>
      <c r="C779" s="1262" t="s">
        <v>3539</v>
      </c>
      <c r="D779" s="1273"/>
      <c r="E779" s="1415"/>
      <c r="F779" s="1267"/>
      <c r="G779" s="1480"/>
      <c r="H779" s="1416"/>
      <c r="I779" s="1477">
        <f t="shared" si="267"/>
        <v>0</v>
      </c>
      <c r="J779" s="1477">
        <f t="shared" si="268"/>
        <v>0</v>
      </c>
      <c r="K779" s="1477"/>
      <c r="L779" s="1477">
        <f t="shared" si="273"/>
        <v>0</v>
      </c>
      <c r="M779" s="1477"/>
      <c r="N779" s="1477">
        <f t="shared" si="274"/>
        <v>0</v>
      </c>
      <c r="O779" s="1477">
        <f t="shared" si="275"/>
        <v>0</v>
      </c>
      <c r="P779" s="1477">
        <f t="shared" si="276"/>
        <v>0</v>
      </c>
      <c r="Q779" s="1477">
        <f t="shared" si="277"/>
        <v>0</v>
      </c>
      <c r="R779" s="1576">
        <f t="shared" si="278"/>
        <v>0</v>
      </c>
      <c r="S779" s="1869"/>
      <c r="T779" s="1866"/>
      <c r="U779" s="2442"/>
      <c r="V779" s="1866">
        <f t="shared" si="281"/>
        <v>0</v>
      </c>
      <c r="W779" s="1869"/>
      <c r="X779" s="1870"/>
      <c r="Y779" s="1871" t="str">
        <f t="shared" si="282"/>
        <v/>
      </c>
      <c r="Z779" s="1694"/>
      <c r="AA779" s="1872">
        <f t="shared" si="283"/>
        <v>0</v>
      </c>
      <c r="AB779" s="1873" t="str">
        <f t="shared" si="284"/>
        <v/>
      </c>
      <c r="AC779" s="1418">
        <f t="shared" si="269"/>
        <v>0</v>
      </c>
      <c r="AD779" s="1418">
        <f t="shared" si="270"/>
        <v>0</v>
      </c>
      <c r="AE779" s="1418"/>
      <c r="AF779" s="1418">
        <f t="shared" si="271"/>
        <v>0</v>
      </c>
      <c r="AG779" s="1418"/>
      <c r="AH779" s="1418">
        <f t="shared" si="272"/>
        <v>0</v>
      </c>
      <c r="AI779" s="1428"/>
      <c r="AO779" s="2504"/>
      <c r="AP779" s="1418">
        <f t="shared" si="280"/>
        <v>0</v>
      </c>
    </row>
    <row r="780" spans="1:44" s="1410" customFormat="1" ht="15.75">
      <c r="A780" s="2102"/>
      <c r="B780" s="1268" t="s">
        <v>2066</v>
      </c>
      <c r="C780" s="1241" t="s">
        <v>3540</v>
      </c>
      <c r="D780" s="1245" t="s">
        <v>1451</v>
      </c>
      <c r="E780" s="1413">
        <v>270</v>
      </c>
      <c r="F780" s="1555">
        <v>90.07</v>
      </c>
      <c r="G780" s="1480">
        <v>93.95</v>
      </c>
      <c r="H780" s="1414">
        <v>95.94</v>
      </c>
      <c r="I780" s="1477">
        <f t="shared" si="267"/>
        <v>24318.9</v>
      </c>
      <c r="J780" s="1477">
        <f t="shared" si="268"/>
        <v>25366.5</v>
      </c>
      <c r="K780" s="1477">
        <v>0</v>
      </c>
      <c r="L780" s="1477">
        <f t="shared" si="273"/>
        <v>0</v>
      </c>
      <c r="M780" s="1477">
        <v>270</v>
      </c>
      <c r="N780" s="1477">
        <f t="shared" si="274"/>
        <v>270</v>
      </c>
      <c r="O780" s="1477">
        <f t="shared" si="275"/>
        <v>0</v>
      </c>
      <c r="P780" s="1477">
        <f t="shared" si="276"/>
        <v>25366.5</v>
      </c>
      <c r="Q780" s="1477">
        <f t="shared" si="277"/>
        <v>25903.8</v>
      </c>
      <c r="R780" s="1576">
        <f t="shared" si="278"/>
        <v>25903.8</v>
      </c>
      <c r="S780" s="1869">
        <v>270</v>
      </c>
      <c r="T780" s="1866">
        <v>25903.799999999996</v>
      </c>
      <c r="U780" s="2442"/>
      <c r="V780" s="1866">
        <f t="shared" si="281"/>
        <v>0</v>
      </c>
      <c r="W780" s="1869">
        <f>S780+U780</f>
        <v>270</v>
      </c>
      <c r="X780" s="1870">
        <f t="shared" si="279"/>
        <v>25903.799999999996</v>
      </c>
      <c r="Y780" s="1871">
        <f t="shared" si="282"/>
        <v>0.99999999999999989</v>
      </c>
      <c r="Z780" s="1694">
        <f>+E780-W780</f>
        <v>0</v>
      </c>
      <c r="AA780" s="1872">
        <f t="shared" si="283"/>
        <v>0</v>
      </c>
      <c r="AB780" s="1873">
        <f t="shared" si="284"/>
        <v>0</v>
      </c>
      <c r="AC780" s="1418">
        <f t="shared" si="269"/>
        <v>3.637978807091713E-12</v>
      </c>
      <c r="AD780" s="1418">
        <f t="shared" si="270"/>
        <v>0</v>
      </c>
      <c r="AE780" s="1418">
        <v>25903.8</v>
      </c>
      <c r="AF780" s="1418">
        <f t="shared" si="271"/>
        <v>0</v>
      </c>
      <c r="AG780" s="1418">
        <v>95.94</v>
      </c>
      <c r="AH780" s="1418">
        <f t="shared" si="272"/>
        <v>0</v>
      </c>
      <c r="AI780" s="1428"/>
      <c r="AO780" s="2504">
        <v>25903.799999999996</v>
      </c>
      <c r="AP780" s="1418">
        <f t="shared" si="280"/>
        <v>0</v>
      </c>
      <c r="AQ780" s="1410">
        <v>25</v>
      </c>
    </row>
    <row r="781" spans="1:44" s="1410" customFormat="1" ht="15.75">
      <c r="A781" s="2102"/>
      <c r="B781" s="1272" t="s">
        <v>2789</v>
      </c>
      <c r="C781" s="1262" t="s">
        <v>3513</v>
      </c>
      <c r="D781" s="1273"/>
      <c r="E781" s="1415"/>
      <c r="F781" s="1267"/>
      <c r="G781" s="1480"/>
      <c r="H781" s="1416"/>
      <c r="I781" s="1477">
        <f t="shared" si="267"/>
        <v>0</v>
      </c>
      <c r="J781" s="1477">
        <f t="shared" si="268"/>
        <v>0</v>
      </c>
      <c r="K781" s="1477"/>
      <c r="L781" s="1477">
        <f t="shared" si="273"/>
        <v>0</v>
      </c>
      <c r="M781" s="1477"/>
      <c r="N781" s="1477">
        <f t="shared" si="274"/>
        <v>0</v>
      </c>
      <c r="O781" s="1477">
        <f t="shared" si="275"/>
        <v>0</v>
      </c>
      <c r="P781" s="1477">
        <f t="shared" si="276"/>
        <v>0</v>
      </c>
      <c r="Q781" s="1477">
        <f t="shared" si="277"/>
        <v>0</v>
      </c>
      <c r="R781" s="1576">
        <f t="shared" si="278"/>
        <v>0</v>
      </c>
      <c r="S781" s="1869"/>
      <c r="T781" s="1866"/>
      <c r="U781" s="2442"/>
      <c r="V781" s="1866">
        <f t="shared" si="281"/>
        <v>0</v>
      </c>
      <c r="W781" s="1869"/>
      <c r="X781" s="1870"/>
      <c r="Y781" s="1871" t="str">
        <f t="shared" si="282"/>
        <v/>
      </c>
      <c r="Z781" s="1694"/>
      <c r="AA781" s="1872">
        <f t="shared" si="283"/>
        <v>0</v>
      </c>
      <c r="AB781" s="1873" t="str">
        <f t="shared" si="284"/>
        <v/>
      </c>
      <c r="AC781" s="1418">
        <f t="shared" si="269"/>
        <v>0</v>
      </c>
      <c r="AD781" s="1418">
        <f t="shared" si="270"/>
        <v>0</v>
      </c>
      <c r="AE781" s="1418"/>
      <c r="AF781" s="1418">
        <f t="shared" si="271"/>
        <v>0</v>
      </c>
      <c r="AG781" s="1418"/>
      <c r="AH781" s="1418">
        <f t="shared" si="272"/>
        <v>0</v>
      </c>
      <c r="AI781" s="1428"/>
      <c r="AO781" s="2504"/>
      <c r="AP781" s="1418">
        <f t="shared" si="280"/>
        <v>0</v>
      </c>
    </row>
    <row r="782" spans="1:44" s="1410" customFormat="1" ht="15.75">
      <c r="A782" s="2102"/>
      <c r="B782" s="1268" t="s">
        <v>2790</v>
      </c>
      <c r="C782" s="1241" t="s">
        <v>3541</v>
      </c>
      <c r="D782" s="1245" t="s">
        <v>38</v>
      </c>
      <c r="E782" s="1413">
        <v>5114.58</v>
      </c>
      <c r="F782" s="1555">
        <v>8.11</v>
      </c>
      <c r="G782" s="1480">
        <v>8.57</v>
      </c>
      <c r="H782" s="1414">
        <v>8.81</v>
      </c>
      <c r="I782" s="1477">
        <f t="shared" si="267"/>
        <v>41479.24</v>
      </c>
      <c r="J782" s="1477">
        <f t="shared" si="268"/>
        <v>43831.95</v>
      </c>
      <c r="K782" s="1477">
        <v>0</v>
      </c>
      <c r="L782" s="1477">
        <f t="shared" si="273"/>
        <v>0</v>
      </c>
      <c r="M782" s="1477">
        <v>5114.58</v>
      </c>
      <c r="N782" s="1477">
        <f t="shared" si="274"/>
        <v>5114.58</v>
      </c>
      <c r="O782" s="1477">
        <f t="shared" si="275"/>
        <v>0</v>
      </c>
      <c r="P782" s="1477">
        <f t="shared" si="276"/>
        <v>43831.95</v>
      </c>
      <c r="Q782" s="1477">
        <f t="shared" si="277"/>
        <v>45059.45</v>
      </c>
      <c r="R782" s="1576">
        <f t="shared" si="278"/>
        <v>45059.45</v>
      </c>
      <c r="S782" s="1869">
        <v>4598</v>
      </c>
      <c r="T782" s="1866">
        <v>40508.380000000005</v>
      </c>
      <c r="U782" s="2442"/>
      <c r="V782" s="1866">
        <f t="shared" si="281"/>
        <v>0</v>
      </c>
      <c r="W782" s="1869">
        <f>S782+U782</f>
        <v>4598</v>
      </c>
      <c r="X782" s="1870">
        <f t="shared" si="279"/>
        <v>40508.380000000005</v>
      </c>
      <c r="Y782" s="1871">
        <f t="shared" si="282"/>
        <v>0.89899854525521294</v>
      </c>
      <c r="Z782" s="1694">
        <f>+E782-W782</f>
        <v>516.57999999999993</v>
      </c>
      <c r="AA782" s="1872">
        <f t="shared" si="283"/>
        <v>4551.0697999999993</v>
      </c>
      <c r="AB782" s="1873">
        <f t="shared" si="284"/>
        <v>0.10100145030620657</v>
      </c>
      <c r="AC782" s="1418">
        <f t="shared" si="269"/>
        <v>1.9999999312858563E-4</v>
      </c>
      <c r="AD782" s="1418">
        <f t="shared" si="270"/>
        <v>0</v>
      </c>
      <c r="AE782" s="1418">
        <v>45059.449800000002</v>
      </c>
      <c r="AF782" s="1418">
        <f t="shared" si="271"/>
        <v>-1.9999999494757503E-4</v>
      </c>
      <c r="AG782" s="1418">
        <v>8.81</v>
      </c>
      <c r="AH782" s="1418">
        <f t="shared" si="272"/>
        <v>0</v>
      </c>
      <c r="AI782" s="1428"/>
      <c r="AO782" s="2504">
        <v>40508.380000000005</v>
      </c>
      <c r="AP782" s="1418">
        <f t="shared" si="280"/>
        <v>0</v>
      </c>
    </row>
    <row r="783" spans="1:44" s="1410" customFormat="1" ht="15.75">
      <c r="A783" s="2102"/>
      <c r="B783" s="1272" t="s">
        <v>2791</v>
      </c>
      <c r="C783" s="1262" t="s">
        <v>3519</v>
      </c>
      <c r="D783" s="1273"/>
      <c r="E783" s="1415"/>
      <c r="F783" s="1267"/>
      <c r="G783" s="1480"/>
      <c r="H783" s="1416"/>
      <c r="I783" s="1477">
        <f t="shared" si="267"/>
        <v>0</v>
      </c>
      <c r="J783" s="1477">
        <f t="shared" si="268"/>
        <v>0</v>
      </c>
      <c r="K783" s="1477"/>
      <c r="L783" s="1477">
        <f t="shared" si="273"/>
        <v>0</v>
      </c>
      <c r="M783" s="1477"/>
      <c r="N783" s="1477">
        <f t="shared" si="274"/>
        <v>0</v>
      </c>
      <c r="O783" s="1477">
        <f t="shared" si="275"/>
        <v>0</v>
      </c>
      <c r="P783" s="1477">
        <f t="shared" si="276"/>
        <v>0</v>
      </c>
      <c r="Q783" s="1477">
        <f t="shared" si="277"/>
        <v>0</v>
      </c>
      <c r="R783" s="1576">
        <f t="shared" si="278"/>
        <v>0</v>
      </c>
      <c r="S783" s="1869"/>
      <c r="T783" s="1866"/>
      <c r="U783" s="2442"/>
      <c r="V783" s="1866">
        <f t="shared" si="281"/>
        <v>0</v>
      </c>
      <c r="W783" s="1869"/>
      <c r="X783" s="1870"/>
      <c r="Y783" s="1871" t="str">
        <f t="shared" si="282"/>
        <v/>
      </c>
      <c r="Z783" s="1694"/>
      <c r="AA783" s="1872">
        <f t="shared" si="283"/>
        <v>0</v>
      </c>
      <c r="AB783" s="1873" t="str">
        <f t="shared" si="284"/>
        <v/>
      </c>
      <c r="AC783" s="1418">
        <f t="shared" si="269"/>
        <v>0</v>
      </c>
      <c r="AD783" s="1418">
        <f t="shared" si="270"/>
        <v>0</v>
      </c>
      <c r="AE783" s="1418"/>
      <c r="AF783" s="1418">
        <f t="shared" si="271"/>
        <v>0</v>
      </c>
      <c r="AG783" s="1418"/>
      <c r="AH783" s="1418">
        <f t="shared" si="272"/>
        <v>0</v>
      </c>
      <c r="AI783" s="1428"/>
      <c r="AO783" s="2504"/>
      <c r="AP783" s="1418">
        <f t="shared" si="280"/>
        <v>0</v>
      </c>
    </row>
    <row r="784" spans="1:44" s="1410" customFormat="1" ht="15.75">
      <c r="A784" s="2102"/>
      <c r="B784" s="1268" t="s">
        <v>2792</v>
      </c>
      <c r="C784" s="1241" t="s">
        <v>3520</v>
      </c>
      <c r="D784" s="1245" t="s">
        <v>36</v>
      </c>
      <c r="E784" s="1413">
        <v>4</v>
      </c>
      <c r="F784" s="1555">
        <v>397.6</v>
      </c>
      <c r="G784" s="1480">
        <v>399.12</v>
      </c>
      <c r="H784" s="1414">
        <v>399.93</v>
      </c>
      <c r="I784" s="1477">
        <f t="shared" ref="I784:I834" si="289">ROUND(E784*F784,2)</f>
        <v>1590.4</v>
      </c>
      <c r="J784" s="1477">
        <f t="shared" ref="J784:J838" si="290">ROUND(E784*G784,2)</f>
        <v>1596.48</v>
      </c>
      <c r="K784" s="1477">
        <v>0</v>
      </c>
      <c r="L784" s="1477">
        <f t="shared" si="273"/>
        <v>0</v>
      </c>
      <c r="M784" s="1477">
        <v>4</v>
      </c>
      <c r="N784" s="1477">
        <f t="shared" si="274"/>
        <v>4</v>
      </c>
      <c r="O784" s="1477">
        <f t="shared" si="275"/>
        <v>0</v>
      </c>
      <c r="P784" s="1477">
        <f t="shared" si="276"/>
        <v>1596.48</v>
      </c>
      <c r="Q784" s="1477">
        <f t="shared" si="277"/>
        <v>1599.72</v>
      </c>
      <c r="R784" s="1576">
        <f t="shared" si="278"/>
        <v>1599.72</v>
      </c>
      <c r="S784" s="1869">
        <v>4</v>
      </c>
      <c r="T784" s="1866">
        <v>1599.72</v>
      </c>
      <c r="U784" s="2442"/>
      <c r="V784" s="1866">
        <f t="shared" si="281"/>
        <v>0</v>
      </c>
      <c r="W784" s="1869">
        <f>S784+U784</f>
        <v>4</v>
      </c>
      <c r="X784" s="1870">
        <f t="shared" si="279"/>
        <v>1599.72</v>
      </c>
      <c r="Y784" s="1871">
        <f t="shared" si="282"/>
        <v>1</v>
      </c>
      <c r="Z784" s="1694">
        <f>+E784-W784</f>
        <v>0</v>
      </c>
      <c r="AA784" s="1872">
        <f t="shared" si="283"/>
        <v>0</v>
      </c>
      <c r="AB784" s="1873">
        <f t="shared" si="284"/>
        <v>0</v>
      </c>
      <c r="AC784" s="1418">
        <f t="shared" ref="AC784:AC839" si="291">+R784-X784-AA784</f>
        <v>0</v>
      </c>
      <c r="AD784" s="1418">
        <f t="shared" ref="AD784:AD838" si="292">+E784-W784-Z784</f>
        <v>0</v>
      </c>
      <c r="AE784" s="1418">
        <v>1599.72</v>
      </c>
      <c r="AF784" s="1418">
        <f t="shared" ref="AF784:AF838" si="293">+AE784-R784</f>
        <v>0</v>
      </c>
      <c r="AG784" s="1418">
        <v>399.93</v>
      </c>
      <c r="AH784" s="1418">
        <f t="shared" ref="AH784:AH838" si="294">+AG784-H784</f>
        <v>0</v>
      </c>
      <c r="AI784" s="1428"/>
      <c r="AO784" s="2504">
        <v>1599.72</v>
      </c>
      <c r="AP784" s="1418">
        <f t="shared" si="280"/>
        <v>0</v>
      </c>
    </row>
    <row r="785" spans="1:42" s="1410" customFormat="1" ht="15.75">
      <c r="A785" s="2102"/>
      <c r="B785" s="1272" t="s">
        <v>2793</v>
      </c>
      <c r="C785" s="1262" t="s">
        <v>3521</v>
      </c>
      <c r="D785" s="1273"/>
      <c r="E785" s="1415"/>
      <c r="F785" s="1267"/>
      <c r="G785" s="1480"/>
      <c r="H785" s="1416"/>
      <c r="I785" s="1477">
        <f t="shared" si="289"/>
        <v>0</v>
      </c>
      <c r="J785" s="1477">
        <f t="shared" si="290"/>
        <v>0</v>
      </c>
      <c r="K785" s="1477"/>
      <c r="L785" s="1477">
        <f t="shared" ref="L785:L838" si="295">E785-N785</f>
        <v>0</v>
      </c>
      <c r="M785" s="1477"/>
      <c r="N785" s="1477">
        <f t="shared" ref="N785:N838" si="296">ROUND(M785,2)</f>
        <v>0</v>
      </c>
      <c r="O785" s="1477">
        <f t="shared" ref="O785:O838" si="297">ROUND(L785*G785,2)</f>
        <v>0</v>
      </c>
      <c r="P785" s="1477">
        <f t="shared" ref="P785:P838" si="298">ROUND(N785*G785,2)</f>
        <v>0</v>
      </c>
      <c r="Q785" s="1477">
        <f t="shared" ref="Q785:Q838" si="299">ROUND(N785*H785,2)</f>
        <v>0</v>
      </c>
      <c r="R785" s="1576">
        <f t="shared" ref="R785:R838" si="300">O785+Q785</f>
        <v>0</v>
      </c>
      <c r="S785" s="1869"/>
      <c r="T785" s="1866"/>
      <c r="U785" s="2442"/>
      <c r="V785" s="1866">
        <f t="shared" si="281"/>
        <v>0</v>
      </c>
      <c r="W785" s="1869"/>
      <c r="X785" s="1870"/>
      <c r="Y785" s="1871" t="str">
        <f t="shared" si="282"/>
        <v/>
      </c>
      <c r="Z785" s="1694"/>
      <c r="AA785" s="1872">
        <f t="shared" si="283"/>
        <v>0</v>
      </c>
      <c r="AB785" s="1873" t="str">
        <f t="shared" si="284"/>
        <v/>
      </c>
      <c r="AC785" s="1418">
        <f t="shared" si="291"/>
        <v>0</v>
      </c>
      <c r="AD785" s="1418">
        <f t="shared" si="292"/>
        <v>0</v>
      </c>
      <c r="AE785" s="1418"/>
      <c r="AF785" s="1418">
        <f t="shared" si="293"/>
        <v>0</v>
      </c>
      <c r="AG785" s="1418"/>
      <c r="AH785" s="1418">
        <f t="shared" si="294"/>
        <v>0</v>
      </c>
      <c r="AI785" s="1428"/>
      <c r="AO785" s="2504"/>
      <c r="AP785" s="1418">
        <f t="shared" ref="AP785:AP838" si="301">+AO785-X785</f>
        <v>0</v>
      </c>
    </row>
    <row r="786" spans="1:42" s="1410" customFormat="1" ht="15.75">
      <c r="A786" s="2102"/>
      <c r="B786" s="1268" t="s">
        <v>2794</v>
      </c>
      <c r="C786" s="2131" t="s">
        <v>3542</v>
      </c>
      <c r="D786" s="1245" t="s">
        <v>36</v>
      </c>
      <c r="E786" s="1413">
        <v>4</v>
      </c>
      <c r="F786" s="1555">
        <v>548.52</v>
      </c>
      <c r="G786" s="1480">
        <v>551.77</v>
      </c>
      <c r="H786" s="1414">
        <v>553.6</v>
      </c>
      <c r="I786" s="1477">
        <f t="shared" si="289"/>
        <v>2194.08</v>
      </c>
      <c r="J786" s="1477">
        <f t="shared" si="290"/>
        <v>2207.08</v>
      </c>
      <c r="K786" s="1477">
        <v>0</v>
      </c>
      <c r="L786" s="1477">
        <f t="shared" si="295"/>
        <v>0</v>
      </c>
      <c r="M786" s="1477">
        <v>4</v>
      </c>
      <c r="N786" s="1477">
        <f t="shared" si="296"/>
        <v>4</v>
      </c>
      <c r="O786" s="1477">
        <f t="shared" si="297"/>
        <v>0</v>
      </c>
      <c r="P786" s="1477">
        <f t="shared" si="298"/>
        <v>2207.08</v>
      </c>
      <c r="Q786" s="1477">
        <f t="shared" si="299"/>
        <v>2214.4</v>
      </c>
      <c r="R786" s="1576">
        <f t="shared" si="300"/>
        <v>2214.4</v>
      </c>
      <c r="S786" s="1869">
        <v>0</v>
      </c>
      <c r="T786" s="1866">
        <v>0</v>
      </c>
      <c r="U786" s="2442"/>
      <c r="V786" s="1866">
        <f t="shared" ref="V786:V838" si="302">+U786*H786</f>
        <v>0</v>
      </c>
      <c r="W786" s="1869">
        <f>S786+U786</f>
        <v>0</v>
      </c>
      <c r="X786" s="1870">
        <f t="shared" ref="X786:X838" si="303">+V786+T786</f>
        <v>0</v>
      </c>
      <c r="Y786" s="1871">
        <f t="shared" ref="Y786:Y838" si="304">+IF(D786=0,"",X786/R786)</f>
        <v>0</v>
      </c>
      <c r="Z786" s="1694">
        <f>+E786-W786</f>
        <v>4</v>
      </c>
      <c r="AA786" s="1872">
        <f t="shared" ref="AA786:AA838" si="305">+Z786*H786</f>
        <v>2214.4</v>
      </c>
      <c r="AB786" s="1873">
        <f t="shared" ref="AB786:AB838" si="306">+IF(R786=0,"",AA786/R786)</f>
        <v>1</v>
      </c>
      <c r="AC786" s="1418">
        <f t="shared" si="291"/>
        <v>0</v>
      </c>
      <c r="AD786" s="1418">
        <f t="shared" si="292"/>
        <v>0</v>
      </c>
      <c r="AE786" s="1418">
        <v>2214.4</v>
      </c>
      <c r="AF786" s="1418">
        <f t="shared" si="293"/>
        <v>0</v>
      </c>
      <c r="AG786" s="1418">
        <v>553.6</v>
      </c>
      <c r="AH786" s="1418">
        <f t="shared" si="294"/>
        <v>0</v>
      </c>
      <c r="AI786" s="1428"/>
      <c r="AO786" s="2504">
        <v>0</v>
      </c>
      <c r="AP786" s="1418">
        <f t="shared" si="301"/>
        <v>0</v>
      </c>
    </row>
    <row r="787" spans="1:42" s="1410" customFormat="1" ht="15.75">
      <c r="A787" s="2102" t="s">
        <v>3619</v>
      </c>
      <c r="B787" s="1272" t="s">
        <v>2795</v>
      </c>
      <c r="C787" s="1262" t="s">
        <v>3524</v>
      </c>
      <c r="D787" s="1273"/>
      <c r="E787" s="1415"/>
      <c r="F787" s="1267"/>
      <c r="G787" s="1480"/>
      <c r="H787" s="1416"/>
      <c r="I787" s="1477">
        <f t="shared" si="289"/>
        <v>0</v>
      </c>
      <c r="J787" s="1477">
        <f t="shared" si="290"/>
        <v>0</v>
      </c>
      <c r="K787" s="1477"/>
      <c r="L787" s="1477">
        <f t="shared" si="295"/>
        <v>0</v>
      </c>
      <c r="M787" s="1477"/>
      <c r="N787" s="1477">
        <f t="shared" si="296"/>
        <v>0</v>
      </c>
      <c r="O787" s="1477">
        <f t="shared" si="297"/>
        <v>0</v>
      </c>
      <c r="P787" s="1477">
        <f t="shared" si="298"/>
        <v>0</v>
      </c>
      <c r="Q787" s="1477">
        <f t="shared" si="299"/>
        <v>0</v>
      </c>
      <c r="R787" s="1576">
        <f t="shared" si="300"/>
        <v>0</v>
      </c>
      <c r="S787" s="1869"/>
      <c r="T787" s="1866"/>
      <c r="U787" s="2442"/>
      <c r="V787" s="1866">
        <f t="shared" si="302"/>
        <v>0</v>
      </c>
      <c r="W787" s="1869"/>
      <c r="X787" s="1870"/>
      <c r="Y787" s="1871" t="str">
        <f t="shared" si="304"/>
        <v/>
      </c>
      <c r="Z787" s="1694"/>
      <c r="AA787" s="1872">
        <f t="shared" si="305"/>
        <v>0</v>
      </c>
      <c r="AB787" s="1873" t="str">
        <f t="shared" si="306"/>
        <v/>
      </c>
      <c r="AC787" s="1418">
        <f t="shared" si="291"/>
        <v>0</v>
      </c>
      <c r="AD787" s="1418">
        <f t="shared" si="292"/>
        <v>0</v>
      </c>
      <c r="AE787" s="1418"/>
      <c r="AF787" s="1418">
        <f t="shared" si="293"/>
        <v>0</v>
      </c>
      <c r="AG787" s="1418"/>
      <c r="AH787" s="1418">
        <f t="shared" si="294"/>
        <v>0</v>
      </c>
      <c r="AI787" s="1428"/>
      <c r="AO787" s="2504"/>
      <c r="AP787" s="1418">
        <f t="shared" si="301"/>
        <v>0</v>
      </c>
    </row>
    <row r="788" spans="1:42" s="1410" customFormat="1" ht="15.75">
      <c r="A788" s="2102" t="s">
        <v>3619</v>
      </c>
      <c r="B788" s="1268" t="s">
        <v>2796</v>
      </c>
      <c r="C788" s="1241" t="s">
        <v>3525</v>
      </c>
      <c r="D788" s="1245" t="s">
        <v>36</v>
      </c>
      <c r="E788" s="1413">
        <v>113</v>
      </c>
      <c r="F788" s="1555">
        <v>68.91</v>
      </c>
      <c r="G788" s="1480">
        <v>72.099999999999994</v>
      </c>
      <c r="H788" s="1414">
        <v>73.89</v>
      </c>
      <c r="I788" s="1477">
        <f t="shared" si="289"/>
        <v>7786.83</v>
      </c>
      <c r="J788" s="1477">
        <f t="shared" si="290"/>
        <v>8147.3</v>
      </c>
      <c r="K788" s="1477">
        <v>18</v>
      </c>
      <c r="L788" s="1477">
        <f t="shared" si="295"/>
        <v>18</v>
      </c>
      <c r="M788" s="1477">
        <v>95</v>
      </c>
      <c r="N788" s="1477">
        <f t="shared" si="296"/>
        <v>95</v>
      </c>
      <c r="O788" s="1477">
        <f t="shared" si="297"/>
        <v>1297.8</v>
      </c>
      <c r="P788" s="1477">
        <f t="shared" si="298"/>
        <v>6849.5</v>
      </c>
      <c r="Q788" s="1477">
        <f t="shared" si="299"/>
        <v>7019.55</v>
      </c>
      <c r="R788" s="1576">
        <f t="shared" si="300"/>
        <v>8317.35</v>
      </c>
      <c r="S788" s="1869">
        <v>113</v>
      </c>
      <c r="T788" s="1866">
        <v>8317.35</v>
      </c>
      <c r="U788" s="2442"/>
      <c r="V788" s="1866">
        <f t="shared" si="302"/>
        <v>0</v>
      </c>
      <c r="W788" s="1869">
        <f>S788+U788</f>
        <v>113</v>
      </c>
      <c r="X788" s="1870">
        <f t="shared" si="303"/>
        <v>8317.35</v>
      </c>
      <c r="Y788" s="1871">
        <f t="shared" si="304"/>
        <v>1</v>
      </c>
      <c r="Z788" s="1694">
        <f>+E788-W788</f>
        <v>0</v>
      </c>
      <c r="AA788" s="1872">
        <f t="shared" si="305"/>
        <v>0</v>
      </c>
      <c r="AB788" s="1873">
        <f t="shared" si="306"/>
        <v>0</v>
      </c>
      <c r="AC788" s="1418">
        <f t="shared" si="291"/>
        <v>0</v>
      </c>
      <c r="AD788" s="1418">
        <f t="shared" si="292"/>
        <v>0</v>
      </c>
      <c r="AE788" s="1418">
        <v>8317.3499999999985</v>
      </c>
      <c r="AF788" s="1418">
        <f t="shared" si="293"/>
        <v>0</v>
      </c>
      <c r="AG788" s="1418">
        <v>73.89</v>
      </c>
      <c r="AH788" s="1418">
        <f t="shared" si="294"/>
        <v>0</v>
      </c>
      <c r="AI788" s="1428"/>
      <c r="AO788" s="2504">
        <v>8317.35</v>
      </c>
      <c r="AP788" s="1418">
        <f t="shared" si="301"/>
        <v>0</v>
      </c>
    </row>
    <row r="789" spans="1:42" s="1410" customFormat="1" ht="15.75">
      <c r="A789" s="2102" t="s">
        <v>3619</v>
      </c>
      <c r="B789" s="1268" t="s">
        <v>2797</v>
      </c>
      <c r="C789" s="1241" t="s">
        <v>3526</v>
      </c>
      <c r="D789" s="1245" t="s">
        <v>36</v>
      </c>
      <c r="E789" s="1413">
        <v>43</v>
      </c>
      <c r="F789" s="1555">
        <v>137.04</v>
      </c>
      <c r="G789" s="1480">
        <v>140.22999999999999</v>
      </c>
      <c r="H789" s="1414">
        <v>142.02000000000001</v>
      </c>
      <c r="I789" s="1477">
        <f t="shared" si="289"/>
        <v>5892.72</v>
      </c>
      <c r="J789" s="1477">
        <f t="shared" si="290"/>
        <v>6029.89</v>
      </c>
      <c r="K789" s="1477">
        <v>3</v>
      </c>
      <c r="L789" s="1477">
        <f t="shared" si="295"/>
        <v>3</v>
      </c>
      <c r="M789" s="1477">
        <v>40</v>
      </c>
      <c r="N789" s="1477">
        <f t="shared" si="296"/>
        <v>40</v>
      </c>
      <c r="O789" s="1477">
        <f t="shared" si="297"/>
        <v>420.69</v>
      </c>
      <c r="P789" s="1477">
        <f t="shared" si="298"/>
        <v>5609.2</v>
      </c>
      <c r="Q789" s="1477">
        <f t="shared" si="299"/>
        <v>5680.8</v>
      </c>
      <c r="R789" s="1576">
        <f t="shared" si="300"/>
        <v>6101.49</v>
      </c>
      <c r="S789" s="1869">
        <v>43</v>
      </c>
      <c r="T789" s="1866">
        <v>6101.4900000000007</v>
      </c>
      <c r="U789" s="2442"/>
      <c r="V789" s="1866">
        <f t="shared" si="302"/>
        <v>0</v>
      </c>
      <c r="W789" s="1869">
        <f>S789+U789</f>
        <v>43</v>
      </c>
      <c r="X789" s="1870">
        <f t="shared" si="303"/>
        <v>6101.4900000000007</v>
      </c>
      <c r="Y789" s="1871">
        <f t="shared" si="304"/>
        <v>1.0000000000000002</v>
      </c>
      <c r="Z789" s="1694">
        <f>+E789-W789</f>
        <v>0</v>
      </c>
      <c r="AA789" s="1872">
        <f t="shared" si="305"/>
        <v>0</v>
      </c>
      <c r="AB789" s="1873">
        <f t="shared" si="306"/>
        <v>0</v>
      </c>
      <c r="AC789" s="1418">
        <f t="shared" si="291"/>
        <v>-9.0949470177292824E-13</v>
      </c>
      <c r="AD789" s="1418">
        <f t="shared" si="292"/>
        <v>0</v>
      </c>
      <c r="AE789" s="1418">
        <v>6101.4900000000007</v>
      </c>
      <c r="AF789" s="1418">
        <f t="shared" si="293"/>
        <v>0</v>
      </c>
      <c r="AG789" s="1418">
        <v>142.02000000000001</v>
      </c>
      <c r="AH789" s="1418">
        <f t="shared" si="294"/>
        <v>0</v>
      </c>
      <c r="AI789" s="1428"/>
      <c r="AO789" s="2504">
        <v>6101.4900000000007</v>
      </c>
      <c r="AP789" s="1418">
        <f t="shared" si="301"/>
        <v>0</v>
      </c>
    </row>
    <row r="790" spans="1:42" s="1410" customFormat="1" ht="15.75">
      <c r="A790" s="2102"/>
      <c r="B790" s="1272" t="s">
        <v>2798</v>
      </c>
      <c r="C790" s="1262" t="s">
        <v>3527</v>
      </c>
      <c r="D790" s="1273"/>
      <c r="E790" s="1415"/>
      <c r="F790" s="1267"/>
      <c r="G790" s="1480"/>
      <c r="H790" s="1416"/>
      <c r="I790" s="1477">
        <f t="shared" si="289"/>
        <v>0</v>
      </c>
      <c r="J790" s="1477">
        <f t="shared" si="290"/>
        <v>0</v>
      </c>
      <c r="K790" s="1477"/>
      <c r="L790" s="1477">
        <f t="shared" si="295"/>
        <v>0</v>
      </c>
      <c r="M790" s="1477"/>
      <c r="N790" s="1477">
        <f t="shared" si="296"/>
        <v>0</v>
      </c>
      <c r="O790" s="1477">
        <f t="shared" si="297"/>
        <v>0</v>
      </c>
      <c r="P790" s="1477">
        <f t="shared" si="298"/>
        <v>0</v>
      </c>
      <c r="Q790" s="1477">
        <f t="shared" si="299"/>
        <v>0</v>
      </c>
      <c r="R790" s="1576">
        <f t="shared" si="300"/>
        <v>0</v>
      </c>
      <c r="S790" s="1869"/>
      <c r="T790" s="1866"/>
      <c r="U790" s="2442"/>
      <c r="V790" s="1866">
        <f t="shared" si="302"/>
        <v>0</v>
      </c>
      <c r="W790" s="1869"/>
      <c r="X790" s="1870"/>
      <c r="Y790" s="1871" t="str">
        <f t="shared" si="304"/>
        <v/>
      </c>
      <c r="Z790" s="1694"/>
      <c r="AA790" s="1872">
        <f t="shared" si="305"/>
        <v>0</v>
      </c>
      <c r="AB790" s="1873" t="str">
        <f t="shared" si="306"/>
        <v/>
      </c>
      <c r="AC790" s="1418">
        <f t="shared" si="291"/>
        <v>0</v>
      </c>
      <c r="AD790" s="1418">
        <f t="shared" si="292"/>
        <v>0</v>
      </c>
      <c r="AE790" s="1418"/>
      <c r="AF790" s="1418">
        <f t="shared" si="293"/>
        <v>0</v>
      </c>
      <c r="AG790" s="1418"/>
      <c r="AH790" s="1418">
        <f t="shared" si="294"/>
        <v>0</v>
      </c>
      <c r="AI790" s="1428"/>
      <c r="AO790" s="2504"/>
      <c r="AP790" s="1418">
        <f t="shared" si="301"/>
        <v>0</v>
      </c>
    </row>
    <row r="791" spans="1:42" s="1410" customFormat="1" ht="15.75">
      <c r="A791" s="2102"/>
      <c r="B791" s="1268" t="s">
        <v>2799</v>
      </c>
      <c r="C791" s="1241" t="s">
        <v>3543</v>
      </c>
      <c r="D791" s="1245" t="s">
        <v>36</v>
      </c>
      <c r="E791" s="1413">
        <v>50</v>
      </c>
      <c r="F791" s="1555">
        <v>216.08</v>
      </c>
      <c r="G791" s="1480">
        <v>217.6</v>
      </c>
      <c r="H791" s="1414">
        <v>218.41</v>
      </c>
      <c r="I791" s="1477">
        <f t="shared" si="289"/>
        <v>10804</v>
      </c>
      <c r="J791" s="1477">
        <f t="shared" si="290"/>
        <v>10880</v>
      </c>
      <c r="K791" s="1477">
        <v>0</v>
      </c>
      <c r="L791" s="1477">
        <f t="shared" si="295"/>
        <v>0</v>
      </c>
      <c r="M791" s="1477">
        <v>50</v>
      </c>
      <c r="N791" s="1477">
        <f t="shared" si="296"/>
        <v>50</v>
      </c>
      <c r="O791" s="1477">
        <f t="shared" si="297"/>
        <v>0</v>
      </c>
      <c r="P791" s="1477">
        <f t="shared" si="298"/>
        <v>10880</v>
      </c>
      <c r="Q791" s="1477">
        <f t="shared" si="299"/>
        <v>10920.5</v>
      </c>
      <c r="R791" s="1576">
        <f t="shared" si="300"/>
        <v>10920.5</v>
      </c>
      <c r="S791" s="1869">
        <v>0</v>
      </c>
      <c r="T791" s="1866">
        <v>0</v>
      </c>
      <c r="U791" s="2442"/>
      <c r="V791" s="1866">
        <f t="shared" si="302"/>
        <v>0</v>
      </c>
      <c r="W791" s="1869">
        <f t="shared" ref="W791:W799" si="307">S791+U791</f>
        <v>0</v>
      </c>
      <c r="X791" s="1870">
        <f t="shared" si="303"/>
        <v>0</v>
      </c>
      <c r="Y791" s="1871">
        <f t="shared" si="304"/>
        <v>0</v>
      </c>
      <c r="Z791" s="1694">
        <f t="shared" ref="Z791:Z799" si="308">+E791-W791</f>
        <v>50</v>
      </c>
      <c r="AA791" s="1872">
        <f t="shared" si="305"/>
        <v>10920.5</v>
      </c>
      <c r="AB791" s="1873">
        <f t="shared" si="306"/>
        <v>1</v>
      </c>
      <c r="AC791" s="1418">
        <f t="shared" si="291"/>
        <v>0</v>
      </c>
      <c r="AD791" s="1418">
        <f t="shared" si="292"/>
        <v>0</v>
      </c>
      <c r="AE791" s="1418">
        <v>10920.5</v>
      </c>
      <c r="AF791" s="1418">
        <f t="shared" si="293"/>
        <v>0</v>
      </c>
      <c r="AG791" s="1418">
        <v>218.41</v>
      </c>
      <c r="AH791" s="1418">
        <f t="shared" si="294"/>
        <v>0</v>
      </c>
      <c r="AI791" s="1428"/>
      <c r="AO791" s="2504">
        <v>0</v>
      </c>
      <c r="AP791" s="1418">
        <f t="shared" si="301"/>
        <v>0</v>
      </c>
    </row>
    <row r="792" spans="1:42" s="1410" customFormat="1" ht="15.75">
      <c r="A792" s="2102"/>
      <c r="B792" s="1268" t="s">
        <v>2800</v>
      </c>
      <c r="C792" s="1241" t="s">
        <v>3544</v>
      </c>
      <c r="D792" s="1245" t="s">
        <v>36</v>
      </c>
      <c r="E792" s="1413">
        <v>7</v>
      </c>
      <c r="F792" s="1555">
        <v>183.09</v>
      </c>
      <c r="G792" s="1480">
        <v>184.61</v>
      </c>
      <c r="H792" s="1414">
        <v>185.42</v>
      </c>
      <c r="I792" s="1477">
        <f t="shared" si="289"/>
        <v>1281.6300000000001</v>
      </c>
      <c r="J792" s="1477">
        <f t="shared" si="290"/>
        <v>1292.27</v>
      </c>
      <c r="K792" s="1477">
        <v>0</v>
      </c>
      <c r="L792" s="1477">
        <f t="shared" si="295"/>
        <v>0</v>
      </c>
      <c r="M792" s="1477">
        <v>7</v>
      </c>
      <c r="N792" s="1477">
        <f t="shared" si="296"/>
        <v>7</v>
      </c>
      <c r="O792" s="1477">
        <f t="shared" si="297"/>
        <v>0</v>
      </c>
      <c r="P792" s="1477">
        <f t="shared" si="298"/>
        <v>1292.27</v>
      </c>
      <c r="Q792" s="1477">
        <f t="shared" si="299"/>
        <v>1297.94</v>
      </c>
      <c r="R792" s="1576">
        <f t="shared" si="300"/>
        <v>1297.94</v>
      </c>
      <c r="S792" s="1869">
        <v>7</v>
      </c>
      <c r="T792" s="1866">
        <v>1297.9399999999998</v>
      </c>
      <c r="U792" s="2442"/>
      <c r="V792" s="1866">
        <f t="shared" si="302"/>
        <v>0</v>
      </c>
      <c r="W792" s="1869">
        <f t="shared" si="307"/>
        <v>7</v>
      </c>
      <c r="X792" s="1870">
        <f t="shared" si="303"/>
        <v>1297.9399999999998</v>
      </c>
      <c r="Y792" s="1871">
        <f t="shared" si="304"/>
        <v>0.99999999999999978</v>
      </c>
      <c r="Z792" s="1694">
        <f t="shared" si="308"/>
        <v>0</v>
      </c>
      <c r="AA792" s="1872">
        <f t="shared" si="305"/>
        <v>0</v>
      </c>
      <c r="AB792" s="1873">
        <f t="shared" si="306"/>
        <v>0</v>
      </c>
      <c r="AC792" s="1418">
        <f t="shared" si="291"/>
        <v>2.2737367544323206E-13</v>
      </c>
      <c r="AD792" s="1418">
        <f t="shared" si="292"/>
        <v>0</v>
      </c>
      <c r="AE792" s="1418">
        <v>1297.9399999999998</v>
      </c>
      <c r="AF792" s="1418">
        <f t="shared" si="293"/>
        <v>0</v>
      </c>
      <c r="AG792" s="1418">
        <v>185.42</v>
      </c>
      <c r="AH792" s="1418">
        <f t="shared" si="294"/>
        <v>0</v>
      </c>
      <c r="AI792" s="1428"/>
      <c r="AO792" s="2504">
        <v>1297.9399999999998</v>
      </c>
      <c r="AP792" s="1418">
        <f t="shared" si="301"/>
        <v>0</v>
      </c>
    </row>
    <row r="793" spans="1:42" s="1410" customFormat="1" ht="15.75">
      <c r="A793" s="2102"/>
      <c r="B793" s="1268" t="s">
        <v>2801</v>
      </c>
      <c r="C793" s="1241" t="s">
        <v>3545</v>
      </c>
      <c r="D793" s="1245" t="s">
        <v>36</v>
      </c>
      <c r="E793" s="1413">
        <v>44</v>
      </c>
      <c r="F793" s="1555">
        <v>183.09</v>
      </c>
      <c r="G793" s="1480">
        <v>184.61</v>
      </c>
      <c r="H793" s="1414">
        <v>185.42</v>
      </c>
      <c r="I793" s="1477">
        <f t="shared" si="289"/>
        <v>8055.96</v>
      </c>
      <c r="J793" s="1477">
        <f t="shared" si="290"/>
        <v>8122.84</v>
      </c>
      <c r="K793" s="1477">
        <v>0</v>
      </c>
      <c r="L793" s="1477">
        <f t="shared" si="295"/>
        <v>0</v>
      </c>
      <c r="M793" s="1477">
        <v>44</v>
      </c>
      <c r="N793" s="1477">
        <f t="shared" si="296"/>
        <v>44</v>
      </c>
      <c r="O793" s="1477">
        <f t="shared" si="297"/>
        <v>0</v>
      </c>
      <c r="P793" s="1477">
        <f t="shared" si="298"/>
        <v>8122.84</v>
      </c>
      <c r="Q793" s="1477">
        <f t="shared" si="299"/>
        <v>8158.48</v>
      </c>
      <c r="R793" s="1576">
        <f t="shared" si="300"/>
        <v>8158.48</v>
      </c>
      <c r="S793" s="1869">
        <v>10</v>
      </c>
      <c r="T793" s="1866">
        <v>1854.1999999999998</v>
      </c>
      <c r="U793" s="2442"/>
      <c r="V793" s="1866">
        <f t="shared" si="302"/>
        <v>0</v>
      </c>
      <c r="W793" s="1869">
        <f t="shared" si="307"/>
        <v>10</v>
      </c>
      <c r="X793" s="1870">
        <f t="shared" si="303"/>
        <v>1854.1999999999998</v>
      </c>
      <c r="Y793" s="1871">
        <f t="shared" si="304"/>
        <v>0.22727272727272727</v>
      </c>
      <c r="Z793" s="1694">
        <f t="shared" si="308"/>
        <v>34</v>
      </c>
      <c r="AA793" s="1872">
        <f t="shared" si="305"/>
        <v>6304.28</v>
      </c>
      <c r="AB793" s="1873">
        <f t="shared" si="306"/>
        <v>0.77272727272727271</v>
      </c>
      <c r="AC793" s="1418">
        <f t="shared" si="291"/>
        <v>0</v>
      </c>
      <c r="AD793" s="1418">
        <f t="shared" si="292"/>
        <v>0</v>
      </c>
      <c r="AE793" s="1418">
        <v>8158.48</v>
      </c>
      <c r="AF793" s="1418">
        <f t="shared" si="293"/>
        <v>0</v>
      </c>
      <c r="AG793" s="1418">
        <v>185.42</v>
      </c>
      <c r="AH793" s="1418">
        <f t="shared" si="294"/>
        <v>0</v>
      </c>
      <c r="AI793" s="1428"/>
      <c r="AO793" s="2504">
        <v>1854.1999999999998</v>
      </c>
      <c r="AP793" s="1418">
        <f t="shared" si="301"/>
        <v>0</v>
      </c>
    </row>
    <row r="794" spans="1:42" s="1410" customFormat="1" ht="15.75">
      <c r="A794" s="2102"/>
      <c r="B794" s="1268" t="s">
        <v>2802</v>
      </c>
      <c r="C794" s="1241" t="s">
        <v>3546</v>
      </c>
      <c r="D794" s="1245" t="s">
        <v>36</v>
      </c>
      <c r="E794" s="1413">
        <v>18</v>
      </c>
      <c r="F794" s="1555">
        <v>199.59</v>
      </c>
      <c r="G794" s="1480">
        <v>201.11</v>
      </c>
      <c r="H794" s="1414">
        <v>201.92</v>
      </c>
      <c r="I794" s="1477">
        <f t="shared" si="289"/>
        <v>3592.62</v>
      </c>
      <c r="J794" s="1477">
        <f t="shared" si="290"/>
        <v>3619.98</v>
      </c>
      <c r="K794" s="1477">
        <v>0</v>
      </c>
      <c r="L794" s="1477">
        <f t="shared" si="295"/>
        <v>0</v>
      </c>
      <c r="M794" s="1477">
        <v>18</v>
      </c>
      <c r="N794" s="1477">
        <f t="shared" si="296"/>
        <v>18</v>
      </c>
      <c r="O794" s="1477">
        <f t="shared" si="297"/>
        <v>0</v>
      </c>
      <c r="P794" s="1477">
        <f t="shared" si="298"/>
        <v>3619.98</v>
      </c>
      <c r="Q794" s="1477">
        <f t="shared" si="299"/>
        <v>3634.56</v>
      </c>
      <c r="R794" s="1576">
        <f t="shared" si="300"/>
        <v>3634.56</v>
      </c>
      <c r="S794" s="1869">
        <v>18</v>
      </c>
      <c r="T794" s="1866">
        <v>3634.56</v>
      </c>
      <c r="U794" s="2442"/>
      <c r="V794" s="1866">
        <f t="shared" si="302"/>
        <v>0</v>
      </c>
      <c r="W794" s="1869">
        <f t="shared" si="307"/>
        <v>18</v>
      </c>
      <c r="X794" s="1870">
        <f t="shared" si="303"/>
        <v>3634.56</v>
      </c>
      <c r="Y794" s="1871">
        <f t="shared" si="304"/>
        <v>1</v>
      </c>
      <c r="Z794" s="1694">
        <f t="shared" si="308"/>
        <v>0</v>
      </c>
      <c r="AA794" s="1872">
        <f t="shared" si="305"/>
        <v>0</v>
      </c>
      <c r="AB794" s="1873">
        <f t="shared" si="306"/>
        <v>0</v>
      </c>
      <c r="AC794" s="1418">
        <f t="shared" si="291"/>
        <v>0</v>
      </c>
      <c r="AD794" s="1418">
        <f t="shared" si="292"/>
        <v>0</v>
      </c>
      <c r="AE794" s="1418">
        <v>3625.56</v>
      </c>
      <c r="AF794" s="1418">
        <f t="shared" si="293"/>
        <v>-9</v>
      </c>
      <c r="AG794" s="1418">
        <v>201.42</v>
      </c>
      <c r="AH794" s="1418">
        <f t="shared" si="294"/>
        <v>-0.5</v>
      </c>
      <c r="AI794" s="1428"/>
      <c r="AO794" s="2504">
        <v>3634.56</v>
      </c>
      <c r="AP794" s="1418">
        <f t="shared" si="301"/>
        <v>0</v>
      </c>
    </row>
    <row r="795" spans="1:42" s="1410" customFormat="1" ht="15.75">
      <c r="A795" s="2102"/>
      <c r="B795" s="1268" t="s">
        <v>2803</v>
      </c>
      <c r="C795" s="1241" t="s">
        <v>3547</v>
      </c>
      <c r="D795" s="1245" t="s">
        <v>36</v>
      </c>
      <c r="E795" s="1413">
        <v>4</v>
      </c>
      <c r="F795" s="1555">
        <v>217.73</v>
      </c>
      <c r="G795" s="1480">
        <v>219.25</v>
      </c>
      <c r="H795" s="1414">
        <v>220.06</v>
      </c>
      <c r="I795" s="1477">
        <f t="shared" si="289"/>
        <v>870.92</v>
      </c>
      <c r="J795" s="1477">
        <f t="shared" si="290"/>
        <v>877</v>
      </c>
      <c r="K795" s="1477">
        <v>0</v>
      </c>
      <c r="L795" s="1477">
        <f t="shared" si="295"/>
        <v>0</v>
      </c>
      <c r="M795" s="1477">
        <v>4</v>
      </c>
      <c r="N795" s="1477">
        <f t="shared" si="296"/>
        <v>4</v>
      </c>
      <c r="O795" s="1477">
        <f t="shared" si="297"/>
        <v>0</v>
      </c>
      <c r="P795" s="1477">
        <f t="shared" si="298"/>
        <v>877</v>
      </c>
      <c r="Q795" s="1477">
        <f t="shared" si="299"/>
        <v>880.24</v>
      </c>
      <c r="R795" s="1576">
        <f t="shared" si="300"/>
        <v>880.24</v>
      </c>
      <c r="S795" s="1869">
        <v>0</v>
      </c>
      <c r="T795" s="1866">
        <v>0</v>
      </c>
      <c r="U795" s="2442"/>
      <c r="V795" s="1866">
        <f t="shared" si="302"/>
        <v>0</v>
      </c>
      <c r="W795" s="1869">
        <f t="shared" si="307"/>
        <v>0</v>
      </c>
      <c r="X795" s="1870">
        <f t="shared" si="303"/>
        <v>0</v>
      </c>
      <c r="Y795" s="1871">
        <f t="shared" si="304"/>
        <v>0</v>
      </c>
      <c r="Z795" s="1694">
        <f t="shared" si="308"/>
        <v>4</v>
      </c>
      <c r="AA795" s="1872">
        <f t="shared" si="305"/>
        <v>880.24</v>
      </c>
      <c r="AB795" s="1873">
        <f t="shared" si="306"/>
        <v>1</v>
      </c>
      <c r="AC795" s="1418">
        <f t="shared" si="291"/>
        <v>0</v>
      </c>
      <c r="AD795" s="1418">
        <f t="shared" si="292"/>
        <v>0</v>
      </c>
      <c r="AE795" s="1418">
        <v>880.24</v>
      </c>
      <c r="AF795" s="1418">
        <f t="shared" si="293"/>
        <v>0</v>
      </c>
      <c r="AG795" s="1418">
        <v>220.06</v>
      </c>
      <c r="AH795" s="1418">
        <f t="shared" si="294"/>
        <v>0</v>
      </c>
      <c r="AI795" s="1428"/>
      <c r="AO795" s="2504">
        <v>0</v>
      </c>
      <c r="AP795" s="1418">
        <f t="shared" si="301"/>
        <v>0</v>
      </c>
    </row>
    <row r="796" spans="1:42" s="1410" customFormat="1" ht="15.75">
      <c r="A796" s="2102"/>
      <c r="B796" s="1268" t="s">
        <v>2804</v>
      </c>
      <c r="C796" s="1241" t="s">
        <v>3548</v>
      </c>
      <c r="D796" s="1245" t="s">
        <v>36</v>
      </c>
      <c r="E796" s="1413">
        <v>2</v>
      </c>
      <c r="F796" s="1555">
        <v>117.08</v>
      </c>
      <c r="G796" s="1480">
        <v>118.6</v>
      </c>
      <c r="H796" s="1414">
        <v>119.41</v>
      </c>
      <c r="I796" s="1477">
        <f t="shared" si="289"/>
        <v>234.16</v>
      </c>
      <c r="J796" s="1477">
        <f t="shared" si="290"/>
        <v>237.2</v>
      </c>
      <c r="K796" s="1477">
        <v>0</v>
      </c>
      <c r="L796" s="1477">
        <f t="shared" si="295"/>
        <v>0</v>
      </c>
      <c r="M796" s="1477">
        <v>2</v>
      </c>
      <c r="N796" s="1477">
        <f t="shared" si="296"/>
        <v>2</v>
      </c>
      <c r="O796" s="1477">
        <f t="shared" si="297"/>
        <v>0</v>
      </c>
      <c r="P796" s="1477">
        <f t="shared" si="298"/>
        <v>237.2</v>
      </c>
      <c r="Q796" s="1477">
        <f t="shared" si="299"/>
        <v>238.82</v>
      </c>
      <c r="R796" s="1576">
        <f t="shared" si="300"/>
        <v>238.82</v>
      </c>
      <c r="S796" s="1869">
        <v>0</v>
      </c>
      <c r="T796" s="1866">
        <v>0</v>
      </c>
      <c r="U796" s="2442"/>
      <c r="V796" s="1866">
        <f t="shared" si="302"/>
        <v>0</v>
      </c>
      <c r="W796" s="1869">
        <f t="shared" si="307"/>
        <v>0</v>
      </c>
      <c r="X796" s="1870">
        <f t="shared" si="303"/>
        <v>0</v>
      </c>
      <c r="Y796" s="1871">
        <f t="shared" si="304"/>
        <v>0</v>
      </c>
      <c r="Z796" s="1694">
        <f t="shared" si="308"/>
        <v>2</v>
      </c>
      <c r="AA796" s="1872">
        <f t="shared" si="305"/>
        <v>238.82</v>
      </c>
      <c r="AB796" s="1873">
        <f t="shared" si="306"/>
        <v>1</v>
      </c>
      <c r="AC796" s="1418">
        <f t="shared" si="291"/>
        <v>0</v>
      </c>
      <c r="AD796" s="1418">
        <f t="shared" si="292"/>
        <v>0</v>
      </c>
      <c r="AE796" s="1418">
        <v>238.82</v>
      </c>
      <c r="AF796" s="1418">
        <f t="shared" si="293"/>
        <v>0</v>
      </c>
      <c r="AG796" s="1418">
        <v>119.41</v>
      </c>
      <c r="AH796" s="1418">
        <f t="shared" si="294"/>
        <v>0</v>
      </c>
      <c r="AI796" s="1428"/>
      <c r="AO796" s="2504">
        <v>0</v>
      </c>
      <c r="AP796" s="1418">
        <f t="shared" si="301"/>
        <v>0</v>
      </c>
    </row>
    <row r="797" spans="1:42" s="1410" customFormat="1" ht="15.75">
      <c r="A797" s="2102"/>
      <c r="B797" s="1268" t="s">
        <v>2805</v>
      </c>
      <c r="C797" s="1241" t="s">
        <v>3549</v>
      </c>
      <c r="D797" s="1245" t="s">
        <v>36</v>
      </c>
      <c r="E797" s="1413">
        <v>2</v>
      </c>
      <c r="F797" s="1555">
        <v>161.08000000000001</v>
      </c>
      <c r="G797" s="1480">
        <v>162.6</v>
      </c>
      <c r="H797" s="1414">
        <v>163.41</v>
      </c>
      <c r="I797" s="1477">
        <f t="shared" si="289"/>
        <v>322.16000000000003</v>
      </c>
      <c r="J797" s="1477">
        <f t="shared" si="290"/>
        <v>325.2</v>
      </c>
      <c r="K797" s="1477">
        <v>0</v>
      </c>
      <c r="L797" s="1477">
        <f t="shared" si="295"/>
        <v>0</v>
      </c>
      <c r="M797" s="1477">
        <v>2</v>
      </c>
      <c r="N797" s="1477">
        <f t="shared" si="296"/>
        <v>2</v>
      </c>
      <c r="O797" s="1477">
        <f t="shared" si="297"/>
        <v>0</v>
      </c>
      <c r="P797" s="1477">
        <f t="shared" si="298"/>
        <v>325.2</v>
      </c>
      <c r="Q797" s="1477">
        <f t="shared" si="299"/>
        <v>326.82</v>
      </c>
      <c r="R797" s="1576">
        <f t="shared" si="300"/>
        <v>326.82</v>
      </c>
      <c r="S797" s="1869">
        <v>0</v>
      </c>
      <c r="T797" s="1866">
        <v>0</v>
      </c>
      <c r="U797" s="2442"/>
      <c r="V797" s="1866">
        <f t="shared" si="302"/>
        <v>0</v>
      </c>
      <c r="W797" s="1869">
        <f t="shared" si="307"/>
        <v>0</v>
      </c>
      <c r="X797" s="1870">
        <f t="shared" si="303"/>
        <v>0</v>
      </c>
      <c r="Y797" s="1871">
        <f t="shared" si="304"/>
        <v>0</v>
      </c>
      <c r="Z797" s="1694">
        <f t="shared" si="308"/>
        <v>2</v>
      </c>
      <c r="AA797" s="1872">
        <f t="shared" si="305"/>
        <v>326.82</v>
      </c>
      <c r="AB797" s="1873">
        <f t="shared" si="306"/>
        <v>1</v>
      </c>
      <c r="AC797" s="1418">
        <f t="shared" si="291"/>
        <v>0</v>
      </c>
      <c r="AD797" s="1418">
        <f t="shared" si="292"/>
        <v>0</v>
      </c>
      <c r="AE797" s="1418">
        <v>326.82</v>
      </c>
      <c r="AF797" s="1418">
        <f t="shared" si="293"/>
        <v>0</v>
      </c>
      <c r="AG797" s="1418">
        <v>163.41</v>
      </c>
      <c r="AH797" s="1418">
        <f t="shared" si="294"/>
        <v>0</v>
      </c>
      <c r="AI797" s="1428"/>
      <c r="AO797" s="2504">
        <v>0</v>
      </c>
      <c r="AP797" s="1418">
        <f t="shared" si="301"/>
        <v>0</v>
      </c>
    </row>
    <row r="798" spans="1:42" s="1410" customFormat="1" ht="15.75">
      <c r="A798" s="2102"/>
      <c r="B798" s="1268" t="s">
        <v>2806</v>
      </c>
      <c r="C798" s="1241" t="s">
        <v>3550</v>
      </c>
      <c r="D798" s="1245" t="s">
        <v>36</v>
      </c>
      <c r="E798" s="1413">
        <v>50</v>
      </c>
      <c r="F798" s="1555">
        <v>16.8</v>
      </c>
      <c r="G798" s="1480">
        <v>16.87</v>
      </c>
      <c r="H798" s="1414">
        <v>16.91</v>
      </c>
      <c r="I798" s="1477">
        <f t="shared" si="289"/>
        <v>840</v>
      </c>
      <c r="J798" s="1477">
        <f t="shared" si="290"/>
        <v>843.5</v>
      </c>
      <c r="K798" s="1477">
        <v>0</v>
      </c>
      <c r="L798" s="1477">
        <f t="shared" si="295"/>
        <v>0</v>
      </c>
      <c r="M798" s="1477">
        <v>50</v>
      </c>
      <c r="N798" s="1477">
        <f t="shared" si="296"/>
        <v>50</v>
      </c>
      <c r="O798" s="1477">
        <f t="shared" si="297"/>
        <v>0</v>
      </c>
      <c r="P798" s="1477">
        <f t="shared" si="298"/>
        <v>843.5</v>
      </c>
      <c r="Q798" s="1477">
        <f t="shared" si="299"/>
        <v>845.5</v>
      </c>
      <c r="R798" s="1576">
        <f t="shared" si="300"/>
        <v>845.5</v>
      </c>
      <c r="S798" s="1869">
        <v>0</v>
      </c>
      <c r="T798" s="1866">
        <v>0</v>
      </c>
      <c r="U798" s="2442"/>
      <c r="V798" s="1866">
        <f t="shared" si="302"/>
        <v>0</v>
      </c>
      <c r="W798" s="1869">
        <f t="shared" si="307"/>
        <v>0</v>
      </c>
      <c r="X798" s="1870">
        <f t="shared" si="303"/>
        <v>0</v>
      </c>
      <c r="Y798" s="1871">
        <f t="shared" si="304"/>
        <v>0</v>
      </c>
      <c r="Z798" s="1694">
        <f t="shared" si="308"/>
        <v>50</v>
      </c>
      <c r="AA798" s="1872">
        <f t="shared" si="305"/>
        <v>845.5</v>
      </c>
      <c r="AB798" s="1873">
        <f t="shared" si="306"/>
        <v>1</v>
      </c>
      <c r="AC798" s="1418">
        <f t="shared" si="291"/>
        <v>0</v>
      </c>
      <c r="AD798" s="1418">
        <f t="shared" si="292"/>
        <v>0</v>
      </c>
      <c r="AE798" s="1418">
        <v>845.5</v>
      </c>
      <c r="AF798" s="1418">
        <f t="shared" si="293"/>
        <v>0</v>
      </c>
      <c r="AG798" s="1418">
        <v>16.91</v>
      </c>
      <c r="AH798" s="1418">
        <f t="shared" si="294"/>
        <v>0</v>
      </c>
      <c r="AI798" s="1428"/>
      <c r="AO798" s="2504">
        <v>0</v>
      </c>
      <c r="AP798" s="1418">
        <f t="shared" si="301"/>
        <v>0</v>
      </c>
    </row>
    <row r="799" spans="1:42" s="1410" customFormat="1" ht="15.75">
      <c r="A799" s="2102"/>
      <c r="B799" s="1268" t="s">
        <v>2807</v>
      </c>
      <c r="C799" s="1241" t="s">
        <v>3551</v>
      </c>
      <c r="D799" s="1245" t="s">
        <v>36</v>
      </c>
      <c r="E799" s="1413">
        <v>220</v>
      </c>
      <c r="F799" s="1555">
        <v>24.45</v>
      </c>
      <c r="G799" s="1480">
        <v>24.52</v>
      </c>
      <c r="H799" s="1414">
        <v>24.56</v>
      </c>
      <c r="I799" s="1477">
        <f t="shared" si="289"/>
        <v>5379</v>
      </c>
      <c r="J799" s="1477">
        <f t="shared" si="290"/>
        <v>5394.4</v>
      </c>
      <c r="K799" s="1477">
        <v>0</v>
      </c>
      <c r="L799" s="1477">
        <f t="shared" si="295"/>
        <v>0</v>
      </c>
      <c r="M799" s="1477">
        <v>220</v>
      </c>
      <c r="N799" s="1477">
        <f t="shared" si="296"/>
        <v>220</v>
      </c>
      <c r="O799" s="1477">
        <f t="shared" si="297"/>
        <v>0</v>
      </c>
      <c r="P799" s="1477">
        <f t="shared" si="298"/>
        <v>5394.4</v>
      </c>
      <c r="Q799" s="1477">
        <f t="shared" si="299"/>
        <v>5403.2</v>
      </c>
      <c r="R799" s="1576">
        <f t="shared" si="300"/>
        <v>5403.2</v>
      </c>
      <c r="S799" s="1869">
        <v>0</v>
      </c>
      <c r="T799" s="1866">
        <v>0</v>
      </c>
      <c r="U799" s="2442"/>
      <c r="V799" s="1866">
        <f t="shared" si="302"/>
        <v>0</v>
      </c>
      <c r="W799" s="1869">
        <f t="shared" si="307"/>
        <v>0</v>
      </c>
      <c r="X799" s="1870">
        <f t="shared" si="303"/>
        <v>0</v>
      </c>
      <c r="Y799" s="1871">
        <f t="shared" si="304"/>
        <v>0</v>
      </c>
      <c r="Z799" s="1694">
        <f t="shared" si="308"/>
        <v>220</v>
      </c>
      <c r="AA799" s="1872">
        <f t="shared" si="305"/>
        <v>5403.2</v>
      </c>
      <c r="AB799" s="1873">
        <f t="shared" si="306"/>
        <v>1</v>
      </c>
      <c r="AC799" s="1418">
        <f t="shared" si="291"/>
        <v>0</v>
      </c>
      <c r="AD799" s="1418">
        <f t="shared" si="292"/>
        <v>0</v>
      </c>
      <c r="AE799" s="1418">
        <v>5403.2</v>
      </c>
      <c r="AF799" s="1418">
        <f t="shared" si="293"/>
        <v>0</v>
      </c>
      <c r="AG799" s="1418">
        <v>24.56</v>
      </c>
      <c r="AH799" s="1418">
        <f t="shared" si="294"/>
        <v>0</v>
      </c>
      <c r="AI799" s="1428"/>
      <c r="AO799" s="2504">
        <v>0</v>
      </c>
      <c r="AP799" s="1418">
        <f t="shared" si="301"/>
        <v>0</v>
      </c>
    </row>
    <row r="800" spans="1:42" s="1231" customFormat="1" ht="15.75">
      <c r="A800" s="2103"/>
      <c r="B800" s="1263" t="s">
        <v>2074</v>
      </c>
      <c r="C800" s="1264" t="s">
        <v>3552</v>
      </c>
      <c r="D800" s="1265"/>
      <c r="E800" s="1266"/>
      <c r="F800" s="1267"/>
      <c r="G800" s="1480"/>
      <c r="H800" s="1267"/>
      <c r="I800" s="1477">
        <f t="shared" si="289"/>
        <v>0</v>
      </c>
      <c r="J800" s="1477">
        <f t="shared" si="290"/>
        <v>0</v>
      </c>
      <c r="K800" s="1477"/>
      <c r="L800" s="1477">
        <f t="shared" si="295"/>
        <v>0</v>
      </c>
      <c r="M800" s="1477"/>
      <c r="N800" s="1477">
        <f t="shared" si="296"/>
        <v>0</v>
      </c>
      <c r="O800" s="1477">
        <f t="shared" si="297"/>
        <v>0</v>
      </c>
      <c r="P800" s="1477">
        <f t="shared" si="298"/>
        <v>0</v>
      </c>
      <c r="Q800" s="1477">
        <f t="shared" si="299"/>
        <v>0</v>
      </c>
      <c r="R800" s="1576">
        <f t="shared" si="300"/>
        <v>0</v>
      </c>
      <c r="S800" s="2452"/>
      <c r="T800" s="1866"/>
      <c r="U800" s="2442"/>
      <c r="V800" s="1866">
        <f t="shared" si="302"/>
        <v>0</v>
      </c>
      <c r="W800" s="2452"/>
      <c r="X800" s="1870"/>
      <c r="Y800" s="1871" t="str">
        <f t="shared" si="304"/>
        <v/>
      </c>
      <c r="Z800" s="1694"/>
      <c r="AA800" s="1872">
        <f t="shared" si="305"/>
        <v>0</v>
      </c>
      <c r="AB800" s="1873" t="str">
        <f t="shared" si="306"/>
        <v/>
      </c>
      <c r="AC800" s="1418">
        <f t="shared" si="291"/>
        <v>0</v>
      </c>
      <c r="AD800" s="1418">
        <f t="shared" si="292"/>
        <v>0</v>
      </c>
      <c r="AE800" s="1230"/>
      <c r="AF800" s="1230">
        <f t="shared" si="293"/>
        <v>0</v>
      </c>
      <c r="AG800" s="1230"/>
      <c r="AH800" s="1418">
        <f t="shared" si="294"/>
        <v>0</v>
      </c>
      <c r="AI800" s="1346"/>
      <c r="AO800" s="1736"/>
      <c r="AP800" s="1418">
        <f t="shared" si="301"/>
        <v>0</v>
      </c>
    </row>
    <row r="801" spans="1:44" s="1410" customFormat="1" ht="15.75">
      <c r="A801" s="2102"/>
      <c r="B801" s="1272" t="s">
        <v>2075</v>
      </c>
      <c r="C801" s="1262" t="s">
        <v>3495</v>
      </c>
      <c r="D801" s="1273"/>
      <c r="E801" s="1415"/>
      <c r="F801" s="1267"/>
      <c r="G801" s="1480"/>
      <c r="H801" s="1416"/>
      <c r="I801" s="1477">
        <f t="shared" si="289"/>
        <v>0</v>
      </c>
      <c r="J801" s="1477">
        <f t="shared" si="290"/>
        <v>0</v>
      </c>
      <c r="K801" s="1477"/>
      <c r="L801" s="1477">
        <f t="shared" si="295"/>
        <v>0</v>
      </c>
      <c r="M801" s="1477"/>
      <c r="N801" s="1477">
        <f t="shared" si="296"/>
        <v>0</v>
      </c>
      <c r="O801" s="1477">
        <f t="shared" si="297"/>
        <v>0</v>
      </c>
      <c r="P801" s="1477">
        <f t="shared" si="298"/>
        <v>0</v>
      </c>
      <c r="Q801" s="1477">
        <f t="shared" si="299"/>
        <v>0</v>
      </c>
      <c r="R801" s="1576">
        <f t="shared" si="300"/>
        <v>0</v>
      </c>
      <c r="S801" s="1869"/>
      <c r="T801" s="1866"/>
      <c r="U801" s="2442"/>
      <c r="V801" s="1866">
        <f t="shared" si="302"/>
        <v>0</v>
      </c>
      <c r="W801" s="1869"/>
      <c r="X801" s="1870"/>
      <c r="Y801" s="1871" t="str">
        <f t="shared" si="304"/>
        <v/>
      </c>
      <c r="Z801" s="1694"/>
      <c r="AA801" s="1872">
        <f t="shared" si="305"/>
        <v>0</v>
      </c>
      <c r="AB801" s="1873" t="str">
        <f t="shared" si="306"/>
        <v/>
      </c>
      <c r="AC801" s="1418">
        <f t="shared" si="291"/>
        <v>0</v>
      </c>
      <c r="AD801" s="1418">
        <f t="shared" si="292"/>
        <v>0</v>
      </c>
      <c r="AE801" s="1418"/>
      <c r="AF801" s="1418">
        <f t="shared" si="293"/>
        <v>0</v>
      </c>
      <c r="AG801" s="1418"/>
      <c r="AH801" s="1418">
        <f t="shared" si="294"/>
        <v>0</v>
      </c>
      <c r="AI801" s="1428"/>
      <c r="AO801" s="2504"/>
      <c r="AP801" s="1418">
        <f t="shared" si="301"/>
        <v>0</v>
      </c>
    </row>
    <row r="802" spans="1:44" s="1410" customFormat="1" ht="15.75">
      <c r="A802" s="2102"/>
      <c r="B802" s="1268" t="s">
        <v>2076</v>
      </c>
      <c r="C802" s="1241" t="s">
        <v>3537</v>
      </c>
      <c r="D802" s="1245" t="s">
        <v>38</v>
      </c>
      <c r="E802" s="1413">
        <v>1590</v>
      </c>
      <c r="F802" s="1555">
        <v>6.03</v>
      </c>
      <c r="G802" s="1480">
        <v>6.34</v>
      </c>
      <c r="H802" s="1414">
        <v>6.52</v>
      </c>
      <c r="I802" s="1477">
        <f t="shared" si="289"/>
        <v>9587.7000000000007</v>
      </c>
      <c r="J802" s="1477">
        <f t="shared" si="290"/>
        <v>10080.6</v>
      </c>
      <c r="K802" s="1477">
        <v>213</v>
      </c>
      <c r="L802" s="1477">
        <f t="shared" si="295"/>
        <v>213</v>
      </c>
      <c r="M802" s="1477">
        <v>1377</v>
      </c>
      <c r="N802" s="1477">
        <f t="shared" si="296"/>
        <v>1377</v>
      </c>
      <c r="O802" s="1477">
        <f t="shared" si="297"/>
        <v>1350.42</v>
      </c>
      <c r="P802" s="1477">
        <f t="shared" si="298"/>
        <v>8730.18</v>
      </c>
      <c r="Q802" s="1477">
        <f t="shared" si="299"/>
        <v>8978.0400000000009</v>
      </c>
      <c r="R802" s="1576">
        <f t="shared" si="300"/>
        <v>10328.460000000001</v>
      </c>
      <c r="S802" s="1869">
        <v>1590</v>
      </c>
      <c r="T802" s="1866">
        <v>10328.459999999997</v>
      </c>
      <c r="U802" s="2442"/>
      <c r="V802" s="1866">
        <f t="shared" si="302"/>
        <v>0</v>
      </c>
      <c r="W802" s="1869">
        <f>S802+U802</f>
        <v>1590</v>
      </c>
      <c r="X802" s="1870">
        <f t="shared" si="303"/>
        <v>10328.459999999997</v>
      </c>
      <c r="Y802" s="1871">
        <f t="shared" si="304"/>
        <v>0.99999999999999967</v>
      </c>
      <c r="Z802" s="1694">
        <f>+E802-W802</f>
        <v>0</v>
      </c>
      <c r="AA802" s="1872">
        <f t="shared" si="305"/>
        <v>0</v>
      </c>
      <c r="AB802" s="1873">
        <f t="shared" si="306"/>
        <v>0</v>
      </c>
      <c r="AC802" s="1418">
        <f t="shared" si="291"/>
        <v>3.637978807091713E-12</v>
      </c>
      <c r="AD802" s="1418">
        <f t="shared" si="292"/>
        <v>0</v>
      </c>
      <c r="AE802" s="1418">
        <v>10328.459999999999</v>
      </c>
      <c r="AF802" s="1418">
        <f t="shared" si="293"/>
        <v>0</v>
      </c>
      <c r="AG802" s="1418">
        <v>6.52</v>
      </c>
      <c r="AH802" s="1418">
        <f t="shared" si="294"/>
        <v>0</v>
      </c>
      <c r="AI802" s="1428"/>
      <c r="AO802" s="2504">
        <v>10328.459999999997</v>
      </c>
      <c r="AP802" s="1418">
        <f t="shared" si="301"/>
        <v>0</v>
      </c>
    </row>
    <row r="803" spans="1:44" s="1410" customFormat="1" ht="15.75">
      <c r="A803" s="2102"/>
      <c r="B803" s="1272" t="s">
        <v>2077</v>
      </c>
      <c r="C803" s="1262" t="s">
        <v>3539</v>
      </c>
      <c r="D803" s="1273"/>
      <c r="E803" s="1415"/>
      <c r="F803" s="1267"/>
      <c r="G803" s="1480"/>
      <c r="H803" s="1416"/>
      <c r="I803" s="1477">
        <f t="shared" si="289"/>
        <v>0</v>
      </c>
      <c r="J803" s="1477">
        <f t="shared" si="290"/>
        <v>0</v>
      </c>
      <c r="K803" s="1477"/>
      <c r="L803" s="1477">
        <f t="shared" si="295"/>
        <v>0</v>
      </c>
      <c r="M803" s="1477"/>
      <c r="N803" s="1477">
        <f t="shared" si="296"/>
        <v>0</v>
      </c>
      <c r="O803" s="1477">
        <f t="shared" si="297"/>
        <v>0</v>
      </c>
      <c r="P803" s="1477">
        <f t="shared" si="298"/>
        <v>0</v>
      </c>
      <c r="Q803" s="1477">
        <f t="shared" si="299"/>
        <v>0</v>
      </c>
      <c r="R803" s="1576">
        <f t="shared" si="300"/>
        <v>0</v>
      </c>
      <c r="S803" s="1869"/>
      <c r="T803" s="1866"/>
      <c r="U803" s="2442"/>
      <c r="V803" s="1866">
        <f t="shared" si="302"/>
        <v>0</v>
      </c>
      <c r="W803" s="1869"/>
      <c r="X803" s="1870"/>
      <c r="Y803" s="1871" t="str">
        <f t="shared" si="304"/>
        <v/>
      </c>
      <c r="Z803" s="1694"/>
      <c r="AA803" s="1872">
        <f t="shared" si="305"/>
        <v>0</v>
      </c>
      <c r="AB803" s="1873" t="str">
        <f t="shared" si="306"/>
        <v/>
      </c>
      <c r="AC803" s="1418">
        <f t="shared" si="291"/>
        <v>0</v>
      </c>
      <c r="AD803" s="1418">
        <f t="shared" si="292"/>
        <v>0</v>
      </c>
      <c r="AE803" s="1418"/>
      <c r="AF803" s="1418">
        <f t="shared" si="293"/>
        <v>0</v>
      </c>
      <c r="AG803" s="1418"/>
      <c r="AH803" s="1418">
        <f t="shared" si="294"/>
        <v>0</v>
      </c>
      <c r="AI803" s="1428"/>
      <c r="AO803" s="2504"/>
      <c r="AP803" s="1418">
        <f t="shared" si="301"/>
        <v>0</v>
      </c>
    </row>
    <row r="804" spans="1:44" s="1410" customFormat="1" ht="15.75">
      <c r="A804" s="2102"/>
      <c r="B804" s="1268" t="s">
        <v>2078</v>
      </c>
      <c r="C804" s="1241" t="s">
        <v>3553</v>
      </c>
      <c r="D804" s="1245" t="s">
        <v>1451</v>
      </c>
      <c r="E804" s="1413">
        <v>72</v>
      </c>
      <c r="F804" s="1555">
        <v>58.57</v>
      </c>
      <c r="G804" s="1480">
        <v>62.45</v>
      </c>
      <c r="H804" s="1414">
        <v>64.44</v>
      </c>
      <c r="I804" s="1477">
        <f t="shared" si="289"/>
        <v>4217.04</v>
      </c>
      <c r="J804" s="1477">
        <f t="shared" si="290"/>
        <v>4496.3999999999996</v>
      </c>
      <c r="K804" s="1477">
        <v>0</v>
      </c>
      <c r="L804" s="1477">
        <f t="shared" si="295"/>
        <v>0</v>
      </c>
      <c r="M804" s="1477">
        <v>72</v>
      </c>
      <c r="N804" s="1477">
        <f t="shared" si="296"/>
        <v>72</v>
      </c>
      <c r="O804" s="1477">
        <f t="shared" si="297"/>
        <v>0</v>
      </c>
      <c r="P804" s="1477">
        <f t="shared" si="298"/>
        <v>4496.3999999999996</v>
      </c>
      <c r="Q804" s="1477">
        <f t="shared" si="299"/>
        <v>4639.68</v>
      </c>
      <c r="R804" s="1576">
        <f t="shared" si="300"/>
        <v>4639.68</v>
      </c>
      <c r="S804" s="1869">
        <v>72</v>
      </c>
      <c r="T804" s="1866">
        <v>4639.68</v>
      </c>
      <c r="U804" s="2442"/>
      <c r="V804" s="1866">
        <f t="shared" si="302"/>
        <v>0</v>
      </c>
      <c r="W804" s="1869">
        <f>S804+U804</f>
        <v>72</v>
      </c>
      <c r="X804" s="1870">
        <f t="shared" si="303"/>
        <v>4639.68</v>
      </c>
      <c r="Y804" s="1871">
        <f t="shared" si="304"/>
        <v>1</v>
      </c>
      <c r="Z804" s="1694">
        <f>+E804-W804</f>
        <v>0</v>
      </c>
      <c r="AA804" s="1872">
        <f t="shared" si="305"/>
        <v>0</v>
      </c>
      <c r="AB804" s="1873">
        <f t="shared" si="306"/>
        <v>0</v>
      </c>
      <c r="AC804" s="1418">
        <f t="shared" si="291"/>
        <v>0</v>
      </c>
      <c r="AD804" s="1418">
        <f t="shared" si="292"/>
        <v>0</v>
      </c>
      <c r="AE804" s="1418">
        <v>4639.68</v>
      </c>
      <c r="AF804" s="1418">
        <f t="shared" si="293"/>
        <v>0</v>
      </c>
      <c r="AG804" s="1418">
        <v>64.44</v>
      </c>
      <c r="AH804" s="1418">
        <f t="shared" si="294"/>
        <v>0</v>
      </c>
      <c r="AI804" s="1428"/>
      <c r="AO804" s="2504">
        <v>4639.68</v>
      </c>
      <c r="AP804" s="1418">
        <f t="shared" si="301"/>
        <v>0</v>
      </c>
    </row>
    <row r="805" spans="1:44" s="1410" customFormat="1" ht="15.75">
      <c r="A805" s="2102"/>
      <c r="B805" s="1268" t="s">
        <v>2082</v>
      </c>
      <c r="C805" s="1241" t="s">
        <v>3554</v>
      </c>
      <c r="D805" s="1245" t="s">
        <v>1451</v>
      </c>
      <c r="E805" s="1413">
        <v>29</v>
      </c>
      <c r="F805" s="1555">
        <v>58.57</v>
      </c>
      <c r="G805" s="1480">
        <v>62.45</v>
      </c>
      <c r="H805" s="1414">
        <v>64.44</v>
      </c>
      <c r="I805" s="1477">
        <f t="shared" si="289"/>
        <v>1698.53</v>
      </c>
      <c r="J805" s="1477">
        <f t="shared" si="290"/>
        <v>1811.05</v>
      </c>
      <c r="K805" s="1477">
        <v>0</v>
      </c>
      <c r="L805" s="1477">
        <f t="shared" si="295"/>
        <v>0</v>
      </c>
      <c r="M805" s="1477">
        <v>29</v>
      </c>
      <c r="N805" s="1477">
        <f t="shared" si="296"/>
        <v>29</v>
      </c>
      <c r="O805" s="1477">
        <f t="shared" si="297"/>
        <v>0</v>
      </c>
      <c r="P805" s="1477">
        <f t="shared" si="298"/>
        <v>1811.05</v>
      </c>
      <c r="Q805" s="1477">
        <f t="shared" si="299"/>
        <v>1868.76</v>
      </c>
      <c r="R805" s="1576">
        <f t="shared" si="300"/>
        <v>1868.76</v>
      </c>
      <c r="S805" s="1869">
        <v>29</v>
      </c>
      <c r="T805" s="1866">
        <v>1868.76</v>
      </c>
      <c r="U805" s="2442"/>
      <c r="V805" s="1866">
        <f t="shared" si="302"/>
        <v>0</v>
      </c>
      <c r="W805" s="1869">
        <f>S805+U805</f>
        <v>29</v>
      </c>
      <c r="X805" s="1870">
        <f t="shared" si="303"/>
        <v>1868.76</v>
      </c>
      <c r="Y805" s="1871">
        <f t="shared" si="304"/>
        <v>1</v>
      </c>
      <c r="Z805" s="1694">
        <f>+E805-W805</f>
        <v>0</v>
      </c>
      <c r="AA805" s="1872">
        <f t="shared" si="305"/>
        <v>0</v>
      </c>
      <c r="AB805" s="1873">
        <f t="shared" si="306"/>
        <v>0</v>
      </c>
      <c r="AC805" s="1418">
        <f t="shared" si="291"/>
        <v>0</v>
      </c>
      <c r="AD805" s="1418">
        <f t="shared" si="292"/>
        <v>0</v>
      </c>
      <c r="AE805" s="1418">
        <v>1868.76</v>
      </c>
      <c r="AF805" s="1418">
        <f t="shared" si="293"/>
        <v>0</v>
      </c>
      <c r="AG805" s="1418">
        <v>64.44</v>
      </c>
      <c r="AH805" s="1418">
        <f t="shared" si="294"/>
        <v>0</v>
      </c>
      <c r="AI805" s="1428"/>
      <c r="AO805" s="2504">
        <v>1868.76</v>
      </c>
      <c r="AP805" s="1418">
        <f t="shared" si="301"/>
        <v>0</v>
      </c>
      <c r="AQ805" s="1410">
        <v>13</v>
      </c>
      <c r="AR805" s="1410" t="s">
        <v>4319</v>
      </c>
    </row>
    <row r="806" spans="1:44" s="1410" customFormat="1" ht="15.75">
      <c r="A806" s="2102"/>
      <c r="B806" s="1268" t="s">
        <v>2181</v>
      </c>
      <c r="C806" s="1241" t="s">
        <v>3555</v>
      </c>
      <c r="D806" s="1245" t="s">
        <v>1451</v>
      </c>
      <c r="E806" s="1413">
        <v>59</v>
      </c>
      <c r="F806" s="1555">
        <v>58.57</v>
      </c>
      <c r="G806" s="1480">
        <v>62.45</v>
      </c>
      <c r="H806" s="1414">
        <v>64.44</v>
      </c>
      <c r="I806" s="1477">
        <f t="shared" si="289"/>
        <v>3455.63</v>
      </c>
      <c r="J806" s="1477">
        <f t="shared" si="290"/>
        <v>3684.55</v>
      </c>
      <c r="K806" s="1477">
        <v>0</v>
      </c>
      <c r="L806" s="1477">
        <f t="shared" si="295"/>
        <v>0</v>
      </c>
      <c r="M806" s="1477">
        <v>59</v>
      </c>
      <c r="N806" s="1477">
        <f t="shared" si="296"/>
        <v>59</v>
      </c>
      <c r="O806" s="1477">
        <f t="shared" si="297"/>
        <v>0</v>
      </c>
      <c r="P806" s="1477">
        <f t="shared" si="298"/>
        <v>3684.55</v>
      </c>
      <c r="Q806" s="1477">
        <f t="shared" si="299"/>
        <v>3801.96</v>
      </c>
      <c r="R806" s="1576">
        <f t="shared" si="300"/>
        <v>3801.96</v>
      </c>
      <c r="S806" s="1869">
        <v>59</v>
      </c>
      <c r="T806" s="1866">
        <v>3801.96</v>
      </c>
      <c r="U806" s="2442"/>
      <c r="V806" s="1866">
        <f t="shared" si="302"/>
        <v>0</v>
      </c>
      <c r="W806" s="1869">
        <f>S806+U806</f>
        <v>59</v>
      </c>
      <c r="X806" s="1870">
        <f t="shared" si="303"/>
        <v>3801.96</v>
      </c>
      <c r="Y806" s="1871">
        <f t="shared" si="304"/>
        <v>1</v>
      </c>
      <c r="Z806" s="1694">
        <f>+E806-W806</f>
        <v>0</v>
      </c>
      <c r="AA806" s="1872">
        <f t="shared" si="305"/>
        <v>0</v>
      </c>
      <c r="AB806" s="1873">
        <f t="shared" si="306"/>
        <v>0</v>
      </c>
      <c r="AC806" s="1418">
        <f t="shared" si="291"/>
        <v>0</v>
      </c>
      <c r="AD806" s="1418">
        <f t="shared" si="292"/>
        <v>0</v>
      </c>
      <c r="AE806" s="1418">
        <v>3801.96</v>
      </c>
      <c r="AF806" s="1418">
        <f t="shared" si="293"/>
        <v>0</v>
      </c>
      <c r="AG806" s="1418">
        <v>64.44</v>
      </c>
      <c r="AH806" s="1418">
        <f t="shared" si="294"/>
        <v>0</v>
      </c>
      <c r="AI806" s="1428"/>
      <c r="AO806" s="2504">
        <v>3801.96</v>
      </c>
      <c r="AP806" s="1418">
        <f t="shared" si="301"/>
        <v>0</v>
      </c>
    </row>
    <row r="807" spans="1:44" s="1410" customFormat="1" ht="15.75">
      <c r="A807" s="2102"/>
      <c r="B807" s="1272" t="s">
        <v>2808</v>
      </c>
      <c r="C807" s="1262" t="s">
        <v>3513</v>
      </c>
      <c r="D807" s="1273"/>
      <c r="E807" s="1415"/>
      <c r="F807" s="1267"/>
      <c r="G807" s="1480"/>
      <c r="H807" s="1416"/>
      <c r="I807" s="1477">
        <f t="shared" si="289"/>
        <v>0</v>
      </c>
      <c r="J807" s="1477">
        <f t="shared" si="290"/>
        <v>0</v>
      </c>
      <c r="K807" s="1477"/>
      <c r="L807" s="1477">
        <f t="shared" si="295"/>
        <v>0</v>
      </c>
      <c r="M807" s="1477"/>
      <c r="N807" s="1477">
        <f t="shared" si="296"/>
        <v>0</v>
      </c>
      <c r="O807" s="1477">
        <f t="shared" si="297"/>
        <v>0</v>
      </c>
      <c r="P807" s="1477">
        <f t="shared" si="298"/>
        <v>0</v>
      </c>
      <c r="Q807" s="1477">
        <f t="shared" si="299"/>
        <v>0</v>
      </c>
      <c r="R807" s="1576">
        <f t="shared" si="300"/>
        <v>0</v>
      </c>
      <c r="S807" s="1869"/>
      <c r="T807" s="1866"/>
      <c r="U807" s="2442"/>
      <c r="V807" s="1866">
        <f t="shared" si="302"/>
        <v>0</v>
      </c>
      <c r="W807" s="1869"/>
      <c r="X807" s="1870"/>
      <c r="Y807" s="1871" t="str">
        <f t="shared" si="304"/>
        <v/>
      </c>
      <c r="Z807" s="1694"/>
      <c r="AA807" s="1872">
        <f t="shared" si="305"/>
        <v>0</v>
      </c>
      <c r="AB807" s="1873" t="str">
        <f t="shared" si="306"/>
        <v/>
      </c>
      <c r="AC807" s="1418">
        <f t="shared" si="291"/>
        <v>0</v>
      </c>
      <c r="AD807" s="1418">
        <f t="shared" si="292"/>
        <v>0</v>
      </c>
      <c r="AE807" s="1418"/>
      <c r="AF807" s="1418">
        <f t="shared" si="293"/>
        <v>0</v>
      </c>
      <c r="AG807" s="1418"/>
      <c r="AH807" s="1418">
        <f t="shared" si="294"/>
        <v>0</v>
      </c>
      <c r="AI807" s="1428"/>
      <c r="AO807" s="2504"/>
      <c r="AP807" s="1418">
        <f t="shared" si="301"/>
        <v>0</v>
      </c>
    </row>
    <row r="808" spans="1:44" s="1410" customFormat="1" ht="15.75">
      <c r="A808" s="2102"/>
      <c r="B808" s="1268" t="s">
        <v>2809</v>
      </c>
      <c r="C808" s="1241" t="s">
        <v>3514</v>
      </c>
      <c r="D808" s="1245" t="s">
        <v>38</v>
      </c>
      <c r="E808" s="1413">
        <v>1660</v>
      </c>
      <c r="F808" s="1555">
        <v>6.61</v>
      </c>
      <c r="G808" s="1480">
        <v>7.07</v>
      </c>
      <c r="H808" s="1414">
        <v>7.31</v>
      </c>
      <c r="I808" s="1477">
        <f t="shared" si="289"/>
        <v>10972.6</v>
      </c>
      <c r="J808" s="1477">
        <f t="shared" si="290"/>
        <v>11736.2</v>
      </c>
      <c r="K808" s="1477">
        <v>0</v>
      </c>
      <c r="L808" s="1477">
        <f t="shared" si="295"/>
        <v>0</v>
      </c>
      <c r="M808" s="1477">
        <v>1660</v>
      </c>
      <c r="N808" s="1477">
        <f t="shared" si="296"/>
        <v>1660</v>
      </c>
      <c r="O808" s="1477">
        <f t="shared" si="297"/>
        <v>0</v>
      </c>
      <c r="P808" s="1477">
        <f t="shared" si="298"/>
        <v>11736.2</v>
      </c>
      <c r="Q808" s="1477">
        <f t="shared" si="299"/>
        <v>12134.6</v>
      </c>
      <c r="R808" s="1576">
        <f t="shared" si="300"/>
        <v>12134.6</v>
      </c>
      <c r="S808" s="1869">
        <v>1660</v>
      </c>
      <c r="T808" s="1866">
        <v>12134.599999999999</v>
      </c>
      <c r="U808" s="2442"/>
      <c r="V808" s="1866">
        <f t="shared" si="302"/>
        <v>0</v>
      </c>
      <c r="W808" s="1869">
        <f>S808+U808</f>
        <v>1660</v>
      </c>
      <c r="X808" s="1870">
        <f t="shared" si="303"/>
        <v>12134.599999999999</v>
      </c>
      <c r="Y808" s="1871">
        <f t="shared" si="304"/>
        <v>0.99999999999999989</v>
      </c>
      <c r="Z808" s="1694">
        <f t="shared" ref="Z808:Z814" si="309">+E808-W808</f>
        <v>0</v>
      </c>
      <c r="AA808" s="1872">
        <f t="shared" si="305"/>
        <v>0</v>
      </c>
      <c r="AB808" s="1873">
        <f t="shared" si="306"/>
        <v>0</v>
      </c>
      <c r="AC808" s="1418">
        <f t="shared" si="291"/>
        <v>1.8189894035458565E-12</v>
      </c>
      <c r="AD808" s="1418">
        <f t="shared" si="292"/>
        <v>0</v>
      </c>
      <c r="AE808" s="1418">
        <v>12134.599999999999</v>
      </c>
      <c r="AF808" s="1418">
        <f t="shared" si="293"/>
        <v>0</v>
      </c>
      <c r="AG808" s="1418">
        <v>7.31</v>
      </c>
      <c r="AH808" s="1418">
        <f t="shared" si="294"/>
        <v>0</v>
      </c>
      <c r="AI808" s="1428"/>
      <c r="AO808" s="2504">
        <v>12134.599999999999</v>
      </c>
      <c r="AP808" s="1418">
        <f t="shared" si="301"/>
        <v>0</v>
      </c>
    </row>
    <row r="809" spans="1:44" s="1410" customFormat="1" ht="15.75">
      <c r="A809" s="2102"/>
      <c r="B809" s="1272" t="s">
        <v>2810</v>
      </c>
      <c r="C809" s="1262" t="s">
        <v>3524</v>
      </c>
      <c r="D809" s="1273"/>
      <c r="E809" s="1415"/>
      <c r="F809" s="1267"/>
      <c r="G809" s="1480"/>
      <c r="H809" s="1416"/>
      <c r="I809" s="1477">
        <f t="shared" si="289"/>
        <v>0</v>
      </c>
      <c r="J809" s="1477">
        <f t="shared" si="290"/>
        <v>0</v>
      </c>
      <c r="K809" s="1477"/>
      <c r="L809" s="1477">
        <f t="shared" si="295"/>
        <v>0</v>
      </c>
      <c r="M809" s="1477"/>
      <c r="N809" s="1477">
        <f t="shared" si="296"/>
        <v>0</v>
      </c>
      <c r="O809" s="1477">
        <f t="shared" si="297"/>
        <v>0</v>
      </c>
      <c r="P809" s="1477">
        <f t="shared" si="298"/>
        <v>0</v>
      </c>
      <c r="Q809" s="1477">
        <f t="shared" si="299"/>
        <v>0</v>
      </c>
      <c r="R809" s="1576">
        <f t="shared" si="300"/>
        <v>0</v>
      </c>
      <c r="S809" s="1869"/>
      <c r="T809" s="1866">
        <v>0</v>
      </c>
      <c r="U809" s="2442"/>
      <c r="V809" s="1866">
        <f t="shared" si="302"/>
        <v>0</v>
      </c>
      <c r="W809" s="1869"/>
      <c r="X809" s="1870">
        <f t="shared" si="303"/>
        <v>0</v>
      </c>
      <c r="Y809" s="1871" t="str">
        <f t="shared" si="304"/>
        <v/>
      </c>
      <c r="Z809" s="1694">
        <f t="shared" si="309"/>
        <v>0</v>
      </c>
      <c r="AA809" s="1872">
        <f t="shared" si="305"/>
        <v>0</v>
      </c>
      <c r="AB809" s="1873" t="str">
        <f t="shared" si="306"/>
        <v/>
      </c>
      <c r="AC809" s="1418">
        <f t="shared" si="291"/>
        <v>0</v>
      </c>
      <c r="AD809" s="1418">
        <f t="shared" si="292"/>
        <v>0</v>
      </c>
      <c r="AE809" s="1418"/>
      <c r="AF809" s="1418">
        <f t="shared" si="293"/>
        <v>0</v>
      </c>
      <c r="AG809" s="1418"/>
      <c r="AH809" s="1418">
        <f t="shared" si="294"/>
        <v>0</v>
      </c>
      <c r="AI809" s="1428"/>
      <c r="AO809" s="2504">
        <v>0</v>
      </c>
      <c r="AP809" s="1418">
        <f t="shared" si="301"/>
        <v>0</v>
      </c>
    </row>
    <row r="810" spans="1:44" s="1410" customFormat="1" ht="15.75">
      <c r="A810" s="2102"/>
      <c r="B810" s="1268" t="s">
        <v>2811</v>
      </c>
      <c r="C810" s="1241" t="s">
        <v>3525</v>
      </c>
      <c r="D810" s="1245" t="s">
        <v>36</v>
      </c>
      <c r="E810" s="1413">
        <v>50</v>
      </c>
      <c r="F810" s="1555">
        <v>68.91</v>
      </c>
      <c r="G810" s="1480">
        <v>72.099999999999994</v>
      </c>
      <c r="H810" s="1414">
        <v>73.89</v>
      </c>
      <c r="I810" s="1477">
        <f t="shared" si="289"/>
        <v>3445.5</v>
      </c>
      <c r="J810" s="1477">
        <f t="shared" si="290"/>
        <v>3605</v>
      </c>
      <c r="K810" s="1477">
        <v>0</v>
      </c>
      <c r="L810" s="1477">
        <f t="shared" si="295"/>
        <v>0</v>
      </c>
      <c r="M810" s="1477">
        <v>50</v>
      </c>
      <c r="N810" s="1477">
        <f t="shared" si="296"/>
        <v>50</v>
      </c>
      <c r="O810" s="1477">
        <f t="shared" si="297"/>
        <v>0</v>
      </c>
      <c r="P810" s="1477">
        <f t="shared" si="298"/>
        <v>3605</v>
      </c>
      <c r="Q810" s="1477">
        <f t="shared" si="299"/>
        <v>3694.5</v>
      </c>
      <c r="R810" s="1576">
        <f t="shared" si="300"/>
        <v>3694.5</v>
      </c>
      <c r="S810" s="1869">
        <v>50</v>
      </c>
      <c r="T810" s="1866">
        <v>3694.5000000000005</v>
      </c>
      <c r="U810" s="2442"/>
      <c r="V810" s="1866">
        <f t="shared" si="302"/>
        <v>0</v>
      </c>
      <c r="W810" s="1869">
        <f>S810+U810</f>
        <v>50</v>
      </c>
      <c r="X810" s="1870">
        <f t="shared" si="303"/>
        <v>3694.5000000000005</v>
      </c>
      <c r="Y810" s="1871">
        <f t="shared" si="304"/>
        <v>1.0000000000000002</v>
      </c>
      <c r="Z810" s="1694">
        <f t="shared" si="309"/>
        <v>0</v>
      </c>
      <c r="AA810" s="1872">
        <f t="shared" si="305"/>
        <v>0</v>
      </c>
      <c r="AB810" s="1873">
        <f t="shared" si="306"/>
        <v>0</v>
      </c>
      <c r="AC810" s="1418">
        <f t="shared" si="291"/>
        <v>-4.5474735088646412E-13</v>
      </c>
      <c r="AD810" s="1418">
        <f t="shared" si="292"/>
        <v>0</v>
      </c>
      <c r="AE810" s="1418">
        <v>3694.5000000000005</v>
      </c>
      <c r="AF810" s="1418">
        <f t="shared" si="293"/>
        <v>0</v>
      </c>
      <c r="AG810" s="1418">
        <v>73.89</v>
      </c>
      <c r="AH810" s="1418">
        <f t="shared" si="294"/>
        <v>0</v>
      </c>
      <c r="AI810" s="1428"/>
      <c r="AO810" s="2504">
        <v>3694.5000000000005</v>
      </c>
      <c r="AP810" s="1418">
        <f t="shared" si="301"/>
        <v>0</v>
      </c>
    </row>
    <row r="811" spans="1:44" s="1410" customFormat="1" ht="15.75">
      <c r="A811" s="2102"/>
      <c r="B811" s="1272" t="s">
        <v>2812</v>
      </c>
      <c r="C811" s="1262" t="s">
        <v>3527</v>
      </c>
      <c r="D811" s="1273"/>
      <c r="E811" s="1415"/>
      <c r="F811" s="1267"/>
      <c r="G811" s="1480"/>
      <c r="H811" s="1416"/>
      <c r="I811" s="1477">
        <f t="shared" si="289"/>
        <v>0</v>
      </c>
      <c r="J811" s="1477">
        <f t="shared" si="290"/>
        <v>0</v>
      </c>
      <c r="K811" s="1477"/>
      <c r="L811" s="1477">
        <f t="shared" si="295"/>
        <v>0</v>
      </c>
      <c r="M811" s="1477"/>
      <c r="N811" s="1477">
        <f t="shared" si="296"/>
        <v>0</v>
      </c>
      <c r="O811" s="1477">
        <f t="shared" si="297"/>
        <v>0</v>
      </c>
      <c r="P811" s="1477">
        <f t="shared" si="298"/>
        <v>0</v>
      </c>
      <c r="Q811" s="1477">
        <f t="shared" si="299"/>
        <v>0</v>
      </c>
      <c r="R811" s="1576">
        <f t="shared" si="300"/>
        <v>0</v>
      </c>
      <c r="S811" s="1869"/>
      <c r="T811" s="1866">
        <v>0</v>
      </c>
      <c r="U811" s="2442"/>
      <c r="V811" s="1866">
        <f t="shared" si="302"/>
        <v>0</v>
      </c>
      <c r="W811" s="1869"/>
      <c r="X811" s="1870">
        <f t="shared" si="303"/>
        <v>0</v>
      </c>
      <c r="Y811" s="1871" t="str">
        <f t="shared" si="304"/>
        <v/>
      </c>
      <c r="Z811" s="1694">
        <f t="shared" si="309"/>
        <v>0</v>
      </c>
      <c r="AA811" s="1872">
        <f t="shared" si="305"/>
        <v>0</v>
      </c>
      <c r="AB811" s="1873" t="str">
        <f t="shared" si="306"/>
        <v/>
      </c>
      <c r="AC811" s="1418">
        <f t="shared" si="291"/>
        <v>0</v>
      </c>
      <c r="AD811" s="1418">
        <f t="shared" si="292"/>
        <v>0</v>
      </c>
      <c r="AE811" s="1418"/>
      <c r="AF811" s="1418">
        <f t="shared" si="293"/>
        <v>0</v>
      </c>
      <c r="AG811" s="1418"/>
      <c r="AH811" s="1418">
        <f t="shared" si="294"/>
        <v>0</v>
      </c>
      <c r="AI811" s="1428"/>
      <c r="AO811" s="2504">
        <v>0</v>
      </c>
      <c r="AP811" s="1418">
        <f t="shared" si="301"/>
        <v>0</v>
      </c>
    </row>
    <row r="812" spans="1:44" s="1410" customFormat="1" ht="15.75">
      <c r="A812" s="2102"/>
      <c r="B812" s="1268" t="s">
        <v>2813</v>
      </c>
      <c r="C812" s="1241" t="s">
        <v>3556</v>
      </c>
      <c r="D812" s="1245" t="s">
        <v>36</v>
      </c>
      <c r="E812" s="1413">
        <v>72</v>
      </c>
      <c r="F812" s="1555">
        <v>61.97</v>
      </c>
      <c r="G812" s="1480">
        <v>63.49</v>
      </c>
      <c r="H812" s="1414">
        <v>64.3</v>
      </c>
      <c r="I812" s="1477">
        <f t="shared" si="289"/>
        <v>4461.84</v>
      </c>
      <c r="J812" s="1477">
        <f t="shared" si="290"/>
        <v>4571.28</v>
      </c>
      <c r="K812" s="1477">
        <v>0</v>
      </c>
      <c r="L812" s="1477">
        <f t="shared" si="295"/>
        <v>0</v>
      </c>
      <c r="M812" s="1477">
        <v>72</v>
      </c>
      <c r="N812" s="1477">
        <f t="shared" si="296"/>
        <v>72</v>
      </c>
      <c r="O812" s="1477">
        <f t="shared" si="297"/>
        <v>0</v>
      </c>
      <c r="P812" s="1477">
        <f t="shared" si="298"/>
        <v>4571.28</v>
      </c>
      <c r="Q812" s="1477">
        <f t="shared" si="299"/>
        <v>4629.6000000000004</v>
      </c>
      <c r="R812" s="1576">
        <f t="shared" si="300"/>
        <v>4629.6000000000004</v>
      </c>
      <c r="S812" s="1869">
        <v>72</v>
      </c>
      <c r="T812" s="1866">
        <v>4629.5999999999995</v>
      </c>
      <c r="U812" s="2442"/>
      <c r="V812" s="1866">
        <f t="shared" si="302"/>
        <v>0</v>
      </c>
      <c r="W812" s="1869">
        <f>S812+U812</f>
        <v>72</v>
      </c>
      <c r="X812" s="1870">
        <f t="shared" si="303"/>
        <v>4629.5999999999995</v>
      </c>
      <c r="Y812" s="1871">
        <f t="shared" si="304"/>
        <v>0.99999999999999978</v>
      </c>
      <c r="Z812" s="1694">
        <f t="shared" si="309"/>
        <v>0</v>
      </c>
      <c r="AA812" s="1872">
        <f t="shared" si="305"/>
        <v>0</v>
      </c>
      <c r="AB812" s="1873">
        <f t="shared" si="306"/>
        <v>0</v>
      </c>
      <c r="AC812" s="1418">
        <f t="shared" si="291"/>
        <v>9.0949470177292824E-13</v>
      </c>
      <c r="AD812" s="1418">
        <f t="shared" si="292"/>
        <v>0</v>
      </c>
      <c r="AE812" s="1418">
        <v>4629.5999999999995</v>
      </c>
      <c r="AF812" s="1418">
        <f t="shared" si="293"/>
        <v>0</v>
      </c>
      <c r="AG812" s="1418">
        <v>64.3</v>
      </c>
      <c r="AH812" s="1418">
        <f t="shared" si="294"/>
        <v>0</v>
      </c>
      <c r="AI812" s="1428"/>
      <c r="AO812" s="2504">
        <v>4629.5999999999995</v>
      </c>
      <c r="AP812" s="1418">
        <f t="shared" si="301"/>
        <v>0</v>
      </c>
    </row>
    <row r="813" spans="1:44" s="1410" customFormat="1" ht="15.75">
      <c r="A813" s="2102"/>
      <c r="B813" s="1268" t="s">
        <v>2814</v>
      </c>
      <c r="C813" s="1241" t="s">
        <v>3557</v>
      </c>
      <c r="D813" s="1245" t="s">
        <v>36</v>
      </c>
      <c r="E813" s="1413">
        <v>29</v>
      </c>
      <c r="F813" s="1555">
        <v>356.21</v>
      </c>
      <c r="G813" s="1480">
        <v>361.31</v>
      </c>
      <c r="H813" s="1414">
        <v>364.13</v>
      </c>
      <c r="I813" s="1477">
        <f t="shared" si="289"/>
        <v>10330.09</v>
      </c>
      <c r="J813" s="1477">
        <f t="shared" si="290"/>
        <v>10477.99</v>
      </c>
      <c r="K813" s="1477">
        <v>0</v>
      </c>
      <c r="L813" s="1477">
        <f t="shared" si="295"/>
        <v>0</v>
      </c>
      <c r="M813" s="1477">
        <v>29</v>
      </c>
      <c r="N813" s="1477">
        <f t="shared" si="296"/>
        <v>29</v>
      </c>
      <c r="O813" s="1477">
        <f t="shared" si="297"/>
        <v>0</v>
      </c>
      <c r="P813" s="1477">
        <f t="shared" si="298"/>
        <v>10477.99</v>
      </c>
      <c r="Q813" s="1477">
        <f t="shared" si="299"/>
        <v>10559.77</v>
      </c>
      <c r="R813" s="1576">
        <f t="shared" si="300"/>
        <v>10559.77</v>
      </c>
      <c r="S813" s="1869">
        <v>8</v>
      </c>
      <c r="T813" s="1866">
        <v>2913.04</v>
      </c>
      <c r="U813" s="2442"/>
      <c r="V813" s="1866">
        <f t="shared" si="302"/>
        <v>0</v>
      </c>
      <c r="W813" s="1869">
        <f>S813+U813</f>
        <v>8</v>
      </c>
      <c r="X813" s="1870">
        <f t="shared" si="303"/>
        <v>2913.04</v>
      </c>
      <c r="Y813" s="1871">
        <f t="shared" si="304"/>
        <v>0.27586206896551724</v>
      </c>
      <c r="Z813" s="1694">
        <f t="shared" si="309"/>
        <v>21</v>
      </c>
      <c r="AA813" s="1872">
        <f t="shared" si="305"/>
        <v>7646.73</v>
      </c>
      <c r="AB813" s="1873">
        <f t="shared" si="306"/>
        <v>0.72413793103448265</v>
      </c>
      <c r="AC813" s="1418">
        <f t="shared" si="291"/>
        <v>0</v>
      </c>
      <c r="AD813" s="1418">
        <f t="shared" si="292"/>
        <v>0</v>
      </c>
      <c r="AE813" s="1418">
        <v>10559.77</v>
      </c>
      <c r="AF813" s="1418">
        <f t="shared" si="293"/>
        <v>0</v>
      </c>
      <c r="AG813" s="1418">
        <v>364.13</v>
      </c>
      <c r="AH813" s="1418">
        <f t="shared" si="294"/>
        <v>0</v>
      </c>
      <c r="AI813" s="1428"/>
      <c r="AO813" s="2504">
        <v>2913.04</v>
      </c>
      <c r="AP813" s="1418">
        <f t="shared" si="301"/>
        <v>0</v>
      </c>
    </row>
    <row r="814" spans="1:44" s="1410" customFormat="1" ht="15.75">
      <c r="A814" s="2102"/>
      <c r="B814" s="1268" t="s">
        <v>2815</v>
      </c>
      <c r="C814" s="1241" t="s">
        <v>3558</v>
      </c>
      <c r="D814" s="1245" t="s">
        <v>36</v>
      </c>
      <c r="E814" s="1413">
        <v>59</v>
      </c>
      <c r="F814" s="1555">
        <v>223.44</v>
      </c>
      <c r="G814" s="1480">
        <v>228.54</v>
      </c>
      <c r="H814" s="1414">
        <v>231.36</v>
      </c>
      <c r="I814" s="1477">
        <f t="shared" si="289"/>
        <v>13182.96</v>
      </c>
      <c r="J814" s="1477">
        <f t="shared" si="290"/>
        <v>13483.86</v>
      </c>
      <c r="K814" s="1477">
        <v>0</v>
      </c>
      <c r="L814" s="1477">
        <f t="shared" si="295"/>
        <v>0</v>
      </c>
      <c r="M814" s="1477">
        <v>59</v>
      </c>
      <c r="N814" s="1477">
        <f t="shared" si="296"/>
        <v>59</v>
      </c>
      <c r="O814" s="1477">
        <f t="shared" si="297"/>
        <v>0</v>
      </c>
      <c r="P814" s="1477">
        <f t="shared" si="298"/>
        <v>13483.86</v>
      </c>
      <c r="Q814" s="1477">
        <f t="shared" si="299"/>
        <v>13650.24</v>
      </c>
      <c r="R814" s="1576">
        <f t="shared" si="300"/>
        <v>13650.24</v>
      </c>
      <c r="S814" s="1869">
        <v>59</v>
      </c>
      <c r="T814" s="1866">
        <v>13650.24</v>
      </c>
      <c r="U814" s="2442"/>
      <c r="V814" s="1866">
        <f t="shared" si="302"/>
        <v>0</v>
      </c>
      <c r="W814" s="1869">
        <f>S814+U814</f>
        <v>59</v>
      </c>
      <c r="X814" s="1870">
        <f t="shared" si="303"/>
        <v>13650.24</v>
      </c>
      <c r="Y814" s="1871">
        <f t="shared" si="304"/>
        <v>1</v>
      </c>
      <c r="Z814" s="1694">
        <f t="shared" si="309"/>
        <v>0</v>
      </c>
      <c r="AA814" s="1872">
        <f t="shared" si="305"/>
        <v>0</v>
      </c>
      <c r="AB814" s="1873">
        <f t="shared" si="306"/>
        <v>0</v>
      </c>
      <c r="AC814" s="1418">
        <f t="shared" si="291"/>
        <v>0</v>
      </c>
      <c r="AD814" s="1418">
        <f t="shared" si="292"/>
        <v>0</v>
      </c>
      <c r="AE814" s="1418">
        <v>13650.240000000002</v>
      </c>
      <c r="AF814" s="1418">
        <f t="shared" si="293"/>
        <v>0</v>
      </c>
      <c r="AG814" s="1418">
        <v>231.36</v>
      </c>
      <c r="AH814" s="1418">
        <f t="shared" si="294"/>
        <v>0</v>
      </c>
      <c r="AI814" s="1428"/>
      <c r="AO814" s="2504">
        <v>13650.24</v>
      </c>
      <c r="AP814" s="1418">
        <f t="shared" si="301"/>
        <v>0</v>
      </c>
    </row>
    <row r="815" spans="1:44" s="1231" customFormat="1" ht="15.75">
      <c r="A815" s="2103"/>
      <c r="B815" s="1263" t="s">
        <v>2086</v>
      </c>
      <c r="C815" s="1264" t="s">
        <v>3559</v>
      </c>
      <c r="D815" s="1265"/>
      <c r="E815" s="1266"/>
      <c r="F815" s="1267"/>
      <c r="G815" s="1480"/>
      <c r="H815" s="1267"/>
      <c r="I815" s="1477">
        <f t="shared" si="289"/>
        <v>0</v>
      </c>
      <c r="J815" s="1477">
        <f t="shared" si="290"/>
        <v>0</v>
      </c>
      <c r="K815" s="1477"/>
      <c r="L815" s="1477">
        <f t="shared" si="295"/>
        <v>0</v>
      </c>
      <c r="M815" s="1477"/>
      <c r="N815" s="1477">
        <f t="shared" si="296"/>
        <v>0</v>
      </c>
      <c r="O815" s="1477">
        <f t="shared" si="297"/>
        <v>0</v>
      </c>
      <c r="P815" s="1477">
        <f t="shared" si="298"/>
        <v>0</v>
      </c>
      <c r="Q815" s="1477">
        <f t="shared" si="299"/>
        <v>0</v>
      </c>
      <c r="R815" s="1576">
        <f t="shared" si="300"/>
        <v>0</v>
      </c>
      <c r="S815" s="2452"/>
      <c r="T815" s="1866"/>
      <c r="U815" s="2442"/>
      <c r="V815" s="1866">
        <f t="shared" si="302"/>
        <v>0</v>
      </c>
      <c r="W815" s="2452"/>
      <c r="X815" s="1870"/>
      <c r="Y815" s="1871" t="str">
        <f t="shared" si="304"/>
        <v/>
      </c>
      <c r="Z815" s="1694"/>
      <c r="AA815" s="1872">
        <f t="shared" si="305"/>
        <v>0</v>
      </c>
      <c r="AB815" s="1873" t="str">
        <f t="shared" si="306"/>
        <v/>
      </c>
      <c r="AC815" s="1418">
        <f t="shared" si="291"/>
        <v>0</v>
      </c>
      <c r="AD815" s="1418">
        <f t="shared" si="292"/>
        <v>0</v>
      </c>
      <c r="AE815" s="1230"/>
      <c r="AF815" s="1230">
        <f t="shared" si="293"/>
        <v>0</v>
      </c>
      <c r="AG815" s="1230"/>
      <c r="AH815" s="1418">
        <f t="shared" si="294"/>
        <v>0</v>
      </c>
      <c r="AI815" s="1346"/>
      <c r="AO815" s="1736"/>
      <c r="AP815" s="1418">
        <f t="shared" si="301"/>
        <v>0</v>
      </c>
    </row>
    <row r="816" spans="1:44" s="1410" customFormat="1" ht="15.75">
      <c r="A816" s="2102"/>
      <c r="B816" s="1272" t="s">
        <v>2087</v>
      </c>
      <c r="C816" s="1262" t="s">
        <v>3560</v>
      </c>
      <c r="D816" s="1273"/>
      <c r="E816" s="1415"/>
      <c r="F816" s="1267"/>
      <c r="G816" s="1480"/>
      <c r="H816" s="1416"/>
      <c r="I816" s="1477">
        <f t="shared" si="289"/>
        <v>0</v>
      </c>
      <c r="J816" s="1477">
        <f t="shared" si="290"/>
        <v>0</v>
      </c>
      <c r="K816" s="1477"/>
      <c r="L816" s="1477">
        <f t="shared" si="295"/>
        <v>0</v>
      </c>
      <c r="M816" s="1477"/>
      <c r="N816" s="1477">
        <f t="shared" si="296"/>
        <v>0</v>
      </c>
      <c r="O816" s="1477">
        <f t="shared" si="297"/>
        <v>0</v>
      </c>
      <c r="P816" s="1477">
        <f t="shared" si="298"/>
        <v>0</v>
      </c>
      <c r="Q816" s="1477">
        <f t="shared" si="299"/>
        <v>0</v>
      </c>
      <c r="R816" s="1576">
        <f t="shared" si="300"/>
        <v>0</v>
      </c>
      <c r="S816" s="1869"/>
      <c r="T816" s="1866"/>
      <c r="U816" s="2442"/>
      <c r="V816" s="1866">
        <f t="shared" si="302"/>
        <v>0</v>
      </c>
      <c r="W816" s="1869"/>
      <c r="X816" s="1870"/>
      <c r="Y816" s="1871" t="str">
        <f t="shared" si="304"/>
        <v/>
      </c>
      <c r="Z816" s="1694"/>
      <c r="AA816" s="1872">
        <f t="shared" si="305"/>
        <v>0</v>
      </c>
      <c r="AB816" s="1873" t="str">
        <f t="shared" si="306"/>
        <v/>
      </c>
      <c r="AC816" s="1418">
        <f t="shared" si="291"/>
        <v>0</v>
      </c>
      <c r="AD816" s="1418">
        <f t="shared" si="292"/>
        <v>0</v>
      </c>
      <c r="AE816" s="1418"/>
      <c r="AF816" s="1418">
        <f t="shared" si="293"/>
        <v>0</v>
      </c>
      <c r="AG816" s="1418"/>
      <c r="AH816" s="1418">
        <f t="shared" si="294"/>
        <v>0</v>
      </c>
      <c r="AI816" s="1428"/>
      <c r="AO816" s="2504"/>
      <c r="AP816" s="1418">
        <f t="shared" si="301"/>
        <v>0</v>
      </c>
    </row>
    <row r="817" spans="1:42" s="1410" customFormat="1" ht="15.75">
      <c r="A817" s="2102"/>
      <c r="B817" s="1268" t="s">
        <v>2088</v>
      </c>
      <c r="C817" s="1241" t="s">
        <v>3537</v>
      </c>
      <c r="D817" s="1245" t="s">
        <v>38</v>
      </c>
      <c r="E817" s="1413">
        <v>63.47</v>
      </c>
      <c r="F817" s="1555">
        <v>6.03</v>
      </c>
      <c r="G817" s="1480">
        <v>6.34</v>
      </c>
      <c r="H817" s="1414">
        <v>6.52</v>
      </c>
      <c r="I817" s="1477">
        <f t="shared" si="289"/>
        <v>382.72</v>
      </c>
      <c r="J817" s="1477">
        <f t="shared" si="290"/>
        <v>402.4</v>
      </c>
      <c r="K817" s="1477">
        <v>25</v>
      </c>
      <c r="L817" s="1477">
        <f t="shared" si="295"/>
        <v>25</v>
      </c>
      <c r="M817" s="1477">
        <v>38.47</v>
      </c>
      <c r="N817" s="1477">
        <f t="shared" si="296"/>
        <v>38.47</v>
      </c>
      <c r="O817" s="1477">
        <f t="shared" si="297"/>
        <v>158.5</v>
      </c>
      <c r="P817" s="1477">
        <f t="shared" si="298"/>
        <v>243.9</v>
      </c>
      <c r="Q817" s="1477">
        <f t="shared" si="299"/>
        <v>250.82</v>
      </c>
      <c r="R817" s="1576">
        <f t="shared" si="300"/>
        <v>409.32</v>
      </c>
      <c r="S817" s="1869">
        <v>63.47</v>
      </c>
      <c r="T817" s="1866">
        <v>409.32440000000003</v>
      </c>
      <c r="U817" s="2442"/>
      <c r="V817" s="1866">
        <f t="shared" si="302"/>
        <v>0</v>
      </c>
      <c r="W817" s="1869">
        <f>S817+U817</f>
        <v>63.47</v>
      </c>
      <c r="X817" s="1870">
        <f t="shared" si="303"/>
        <v>409.32440000000003</v>
      </c>
      <c r="Y817" s="1871">
        <f t="shared" si="304"/>
        <v>1.0000107495358155</v>
      </c>
      <c r="Z817" s="1694">
        <f>+E817-W817</f>
        <v>0</v>
      </c>
      <c r="AA817" s="1872">
        <f t="shared" si="305"/>
        <v>0</v>
      </c>
      <c r="AB817" s="1873">
        <f t="shared" si="306"/>
        <v>0</v>
      </c>
      <c r="AC817" s="1418">
        <f t="shared" si="291"/>
        <v>-4.400000000032378E-3</v>
      </c>
      <c r="AD817" s="1418">
        <f t="shared" si="292"/>
        <v>0</v>
      </c>
      <c r="AE817" s="1418">
        <v>409.32439999999997</v>
      </c>
      <c r="AF817" s="1418">
        <f t="shared" si="293"/>
        <v>4.3999999999755346E-3</v>
      </c>
      <c r="AG817" s="1418">
        <v>6.52</v>
      </c>
      <c r="AH817" s="1418">
        <f t="shared" si="294"/>
        <v>0</v>
      </c>
      <c r="AI817" s="1428"/>
      <c r="AO817" s="2504">
        <v>409.32440000000003</v>
      </c>
      <c r="AP817" s="1418">
        <f t="shared" si="301"/>
        <v>0</v>
      </c>
    </row>
    <row r="818" spans="1:42" s="1410" customFormat="1" ht="15.75">
      <c r="A818" s="2102"/>
      <c r="B818" s="1272" t="s">
        <v>2099</v>
      </c>
      <c r="C818" s="1262" t="s">
        <v>3513</v>
      </c>
      <c r="D818" s="1273"/>
      <c r="E818" s="1415"/>
      <c r="F818" s="1267"/>
      <c r="G818" s="1480"/>
      <c r="H818" s="1416"/>
      <c r="I818" s="1477">
        <f t="shared" si="289"/>
        <v>0</v>
      </c>
      <c r="J818" s="1477">
        <f t="shared" si="290"/>
        <v>0</v>
      </c>
      <c r="K818" s="1477"/>
      <c r="L818" s="1477">
        <f t="shared" si="295"/>
        <v>0</v>
      </c>
      <c r="M818" s="1477"/>
      <c r="N818" s="1477">
        <f t="shared" si="296"/>
        <v>0</v>
      </c>
      <c r="O818" s="1477">
        <f t="shared" si="297"/>
        <v>0</v>
      </c>
      <c r="P818" s="1477">
        <f t="shared" si="298"/>
        <v>0</v>
      </c>
      <c r="Q818" s="1477">
        <f t="shared" si="299"/>
        <v>0</v>
      </c>
      <c r="R818" s="1576">
        <f t="shared" si="300"/>
        <v>0</v>
      </c>
      <c r="S818" s="1869"/>
      <c r="T818" s="1866"/>
      <c r="U818" s="2442"/>
      <c r="V818" s="1866">
        <f t="shared" si="302"/>
        <v>0</v>
      </c>
      <c r="W818" s="1869"/>
      <c r="X818" s="1870"/>
      <c r="Y818" s="1871" t="str">
        <f t="shared" si="304"/>
        <v/>
      </c>
      <c r="Z818" s="1694"/>
      <c r="AA818" s="1872">
        <f t="shared" si="305"/>
        <v>0</v>
      </c>
      <c r="AB818" s="1873" t="str">
        <f t="shared" si="306"/>
        <v/>
      </c>
      <c r="AC818" s="1418">
        <f t="shared" si="291"/>
        <v>0</v>
      </c>
      <c r="AD818" s="1418">
        <f t="shared" si="292"/>
        <v>0</v>
      </c>
      <c r="AE818" s="1418"/>
      <c r="AF818" s="1418">
        <f t="shared" si="293"/>
        <v>0</v>
      </c>
      <c r="AG818" s="1418"/>
      <c r="AH818" s="1418">
        <f t="shared" si="294"/>
        <v>0</v>
      </c>
      <c r="AI818" s="1428"/>
      <c r="AO818" s="2504"/>
      <c r="AP818" s="1418">
        <f t="shared" si="301"/>
        <v>0</v>
      </c>
    </row>
    <row r="819" spans="1:42" s="1410" customFormat="1" ht="15.75">
      <c r="A819" s="2102"/>
      <c r="B819" s="1268" t="s">
        <v>2100</v>
      </c>
      <c r="C819" s="1241" t="s">
        <v>3518</v>
      </c>
      <c r="D819" s="1245" t="s">
        <v>38</v>
      </c>
      <c r="E819" s="1413">
        <v>63.47</v>
      </c>
      <c r="F819" s="1555">
        <v>6.76</v>
      </c>
      <c r="G819" s="1480">
        <v>7.22</v>
      </c>
      <c r="H819" s="1414">
        <v>7.46</v>
      </c>
      <c r="I819" s="1477">
        <f t="shared" si="289"/>
        <v>429.06</v>
      </c>
      <c r="J819" s="1477">
        <f t="shared" si="290"/>
        <v>458.25</v>
      </c>
      <c r="K819" s="1477">
        <v>0</v>
      </c>
      <c r="L819" s="1477">
        <f t="shared" si="295"/>
        <v>0</v>
      </c>
      <c r="M819" s="1477">
        <v>63.47</v>
      </c>
      <c r="N819" s="1477">
        <f t="shared" si="296"/>
        <v>63.47</v>
      </c>
      <c r="O819" s="1477">
        <f t="shared" si="297"/>
        <v>0</v>
      </c>
      <c r="P819" s="1477">
        <f t="shared" si="298"/>
        <v>458.25</v>
      </c>
      <c r="Q819" s="1477">
        <f t="shared" si="299"/>
        <v>473.49</v>
      </c>
      <c r="R819" s="1576">
        <f t="shared" si="300"/>
        <v>473.49</v>
      </c>
      <c r="S819" s="1869">
        <v>0</v>
      </c>
      <c r="T819" s="1866">
        <v>0</v>
      </c>
      <c r="U819" s="2442"/>
      <c r="V819" s="1866">
        <f t="shared" si="302"/>
        <v>0</v>
      </c>
      <c r="W819" s="1869">
        <f>S819+U819</f>
        <v>0</v>
      </c>
      <c r="X819" s="1870">
        <f t="shared" si="303"/>
        <v>0</v>
      </c>
      <c r="Y819" s="1871">
        <f t="shared" si="304"/>
        <v>0</v>
      </c>
      <c r="Z819" s="1694">
        <f>+E819-W819</f>
        <v>63.47</v>
      </c>
      <c r="AA819" s="1872">
        <f t="shared" si="305"/>
        <v>473.4862</v>
      </c>
      <c r="AB819" s="1873">
        <f t="shared" si="306"/>
        <v>0.99999197448731758</v>
      </c>
      <c r="AC819" s="1418">
        <f t="shared" si="291"/>
        <v>3.8000000000124601E-3</v>
      </c>
      <c r="AD819" s="1418">
        <f t="shared" si="292"/>
        <v>0</v>
      </c>
      <c r="AE819" s="1418">
        <v>473.4862</v>
      </c>
      <c r="AF819" s="1418">
        <f t="shared" si="293"/>
        <v>-3.8000000000124601E-3</v>
      </c>
      <c r="AG819" s="1418">
        <v>7.46</v>
      </c>
      <c r="AH819" s="1418">
        <f t="shared" si="294"/>
        <v>0</v>
      </c>
      <c r="AI819" s="1428"/>
      <c r="AO819" s="2504">
        <v>0</v>
      </c>
      <c r="AP819" s="1418">
        <f t="shared" si="301"/>
        <v>0</v>
      </c>
    </row>
    <row r="820" spans="1:42" s="1410" customFormat="1" ht="15.75">
      <c r="A820" s="2102"/>
      <c r="B820" s="1272" t="s">
        <v>2113</v>
      </c>
      <c r="C820" s="1262" t="s">
        <v>3524</v>
      </c>
      <c r="D820" s="1273"/>
      <c r="E820" s="1415"/>
      <c r="F820" s="1267"/>
      <c r="G820" s="1480"/>
      <c r="H820" s="1416"/>
      <c r="I820" s="1477">
        <f t="shared" si="289"/>
        <v>0</v>
      </c>
      <c r="J820" s="1477">
        <f t="shared" si="290"/>
        <v>0</v>
      </c>
      <c r="K820" s="1477"/>
      <c r="L820" s="1477">
        <f t="shared" si="295"/>
        <v>0</v>
      </c>
      <c r="M820" s="1477"/>
      <c r="N820" s="1477">
        <f t="shared" si="296"/>
        <v>0</v>
      </c>
      <c r="O820" s="1477">
        <f t="shared" si="297"/>
        <v>0</v>
      </c>
      <c r="P820" s="1477">
        <f t="shared" si="298"/>
        <v>0</v>
      </c>
      <c r="Q820" s="1477">
        <f t="shared" si="299"/>
        <v>0</v>
      </c>
      <c r="R820" s="1576">
        <f t="shared" si="300"/>
        <v>0</v>
      </c>
      <c r="S820" s="1869"/>
      <c r="T820" s="1866"/>
      <c r="U820" s="2442"/>
      <c r="V820" s="1866">
        <f t="shared" si="302"/>
        <v>0</v>
      </c>
      <c r="W820" s="1869"/>
      <c r="X820" s="1870"/>
      <c r="Y820" s="1871" t="str">
        <f t="shared" si="304"/>
        <v/>
      </c>
      <c r="Z820" s="1694"/>
      <c r="AA820" s="1872">
        <f t="shared" si="305"/>
        <v>0</v>
      </c>
      <c r="AB820" s="1873" t="str">
        <f t="shared" si="306"/>
        <v/>
      </c>
      <c r="AC820" s="1418">
        <f t="shared" si="291"/>
        <v>0</v>
      </c>
      <c r="AD820" s="1418">
        <f t="shared" si="292"/>
        <v>0</v>
      </c>
      <c r="AE820" s="1418"/>
      <c r="AF820" s="1418">
        <f t="shared" si="293"/>
        <v>0</v>
      </c>
      <c r="AG820" s="1418"/>
      <c r="AH820" s="1418">
        <f t="shared" si="294"/>
        <v>0</v>
      </c>
      <c r="AI820" s="1428"/>
      <c r="AO820" s="2504"/>
      <c r="AP820" s="1418">
        <f t="shared" si="301"/>
        <v>0</v>
      </c>
    </row>
    <row r="821" spans="1:42" s="1410" customFormat="1" ht="15.75">
      <c r="A821" s="2102"/>
      <c r="B821" s="1268" t="s">
        <v>2114</v>
      </c>
      <c r="C821" s="1241" t="s">
        <v>3525</v>
      </c>
      <c r="D821" s="1245" t="s">
        <v>36</v>
      </c>
      <c r="E821" s="1413">
        <v>11</v>
      </c>
      <c r="F821" s="1555">
        <v>68.91</v>
      </c>
      <c r="G821" s="1480">
        <v>72.099999999999994</v>
      </c>
      <c r="H821" s="1414">
        <v>73.89</v>
      </c>
      <c r="I821" s="1477">
        <f t="shared" si="289"/>
        <v>758.01</v>
      </c>
      <c r="J821" s="1477">
        <f t="shared" si="290"/>
        <v>793.1</v>
      </c>
      <c r="K821" s="1477">
        <v>0</v>
      </c>
      <c r="L821" s="1477">
        <f t="shared" si="295"/>
        <v>0</v>
      </c>
      <c r="M821" s="1477">
        <v>11</v>
      </c>
      <c r="N821" s="1477">
        <f t="shared" si="296"/>
        <v>11</v>
      </c>
      <c r="O821" s="1477">
        <f t="shared" si="297"/>
        <v>0</v>
      </c>
      <c r="P821" s="1477">
        <f t="shared" si="298"/>
        <v>793.1</v>
      </c>
      <c r="Q821" s="1477">
        <f t="shared" si="299"/>
        <v>812.79</v>
      </c>
      <c r="R821" s="1576">
        <f t="shared" si="300"/>
        <v>812.79</v>
      </c>
      <c r="S821" s="1869">
        <v>11</v>
      </c>
      <c r="T821" s="1866">
        <v>812.77</v>
      </c>
      <c r="U821" s="2442"/>
      <c r="V821" s="1866">
        <f t="shared" si="302"/>
        <v>0</v>
      </c>
      <c r="W821" s="1869">
        <f>S821+U821</f>
        <v>11</v>
      </c>
      <c r="X821" s="1870">
        <f t="shared" si="303"/>
        <v>812.77</v>
      </c>
      <c r="Y821" s="1871">
        <f t="shared" si="304"/>
        <v>0.99997539339804875</v>
      </c>
      <c r="Z821" s="1694">
        <f>+E821-W821</f>
        <v>0</v>
      </c>
      <c r="AA821" s="1872">
        <f t="shared" si="305"/>
        <v>0</v>
      </c>
      <c r="AB821" s="1873">
        <f t="shared" si="306"/>
        <v>0</v>
      </c>
      <c r="AC821" s="1418">
        <f t="shared" si="291"/>
        <v>1.999999999998181E-2</v>
      </c>
      <c r="AD821" s="1418">
        <f t="shared" si="292"/>
        <v>0</v>
      </c>
      <c r="AE821" s="1418">
        <v>812.79</v>
      </c>
      <c r="AF821" s="1418">
        <f t="shared" si="293"/>
        <v>0</v>
      </c>
      <c r="AG821" s="1418">
        <v>73.89</v>
      </c>
      <c r="AH821" s="1418">
        <f t="shared" si="294"/>
        <v>0</v>
      </c>
      <c r="AI821" s="1428"/>
      <c r="AO821" s="2504">
        <v>812.77</v>
      </c>
      <c r="AP821" s="1418">
        <f t="shared" si="301"/>
        <v>0</v>
      </c>
    </row>
    <row r="822" spans="1:42" s="1410" customFormat="1" ht="15.75">
      <c r="A822" s="2102"/>
      <c r="B822" s="1268" t="s">
        <v>2816</v>
      </c>
      <c r="C822" s="1241" t="s">
        <v>3526</v>
      </c>
      <c r="D822" s="1245" t="s">
        <v>36</v>
      </c>
      <c r="E822" s="1413">
        <v>11</v>
      </c>
      <c r="F822" s="1555">
        <v>137.04</v>
      </c>
      <c r="G822" s="1480">
        <v>140.22999999999999</v>
      </c>
      <c r="H822" s="1414">
        <v>142.02000000000001</v>
      </c>
      <c r="I822" s="1477">
        <f t="shared" si="289"/>
        <v>1507.44</v>
      </c>
      <c r="J822" s="1477">
        <f t="shared" si="290"/>
        <v>1542.53</v>
      </c>
      <c r="K822" s="1477">
        <v>0</v>
      </c>
      <c r="L822" s="1477">
        <f t="shared" si="295"/>
        <v>0</v>
      </c>
      <c r="M822" s="1477">
        <v>11</v>
      </c>
      <c r="N822" s="1477">
        <f t="shared" si="296"/>
        <v>11</v>
      </c>
      <c r="O822" s="1477">
        <f t="shared" si="297"/>
        <v>0</v>
      </c>
      <c r="P822" s="1477">
        <f t="shared" si="298"/>
        <v>1542.53</v>
      </c>
      <c r="Q822" s="1477">
        <f t="shared" si="299"/>
        <v>1562.22</v>
      </c>
      <c r="R822" s="1576">
        <f t="shared" si="300"/>
        <v>1562.22</v>
      </c>
      <c r="S822" s="1869">
        <v>11</v>
      </c>
      <c r="T822" s="1866">
        <v>1562.22</v>
      </c>
      <c r="U822" s="2442"/>
      <c r="V822" s="1866">
        <f t="shared" si="302"/>
        <v>0</v>
      </c>
      <c r="W822" s="1869">
        <f>S822+U822</f>
        <v>11</v>
      </c>
      <c r="X822" s="1870">
        <f t="shared" si="303"/>
        <v>1562.22</v>
      </c>
      <c r="Y822" s="1871">
        <f t="shared" si="304"/>
        <v>1</v>
      </c>
      <c r="Z822" s="1694">
        <f>+E822-W822</f>
        <v>0</v>
      </c>
      <c r="AA822" s="1872">
        <f t="shared" si="305"/>
        <v>0</v>
      </c>
      <c r="AB822" s="1873">
        <f t="shared" si="306"/>
        <v>0</v>
      </c>
      <c r="AC822" s="1418">
        <f t="shared" si="291"/>
        <v>0</v>
      </c>
      <c r="AD822" s="1418">
        <f t="shared" si="292"/>
        <v>0</v>
      </c>
      <c r="AE822" s="1418">
        <v>1562.22</v>
      </c>
      <c r="AF822" s="1418">
        <f t="shared" si="293"/>
        <v>0</v>
      </c>
      <c r="AG822" s="1418">
        <v>142.02000000000001</v>
      </c>
      <c r="AH822" s="1418">
        <f t="shared" si="294"/>
        <v>0</v>
      </c>
      <c r="AI822" s="1428"/>
      <c r="AO822" s="2504">
        <v>1562.22</v>
      </c>
      <c r="AP822" s="1418">
        <f t="shared" si="301"/>
        <v>0</v>
      </c>
    </row>
    <row r="823" spans="1:42" s="1410" customFormat="1" ht="15.75">
      <c r="A823" s="2102"/>
      <c r="B823" s="1272" t="s">
        <v>2227</v>
      </c>
      <c r="C823" s="1262" t="s">
        <v>3527</v>
      </c>
      <c r="D823" s="1273"/>
      <c r="E823" s="1415"/>
      <c r="F823" s="1267"/>
      <c r="G823" s="1480"/>
      <c r="H823" s="1416"/>
      <c r="I823" s="1477">
        <f t="shared" si="289"/>
        <v>0</v>
      </c>
      <c r="J823" s="1477">
        <f t="shared" si="290"/>
        <v>0</v>
      </c>
      <c r="K823" s="1477"/>
      <c r="L823" s="1477">
        <f t="shared" si="295"/>
        <v>0</v>
      </c>
      <c r="M823" s="1477"/>
      <c r="N823" s="1477">
        <f t="shared" si="296"/>
        <v>0</v>
      </c>
      <c r="O823" s="1477">
        <f t="shared" si="297"/>
        <v>0</v>
      </c>
      <c r="P823" s="1477">
        <f t="shared" si="298"/>
        <v>0</v>
      </c>
      <c r="Q823" s="1477">
        <f t="shared" si="299"/>
        <v>0</v>
      </c>
      <c r="R823" s="1576">
        <f t="shared" si="300"/>
        <v>0</v>
      </c>
      <c r="S823" s="1869"/>
      <c r="T823" s="1866"/>
      <c r="U823" s="2442"/>
      <c r="V823" s="1866">
        <f t="shared" si="302"/>
        <v>0</v>
      </c>
      <c r="W823" s="1869"/>
      <c r="X823" s="1870"/>
      <c r="Y823" s="1871" t="str">
        <f t="shared" si="304"/>
        <v/>
      </c>
      <c r="Z823" s="1694"/>
      <c r="AA823" s="1872">
        <f t="shared" si="305"/>
        <v>0</v>
      </c>
      <c r="AB823" s="1873" t="str">
        <f t="shared" si="306"/>
        <v/>
      </c>
      <c r="AC823" s="1418">
        <f t="shared" si="291"/>
        <v>0</v>
      </c>
      <c r="AD823" s="1418">
        <f t="shared" si="292"/>
        <v>0</v>
      </c>
      <c r="AE823" s="1418"/>
      <c r="AF823" s="1418">
        <f t="shared" si="293"/>
        <v>0</v>
      </c>
      <c r="AG823" s="1418"/>
      <c r="AH823" s="1418">
        <f t="shared" si="294"/>
        <v>0</v>
      </c>
      <c r="AI823" s="1428"/>
      <c r="AO823" s="2504"/>
      <c r="AP823" s="1418">
        <f t="shared" si="301"/>
        <v>0</v>
      </c>
    </row>
    <row r="824" spans="1:42" s="1410" customFormat="1" ht="15.75">
      <c r="A824" s="2102"/>
      <c r="B824" s="1268" t="s">
        <v>2228</v>
      </c>
      <c r="C824" s="1241" t="s">
        <v>3561</v>
      </c>
      <c r="D824" s="1245" t="s">
        <v>36</v>
      </c>
      <c r="E824" s="1413">
        <v>11</v>
      </c>
      <c r="F824" s="1555">
        <v>71.17</v>
      </c>
      <c r="G824" s="1480">
        <v>74.22</v>
      </c>
      <c r="H824" s="1414">
        <v>75.849999999999994</v>
      </c>
      <c r="I824" s="1477">
        <f t="shared" si="289"/>
        <v>782.87</v>
      </c>
      <c r="J824" s="1477">
        <f t="shared" si="290"/>
        <v>816.42</v>
      </c>
      <c r="K824" s="1477">
        <v>0</v>
      </c>
      <c r="L824" s="1477">
        <f t="shared" si="295"/>
        <v>0</v>
      </c>
      <c r="M824" s="1477">
        <v>11</v>
      </c>
      <c r="N824" s="1477">
        <f t="shared" si="296"/>
        <v>11</v>
      </c>
      <c r="O824" s="1477">
        <f t="shared" si="297"/>
        <v>0</v>
      </c>
      <c r="P824" s="1477">
        <f t="shared" si="298"/>
        <v>816.42</v>
      </c>
      <c r="Q824" s="1477">
        <f t="shared" si="299"/>
        <v>834.35</v>
      </c>
      <c r="R824" s="1576">
        <f t="shared" si="300"/>
        <v>834.35</v>
      </c>
      <c r="S824" s="1869">
        <v>0</v>
      </c>
      <c r="T824" s="1866">
        <v>0</v>
      </c>
      <c r="U824" s="2442"/>
      <c r="V824" s="1866">
        <f t="shared" si="302"/>
        <v>0</v>
      </c>
      <c r="W824" s="1869">
        <f>S824+U824</f>
        <v>0</v>
      </c>
      <c r="X824" s="1870">
        <f t="shared" si="303"/>
        <v>0</v>
      </c>
      <c r="Y824" s="1871">
        <f t="shared" si="304"/>
        <v>0</v>
      </c>
      <c r="Z824" s="1694">
        <f>+E824-W824</f>
        <v>11</v>
      </c>
      <c r="AA824" s="1872">
        <f t="shared" si="305"/>
        <v>834.34999999999991</v>
      </c>
      <c r="AB824" s="1873">
        <f t="shared" si="306"/>
        <v>0.99999999999999989</v>
      </c>
      <c r="AC824" s="1418">
        <f t="shared" si="291"/>
        <v>0</v>
      </c>
      <c r="AD824" s="1418">
        <f t="shared" si="292"/>
        <v>0</v>
      </c>
      <c r="AE824" s="1418">
        <v>834.34999999999991</v>
      </c>
      <c r="AF824" s="1418">
        <f t="shared" si="293"/>
        <v>0</v>
      </c>
      <c r="AG824" s="1418">
        <v>75.849999999999994</v>
      </c>
      <c r="AH824" s="1418">
        <f t="shared" si="294"/>
        <v>0</v>
      </c>
      <c r="AI824" s="1428"/>
      <c r="AO824" s="2504">
        <v>0</v>
      </c>
      <c r="AP824" s="1418">
        <f t="shared" si="301"/>
        <v>0</v>
      </c>
    </row>
    <row r="825" spans="1:42" s="1231" customFormat="1" ht="15.75">
      <c r="A825" s="2103" t="s">
        <v>3619</v>
      </c>
      <c r="B825" s="1263" t="s">
        <v>2101</v>
      </c>
      <c r="C825" s="1264" t="s">
        <v>3562</v>
      </c>
      <c r="D825" s="1265"/>
      <c r="E825" s="1266"/>
      <c r="F825" s="1267"/>
      <c r="G825" s="1480"/>
      <c r="H825" s="1267"/>
      <c r="I825" s="1477">
        <f t="shared" si="289"/>
        <v>0</v>
      </c>
      <c r="J825" s="1477">
        <f t="shared" si="290"/>
        <v>0</v>
      </c>
      <c r="K825" s="1477"/>
      <c r="L825" s="1477">
        <f t="shared" si="295"/>
        <v>0</v>
      </c>
      <c r="M825" s="1477"/>
      <c r="N825" s="1477">
        <f t="shared" si="296"/>
        <v>0</v>
      </c>
      <c r="O825" s="1477">
        <f t="shared" si="297"/>
        <v>0</v>
      </c>
      <c r="P825" s="1477">
        <f t="shared" si="298"/>
        <v>0</v>
      </c>
      <c r="Q825" s="1477">
        <f t="shared" si="299"/>
        <v>0</v>
      </c>
      <c r="R825" s="1576">
        <f t="shared" si="300"/>
        <v>0</v>
      </c>
      <c r="S825" s="2452"/>
      <c r="T825" s="1866"/>
      <c r="U825" s="2442"/>
      <c r="V825" s="1866">
        <f t="shared" si="302"/>
        <v>0</v>
      </c>
      <c r="W825" s="2452"/>
      <c r="X825" s="1870"/>
      <c r="Y825" s="1871" t="str">
        <f t="shared" si="304"/>
        <v/>
      </c>
      <c r="Z825" s="1694"/>
      <c r="AA825" s="1872">
        <f t="shared" si="305"/>
        <v>0</v>
      </c>
      <c r="AB825" s="1873" t="str">
        <f t="shared" si="306"/>
        <v/>
      </c>
      <c r="AC825" s="1418">
        <f t="shared" si="291"/>
        <v>0</v>
      </c>
      <c r="AD825" s="1418">
        <f t="shared" si="292"/>
        <v>0</v>
      </c>
      <c r="AE825" s="1230"/>
      <c r="AF825" s="1230">
        <f t="shared" si="293"/>
        <v>0</v>
      </c>
      <c r="AG825" s="1230"/>
      <c r="AH825" s="1418">
        <f t="shared" si="294"/>
        <v>0</v>
      </c>
      <c r="AI825" s="1346"/>
      <c r="AO825" s="1736"/>
      <c r="AP825" s="1418">
        <f t="shared" si="301"/>
        <v>0</v>
      </c>
    </row>
    <row r="826" spans="1:42" s="1410" customFormat="1" ht="15.75">
      <c r="A826" s="2102" t="s">
        <v>3619</v>
      </c>
      <c r="B826" s="1272" t="s">
        <v>2103</v>
      </c>
      <c r="C826" s="1262" t="s">
        <v>3495</v>
      </c>
      <c r="D826" s="1273"/>
      <c r="E826" s="1415"/>
      <c r="F826" s="1267"/>
      <c r="G826" s="1480"/>
      <c r="H826" s="1416"/>
      <c r="I826" s="1477">
        <f t="shared" si="289"/>
        <v>0</v>
      </c>
      <c r="J826" s="1477">
        <f t="shared" si="290"/>
        <v>0</v>
      </c>
      <c r="K826" s="1477"/>
      <c r="L826" s="1477">
        <f t="shared" si="295"/>
        <v>0</v>
      </c>
      <c r="M826" s="1477"/>
      <c r="N826" s="1477">
        <f t="shared" si="296"/>
        <v>0</v>
      </c>
      <c r="O826" s="1477">
        <f t="shared" si="297"/>
        <v>0</v>
      </c>
      <c r="P826" s="1477">
        <f t="shared" si="298"/>
        <v>0</v>
      </c>
      <c r="Q826" s="1477">
        <f t="shared" si="299"/>
        <v>0</v>
      </c>
      <c r="R826" s="1576">
        <f t="shared" si="300"/>
        <v>0</v>
      </c>
      <c r="S826" s="1869"/>
      <c r="T826" s="1866"/>
      <c r="U826" s="2442"/>
      <c r="V826" s="1866">
        <f t="shared" si="302"/>
        <v>0</v>
      </c>
      <c r="W826" s="1869"/>
      <c r="X826" s="1870"/>
      <c r="Y826" s="1871" t="str">
        <f t="shared" si="304"/>
        <v/>
      </c>
      <c r="Z826" s="1694"/>
      <c r="AA826" s="1872">
        <f t="shared" si="305"/>
        <v>0</v>
      </c>
      <c r="AB826" s="1873" t="str">
        <f t="shared" si="306"/>
        <v/>
      </c>
      <c r="AC826" s="1418">
        <f t="shared" si="291"/>
        <v>0</v>
      </c>
      <c r="AD826" s="1418">
        <f t="shared" si="292"/>
        <v>0</v>
      </c>
      <c r="AE826" s="1418"/>
      <c r="AF826" s="1418">
        <f t="shared" si="293"/>
        <v>0</v>
      </c>
      <c r="AG826" s="1418"/>
      <c r="AH826" s="1418">
        <f t="shared" si="294"/>
        <v>0</v>
      </c>
      <c r="AI826" s="1428"/>
      <c r="AO826" s="2504"/>
      <c r="AP826" s="1418">
        <f t="shared" si="301"/>
        <v>0</v>
      </c>
    </row>
    <row r="827" spans="1:42" s="1410" customFormat="1" ht="15.75">
      <c r="A827" s="2102" t="s">
        <v>3619</v>
      </c>
      <c r="B827" s="1268" t="s">
        <v>2104</v>
      </c>
      <c r="C827" s="1241" t="s">
        <v>3537</v>
      </c>
      <c r="D827" s="1245" t="s">
        <v>38</v>
      </c>
      <c r="E827" s="1413">
        <v>200</v>
      </c>
      <c r="F827" s="1555">
        <v>6.03</v>
      </c>
      <c r="G827" s="1480">
        <v>6.34</v>
      </c>
      <c r="H827" s="1414">
        <v>6.52</v>
      </c>
      <c r="I827" s="1477">
        <f t="shared" si="289"/>
        <v>1206</v>
      </c>
      <c r="J827" s="1477">
        <f t="shared" si="290"/>
        <v>1268</v>
      </c>
      <c r="K827" s="1477">
        <v>43</v>
      </c>
      <c r="L827" s="1477">
        <f t="shared" si="295"/>
        <v>43</v>
      </c>
      <c r="M827" s="1477">
        <v>157</v>
      </c>
      <c r="N827" s="1477">
        <f t="shared" si="296"/>
        <v>157</v>
      </c>
      <c r="O827" s="1477">
        <f t="shared" si="297"/>
        <v>272.62</v>
      </c>
      <c r="P827" s="1477">
        <f t="shared" si="298"/>
        <v>995.38</v>
      </c>
      <c r="Q827" s="1477">
        <f t="shared" si="299"/>
        <v>1023.64</v>
      </c>
      <c r="R827" s="1576">
        <f t="shared" si="300"/>
        <v>1296.26</v>
      </c>
      <c r="S827" s="1869">
        <v>200</v>
      </c>
      <c r="T827" s="1866">
        <v>1296.26</v>
      </c>
      <c r="U827" s="2442"/>
      <c r="V827" s="1866">
        <f t="shared" si="302"/>
        <v>0</v>
      </c>
      <c r="W827" s="1869">
        <f>S827+U827</f>
        <v>200</v>
      </c>
      <c r="X827" s="1870">
        <f t="shared" si="303"/>
        <v>1296.26</v>
      </c>
      <c r="Y827" s="1871">
        <f t="shared" si="304"/>
        <v>1</v>
      </c>
      <c r="Z827" s="1694">
        <f>+E827-W827</f>
        <v>0</v>
      </c>
      <c r="AA827" s="1872">
        <f t="shared" si="305"/>
        <v>0</v>
      </c>
      <c r="AB827" s="1873">
        <f t="shared" si="306"/>
        <v>0</v>
      </c>
      <c r="AC827" s="1418">
        <f t="shared" si="291"/>
        <v>0</v>
      </c>
      <c r="AD827" s="1418">
        <f t="shared" si="292"/>
        <v>0</v>
      </c>
      <c r="AE827" s="1418">
        <v>1296.2599999999998</v>
      </c>
      <c r="AF827" s="1418">
        <f t="shared" si="293"/>
        <v>0</v>
      </c>
      <c r="AG827" s="1418">
        <v>6.52</v>
      </c>
      <c r="AH827" s="1418">
        <f t="shared" si="294"/>
        <v>0</v>
      </c>
      <c r="AI827" s="1428"/>
      <c r="AO827" s="2504">
        <v>1296.26</v>
      </c>
      <c r="AP827" s="1418">
        <f t="shared" si="301"/>
        <v>0</v>
      </c>
    </row>
    <row r="828" spans="1:42" s="1410" customFormat="1" ht="15.75">
      <c r="A828" s="2102"/>
      <c r="B828" s="1272" t="s">
        <v>2133</v>
      </c>
      <c r="C828" s="1262" t="s">
        <v>3539</v>
      </c>
      <c r="D828" s="1273"/>
      <c r="E828" s="1415"/>
      <c r="F828" s="1267"/>
      <c r="G828" s="1480"/>
      <c r="H828" s="1416"/>
      <c r="I828" s="1477">
        <f t="shared" si="289"/>
        <v>0</v>
      </c>
      <c r="J828" s="1477">
        <f t="shared" si="290"/>
        <v>0</v>
      </c>
      <c r="K828" s="1477"/>
      <c r="L828" s="1477">
        <f t="shared" si="295"/>
        <v>0</v>
      </c>
      <c r="M828" s="1477"/>
      <c r="N828" s="1477">
        <f t="shared" si="296"/>
        <v>0</v>
      </c>
      <c r="O828" s="1477">
        <f t="shared" si="297"/>
        <v>0</v>
      </c>
      <c r="P828" s="1477">
        <f t="shared" si="298"/>
        <v>0</v>
      </c>
      <c r="Q828" s="1477">
        <f t="shared" si="299"/>
        <v>0</v>
      </c>
      <c r="R828" s="1576">
        <f t="shared" si="300"/>
        <v>0</v>
      </c>
      <c r="S828" s="1869"/>
      <c r="T828" s="1866"/>
      <c r="U828" s="2442"/>
      <c r="V828" s="1866">
        <f t="shared" si="302"/>
        <v>0</v>
      </c>
      <c r="W828" s="1869"/>
      <c r="X828" s="1870"/>
      <c r="Y828" s="1871" t="str">
        <f t="shared" si="304"/>
        <v/>
      </c>
      <c r="Z828" s="1694"/>
      <c r="AA828" s="1872">
        <f t="shared" si="305"/>
        <v>0</v>
      </c>
      <c r="AB828" s="1873" t="str">
        <f t="shared" si="306"/>
        <v/>
      </c>
      <c r="AC828" s="1418">
        <f t="shared" si="291"/>
        <v>0</v>
      </c>
      <c r="AD828" s="1418">
        <f t="shared" si="292"/>
        <v>0</v>
      </c>
      <c r="AE828" s="1418"/>
      <c r="AF828" s="1418">
        <f t="shared" si="293"/>
        <v>0</v>
      </c>
      <c r="AG828" s="1418"/>
      <c r="AH828" s="1418">
        <f t="shared" si="294"/>
        <v>0</v>
      </c>
      <c r="AI828" s="1428"/>
      <c r="AO828" s="2504"/>
      <c r="AP828" s="1418">
        <f t="shared" si="301"/>
        <v>0</v>
      </c>
    </row>
    <row r="829" spans="1:42" s="1410" customFormat="1" ht="15.75">
      <c r="A829" s="2102"/>
      <c r="B829" s="1268" t="s">
        <v>2146</v>
      </c>
      <c r="C829" s="1241" t="s">
        <v>3563</v>
      </c>
      <c r="D829" s="1245" t="s">
        <v>1451</v>
      </c>
      <c r="E829" s="1413">
        <v>80</v>
      </c>
      <c r="F829" s="1570">
        <v>90.07</v>
      </c>
      <c r="G829" s="1480">
        <v>93.95</v>
      </c>
      <c r="H829" s="1414">
        <v>95.94</v>
      </c>
      <c r="I829" s="1576">
        <f t="shared" si="289"/>
        <v>7205.6</v>
      </c>
      <c r="J829" s="1576">
        <f t="shared" si="290"/>
        <v>7516</v>
      </c>
      <c r="K829" s="1576">
        <v>0</v>
      </c>
      <c r="L829" s="1576">
        <f t="shared" si="295"/>
        <v>0</v>
      </c>
      <c r="M829" s="1576">
        <v>80</v>
      </c>
      <c r="N829" s="1576">
        <f t="shared" si="296"/>
        <v>80</v>
      </c>
      <c r="O829" s="1576">
        <f t="shared" si="297"/>
        <v>0</v>
      </c>
      <c r="P829" s="1576">
        <f t="shared" si="298"/>
        <v>7516</v>
      </c>
      <c r="Q829" s="1576">
        <f t="shared" si="299"/>
        <v>7675.2</v>
      </c>
      <c r="R829" s="1576">
        <f t="shared" si="300"/>
        <v>7675.2</v>
      </c>
      <c r="S829" s="1869">
        <v>0</v>
      </c>
      <c r="T829" s="1866">
        <v>0</v>
      </c>
      <c r="U829" s="2442"/>
      <c r="V829" s="1866">
        <f t="shared" si="302"/>
        <v>0</v>
      </c>
      <c r="W829" s="1869">
        <f>S829+U829</f>
        <v>0</v>
      </c>
      <c r="X829" s="1870">
        <f t="shared" si="303"/>
        <v>0</v>
      </c>
      <c r="Y829" s="1871">
        <f t="shared" si="304"/>
        <v>0</v>
      </c>
      <c r="Z829" s="1694">
        <f>+E829-W829</f>
        <v>80</v>
      </c>
      <c r="AA829" s="1872">
        <f t="shared" si="305"/>
        <v>7675.2</v>
      </c>
      <c r="AB829" s="1873">
        <f t="shared" si="306"/>
        <v>1</v>
      </c>
      <c r="AC829" s="1418">
        <f t="shared" si="291"/>
        <v>0</v>
      </c>
      <c r="AD829" s="1418">
        <f t="shared" si="292"/>
        <v>0</v>
      </c>
      <c r="AE829" s="1418">
        <v>7675.2</v>
      </c>
      <c r="AF829" s="1418">
        <f t="shared" si="293"/>
        <v>0</v>
      </c>
      <c r="AG829" s="1418">
        <v>95.94</v>
      </c>
      <c r="AH829" s="1418">
        <f t="shared" si="294"/>
        <v>0</v>
      </c>
      <c r="AI829" s="1428"/>
      <c r="AO829" s="2504">
        <v>0</v>
      </c>
      <c r="AP829" s="1418">
        <f t="shared" si="301"/>
        <v>0</v>
      </c>
    </row>
    <row r="830" spans="1:42" s="1410" customFormat="1" ht="15.75">
      <c r="A830" s="2102"/>
      <c r="B830" s="1272" t="s">
        <v>2193</v>
      </c>
      <c r="C830" s="1262" t="s">
        <v>3513</v>
      </c>
      <c r="D830" s="1273"/>
      <c r="E830" s="1415"/>
      <c r="F830" s="1242"/>
      <c r="G830" s="1480"/>
      <c r="H830" s="1416"/>
      <c r="I830" s="1576">
        <f t="shared" si="289"/>
        <v>0</v>
      </c>
      <c r="J830" s="1576">
        <f t="shared" si="290"/>
        <v>0</v>
      </c>
      <c r="K830" s="1576"/>
      <c r="L830" s="1576">
        <f t="shared" si="295"/>
        <v>0</v>
      </c>
      <c r="M830" s="1576"/>
      <c r="N830" s="1576">
        <f t="shared" si="296"/>
        <v>0</v>
      </c>
      <c r="O830" s="1576">
        <f t="shared" si="297"/>
        <v>0</v>
      </c>
      <c r="P830" s="1576">
        <f t="shared" si="298"/>
        <v>0</v>
      </c>
      <c r="Q830" s="1576">
        <f t="shared" si="299"/>
        <v>0</v>
      </c>
      <c r="R830" s="1576">
        <f t="shared" si="300"/>
        <v>0</v>
      </c>
      <c r="S830" s="1869"/>
      <c r="T830" s="1866"/>
      <c r="U830" s="2442"/>
      <c r="V830" s="1866">
        <f t="shared" si="302"/>
        <v>0</v>
      </c>
      <c r="W830" s="1869"/>
      <c r="X830" s="1870"/>
      <c r="Y830" s="1871" t="str">
        <f t="shared" si="304"/>
        <v/>
      </c>
      <c r="Z830" s="1694"/>
      <c r="AA830" s="1872">
        <f t="shared" si="305"/>
        <v>0</v>
      </c>
      <c r="AB830" s="1873" t="str">
        <f t="shared" si="306"/>
        <v/>
      </c>
      <c r="AC830" s="1418">
        <f t="shared" si="291"/>
        <v>0</v>
      </c>
      <c r="AD830" s="1418">
        <f t="shared" si="292"/>
        <v>0</v>
      </c>
      <c r="AE830" s="1418"/>
      <c r="AF830" s="1418">
        <f t="shared" si="293"/>
        <v>0</v>
      </c>
      <c r="AG830" s="1418"/>
      <c r="AH830" s="1418">
        <f t="shared" si="294"/>
        <v>0</v>
      </c>
      <c r="AI830" s="1428"/>
      <c r="AO830" s="2504"/>
      <c r="AP830" s="1418">
        <f t="shared" si="301"/>
        <v>0</v>
      </c>
    </row>
    <row r="831" spans="1:42" s="1410" customFormat="1" ht="15.75">
      <c r="A831" s="2102"/>
      <c r="B831" s="1268" t="s">
        <v>2194</v>
      </c>
      <c r="C831" s="1241" t="s">
        <v>3564</v>
      </c>
      <c r="D831" s="1245" t="s">
        <v>38</v>
      </c>
      <c r="E831" s="1413">
        <v>200</v>
      </c>
      <c r="F831" s="1570">
        <v>11.99</v>
      </c>
      <c r="G831" s="1480">
        <v>12.45</v>
      </c>
      <c r="H831" s="1414">
        <v>12.69</v>
      </c>
      <c r="I831" s="1576">
        <f t="shared" si="289"/>
        <v>2398</v>
      </c>
      <c r="J831" s="1576">
        <f t="shared" si="290"/>
        <v>2490</v>
      </c>
      <c r="K831" s="1576">
        <v>0</v>
      </c>
      <c r="L831" s="1576">
        <f t="shared" si="295"/>
        <v>0</v>
      </c>
      <c r="M831" s="1576">
        <v>200</v>
      </c>
      <c r="N831" s="1576">
        <f t="shared" si="296"/>
        <v>200</v>
      </c>
      <c r="O831" s="1576">
        <f t="shared" si="297"/>
        <v>0</v>
      </c>
      <c r="P831" s="1576">
        <f t="shared" si="298"/>
        <v>2490</v>
      </c>
      <c r="Q831" s="1576">
        <f t="shared" si="299"/>
        <v>2538</v>
      </c>
      <c r="R831" s="1576">
        <f t="shared" si="300"/>
        <v>2538</v>
      </c>
      <c r="S831" s="1869">
        <v>0</v>
      </c>
      <c r="T831" s="1866">
        <v>0</v>
      </c>
      <c r="U831" s="2442"/>
      <c r="V831" s="1866">
        <f t="shared" si="302"/>
        <v>0</v>
      </c>
      <c r="W831" s="1869">
        <f>S831+U831</f>
        <v>0</v>
      </c>
      <c r="X831" s="1870">
        <f t="shared" si="303"/>
        <v>0</v>
      </c>
      <c r="Y831" s="1871">
        <f t="shared" si="304"/>
        <v>0</v>
      </c>
      <c r="Z831" s="1694">
        <f>+E831-W831</f>
        <v>200</v>
      </c>
      <c r="AA831" s="1872">
        <f t="shared" si="305"/>
        <v>2538</v>
      </c>
      <c r="AB831" s="1873">
        <f t="shared" si="306"/>
        <v>1</v>
      </c>
      <c r="AC831" s="1418">
        <f t="shared" si="291"/>
        <v>0</v>
      </c>
      <c r="AD831" s="1418">
        <f t="shared" si="292"/>
        <v>0</v>
      </c>
      <c r="AE831" s="1418">
        <v>2538</v>
      </c>
      <c r="AF831" s="1418">
        <f t="shared" si="293"/>
        <v>0</v>
      </c>
      <c r="AG831" s="1418">
        <v>12.69</v>
      </c>
      <c r="AH831" s="1418">
        <f t="shared" si="294"/>
        <v>0</v>
      </c>
      <c r="AI831" s="1428"/>
      <c r="AO831" s="2504">
        <v>0</v>
      </c>
      <c r="AP831" s="1418">
        <f t="shared" si="301"/>
        <v>0</v>
      </c>
    </row>
    <row r="832" spans="1:42" s="1410" customFormat="1" ht="15.75">
      <c r="A832" s="2102"/>
      <c r="B832" s="1268" t="s">
        <v>2817</v>
      </c>
      <c r="C832" s="1241" t="s">
        <v>3565</v>
      </c>
      <c r="D832" s="1245" t="s">
        <v>38</v>
      </c>
      <c r="E832" s="1413">
        <v>200</v>
      </c>
      <c r="F832" s="1570">
        <v>7.3</v>
      </c>
      <c r="G832" s="1480">
        <v>7.76</v>
      </c>
      <c r="H832" s="1414">
        <v>8</v>
      </c>
      <c r="I832" s="1576">
        <f t="shared" si="289"/>
        <v>1460</v>
      </c>
      <c r="J832" s="1576">
        <f t="shared" si="290"/>
        <v>1552</v>
      </c>
      <c r="K832" s="1576">
        <v>0</v>
      </c>
      <c r="L832" s="1576">
        <f t="shared" si="295"/>
        <v>0</v>
      </c>
      <c r="M832" s="1576">
        <v>200</v>
      </c>
      <c r="N832" s="1576">
        <f t="shared" si="296"/>
        <v>200</v>
      </c>
      <c r="O832" s="1576">
        <f t="shared" si="297"/>
        <v>0</v>
      </c>
      <c r="P832" s="1576">
        <f t="shared" si="298"/>
        <v>1552</v>
      </c>
      <c r="Q832" s="1576">
        <f t="shared" si="299"/>
        <v>1600</v>
      </c>
      <c r="R832" s="1576">
        <f t="shared" si="300"/>
        <v>1600</v>
      </c>
      <c r="S832" s="1869">
        <v>0</v>
      </c>
      <c r="T832" s="1866">
        <v>0</v>
      </c>
      <c r="U832" s="2442"/>
      <c r="V832" s="1866">
        <f t="shared" si="302"/>
        <v>0</v>
      </c>
      <c r="W832" s="1869">
        <f>S832+U832</f>
        <v>0</v>
      </c>
      <c r="X832" s="1870">
        <f t="shared" si="303"/>
        <v>0</v>
      </c>
      <c r="Y832" s="1871">
        <f t="shared" si="304"/>
        <v>0</v>
      </c>
      <c r="Z832" s="1694">
        <f>+E832-W832</f>
        <v>200</v>
      </c>
      <c r="AA832" s="1872">
        <f t="shared" si="305"/>
        <v>1600</v>
      </c>
      <c r="AB832" s="1873">
        <f t="shared" si="306"/>
        <v>1</v>
      </c>
      <c r="AC832" s="1418">
        <f t="shared" si="291"/>
        <v>0</v>
      </c>
      <c r="AD832" s="1418">
        <f t="shared" si="292"/>
        <v>0</v>
      </c>
      <c r="AE832" s="1418">
        <v>1600</v>
      </c>
      <c r="AF832" s="1418">
        <f t="shared" si="293"/>
        <v>0</v>
      </c>
      <c r="AG832" s="1418">
        <v>8</v>
      </c>
      <c r="AH832" s="1418">
        <f t="shared" si="294"/>
        <v>0</v>
      </c>
      <c r="AI832" s="1428"/>
      <c r="AO832" s="2504">
        <v>0</v>
      </c>
      <c r="AP832" s="1418">
        <f t="shared" si="301"/>
        <v>0</v>
      </c>
    </row>
    <row r="833" spans="1:45" s="1410" customFormat="1" ht="15.75">
      <c r="A833" s="2102"/>
      <c r="B833" s="1268" t="s">
        <v>2818</v>
      </c>
      <c r="C833" s="1241" t="s">
        <v>3566</v>
      </c>
      <c r="D833" s="1245" t="s">
        <v>38</v>
      </c>
      <c r="E833" s="1413">
        <v>200</v>
      </c>
      <c r="F833" s="1570">
        <v>7.3</v>
      </c>
      <c r="G833" s="1480">
        <v>7.76</v>
      </c>
      <c r="H833" s="1414">
        <v>8</v>
      </c>
      <c r="I833" s="1576">
        <f t="shared" si="289"/>
        <v>1460</v>
      </c>
      <c r="J833" s="1576">
        <f t="shared" si="290"/>
        <v>1552</v>
      </c>
      <c r="K833" s="1576">
        <v>0</v>
      </c>
      <c r="L833" s="1576">
        <f t="shared" si="295"/>
        <v>0</v>
      </c>
      <c r="M833" s="1576">
        <v>200</v>
      </c>
      <c r="N833" s="1576">
        <f t="shared" si="296"/>
        <v>200</v>
      </c>
      <c r="O833" s="1576">
        <f t="shared" si="297"/>
        <v>0</v>
      </c>
      <c r="P833" s="1576">
        <f t="shared" si="298"/>
        <v>1552</v>
      </c>
      <c r="Q833" s="1576">
        <f t="shared" si="299"/>
        <v>1600</v>
      </c>
      <c r="R833" s="1576">
        <f t="shared" si="300"/>
        <v>1600</v>
      </c>
      <c r="S833" s="1869">
        <v>0</v>
      </c>
      <c r="T833" s="1866">
        <v>0</v>
      </c>
      <c r="U833" s="2442"/>
      <c r="V833" s="1866">
        <f t="shared" si="302"/>
        <v>0</v>
      </c>
      <c r="W833" s="1869">
        <f>S833+U833</f>
        <v>0</v>
      </c>
      <c r="X833" s="1870">
        <f t="shared" si="303"/>
        <v>0</v>
      </c>
      <c r="Y833" s="1871">
        <f t="shared" si="304"/>
        <v>0</v>
      </c>
      <c r="Z833" s="1694">
        <f>+E833-W833</f>
        <v>200</v>
      </c>
      <c r="AA833" s="1872">
        <f t="shared" si="305"/>
        <v>1600</v>
      </c>
      <c r="AB833" s="1873">
        <f t="shared" si="306"/>
        <v>1</v>
      </c>
      <c r="AC833" s="1418">
        <f t="shared" si="291"/>
        <v>0</v>
      </c>
      <c r="AD833" s="1418">
        <f t="shared" si="292"/>
        <v>0</v>
      </c>
      <c r="AE833" s="1418">
        <v>1600</v>
      </c>
      <c r="AF833" s="1418">
        <f t="shared" si="293"/>
        <v>0</v>
      </c>
      <c r="AG833" s="1418">
        <v>8</v>
      </c>
      <c r="AH833" s="1418">
        <f t="shared" si="294"/>
        <v>0</v>
      </c>
      <c r="AI833" s="1428"/>
      <c r="AO833" s="2504">
        <v>0</v>
      </c>
      <c r="AP833" s="1418">
        <f t="shared" si="301"/>
        <v>0</v>
      </c>
    </row>
    <row r="834" spans="1:45" s="1410" customFormat="1" ht="15.75">
      <c r="A834" s="2102"/>
      <c r="B834" s="1268" t="s">
        <v>2819</v>
      </c>
      <c r="C834" s="1241" t="s">
        <v>3541</v>
      </c>
      <c r="D834" s="1245" t="s">
        <v>38</v>
      </c>
      <c r="E834" s="1553">
        <v>200</v>
      </c>
      <c r="F834" s="1571">
        <v>8.11</v>
      </c>
      <c r="G834" s="1414">
        <v>8.57</v>
      </c>
      <c r="H834" s="1414">
        <v>8.81</v>
      </c>
      <c r="I834" s="1576">
        <f t="shared" si="289"/>
        <v>1622</v>
      </c>
      <c r="J834" s="1576">
        <f t="shared" si="290"/>
        <v>1714</v>
      </c>
      <c r="K834" s="1576">
        <v>0</v>
      </c>
      <c r="L834" s="1576">
        <f t="shared" si="295"/>
        <v>0</v>
      </c>
      <c r="M834" s="1576">
        <v>200</v>
      </c>
      <c r="N834" s="1576">
        <f t="shared" si="296"/>
        <v>200</v>
      </c>
      <c r="O834" s="1576">
        <f t="shared" si="297"/>
        <v>0</v>
      </c>
      <c r="P834" s="1576">
        <f t="shared" si="298"/>
        <v>1714</v>
      </c>
      <c r="Q834" s="1576">
        <f t="shared" si="299"/>
        <v>1762</v>
      </c>
      <c r="R834" s="1576">
        <f t="shared" si="300"/>
        <v>1762</v>
      </c>
      <c r="S834" s="1869">
        <v>0</v>
      </c>
      <c r="T834" s="1866">
        <v>0</v>
      </c>
      <c r="U834" s="2442"/>
      <c r="V834" s="1866">
        <f t="shared" si="302"/>
        <v>0</v>
      </c>
      <c r="W834" s="1869">
        <f>S834+U834</f>
        <v>0</v>
      </c>
      <c r="X834" s="1870">
        <f t="shared" si="303"/>
        <v>0</v>
      </c>
      <c r="Y834" s="1871">
        <f t="shared" si="304"/>
        <v>0</v>
      </c>
      <c r="Z834" s="1694">
        <f>+E834-W834</f>
        <v>200</v>
      </c>
      <c r="AA834" s="1872">
        <f t="shared" si="305"/>
        <v>1762</v>
      </c>
      <c r="AB834" s="1873">
        <f t="shared" si="306"/>
        <v>1</v>
      </c>
      <c r="AC834" s="1418">
        <f t="shared" si="291"/>
        <v>0</v>
      </c>
      <c r="AD834" s="1418">
        <f t="shared" si="292"/>
        <v>0</v>
      </c>
      <c r="AE834" s="1418">
        <v>1762</v>
      </c>
      <c r="AF834" s="1418">
        <f t="shared" si="293"/>
        <v>0</v>
      </c>
      <c r="AG834" s="1418">
        <v>8.81</v>
      </c>
      <c r="AH834" s="1418">
        <f t="shared" si="294"/>
        <v>0</v>
      </c>
      <c r="AI834" s="1428"/>
      <c r="AO834" s="2504">
        <v>0</v>
      </c>
      <c r="AP834" s="1418">
        <f t="shared" si="301"/>
        <v>0</v>
      </c>
    </row>
    <row r="835" spans="1:45" s="2383" customFormat="1" ht="15.75">
      <c r="A835" s="2373"/>
      <c r="B835" s="2385" t="s">
        <v>1877</v>
      </c>
      <c r="C835" s="2386" t="s">
        <v>4396</v>
      </c>
      <c r="D835" s="2387"/>
      <c r="E835" s="2388"/>
      <c r="F835" s="2389"/>
      <c r="G835" s="2390"/>
      <c r="H835" s="2391"/>
      <c r="I835" s="2380"/>
      <c r="J835" s="2380">
        <f t="shared" si="290"/>
        <v>0</v>
      </c>
      <c r="K835" s="2380"/>
      <c r="L835" s="2380">
        <f t="shared" si="295"/>
        <v>0</v>
      </c>
      <c r="M835" s="2380">
        <v>0</v>
      </c>
      <c r="N835" s="2380">
        <f t="shared" si="296"/>
        <v>0</v>
      </c>
      <c r="O835" s="2380">
        <f t="shared" si="297"/>
        <v>0</v>
      </c>
      <c r="P835" s="2380">
        <f t="shared" si="298"/>
        <v>0</v>
      </c>
      <c r="Q835" s="2380">
        <f t="shared" si="299"/>
        <v>0</v>
      </c>
      <c r="R835" s="2380">
        <f t="shared" si="300"/>
        <v>0</v>
      </c>
      <c r="S835" s="2454"/>
      <c r="T835" s="2455"/>
      <c r="U835" s="2463"/>
      <c r="V835" s="2455">
        <f t="shared" si="302"/>
        <v>0</v>
      </c>
      <c r="W835" s="2454"/>
      <c r="X835" s="2457"/>
      <c r="Y835" s="2458" t="str">
        <f t="shared" si="304"/>
        <v/>
      </c>
      <c r="Z835" s="2459"/>
      <c r="AA835" s="2460">
        <f t="shared" si="305"/>
        <v>0</v>
      </c>
      <c r="AB835" s="2461" t="str">
        <f t="shared" si="306"/>
        <v/>
      </c>
      <c r="AC835" s="2370">
        <f t="shared" si="291"/>
        <v>0</v>
      </c>
      <c r="AD835" s="2370">
        <f t="shared" si="292"/>
        <v>0</v>
      </c>
      <c r="AE835" s="2381"/>
      <c r="AF835" s="2381">
        <f t="shared" si="293"/>
        <v>0</v>
      </c>
      <c r="AG835" s="2381"/>
      <c r="AH835" s="2370">
        <f t="shared" si="294"/>
        <v>0</v>
      </c>
      <c r="AI835" s="2382"/>
      <c r="AO835" s="2509"/>
      <c r="AP835" s="1418">
        <f t="shared" si="301"/>
        <v>0</v>
      </c>
    </row>
    <row r="836" spans="1:45" s="1410" customFormat="1" ht="15.75">
      <c r="A836" s="2102"/>
      <c r="B836" s="1556" t="s">
        <v>3623</v>
      </c>
      <c r="C836" s="1557" t="s">
        <v>3631</v>
      </c>
      <c r="D836" s="1245" t="s">
        <v>41</v>
      </c>
      <c r="E836" s="1553">
        <v>1</v>
      </c>
      <c r="F836" s="1554"/>
      <c r="G836" s="1414">
        <v>50845.440000000002</v>
      </c>
      <c r="H836" s="1414">
        <v>50845.440000000002</v>
      </c>
      <c r="I836" s="1576">
        <f>ROUND(E836*F836,2)</f>
        <v>0</v>
      </c>
      <c r="J836" s="1576">
        <f t="shared" si="290"/>
        <v>50845.440000000002</v>
      </c>
      <c r="K836" s="1576">
        <v>0</v>
      </c>
      <c r="L836" s="1576">
        <f t="shared" si="295"/>
        <v>0</v>
      </c>
      <c r="M836" s="1576">
        <v>1</v>
      </c>
      <c r="N836" s="1576">
        <f t="shared" si="296"/>
        <v>1</v>
      </c>
      <c r="O836" s="1576">
        <f t="shared" si="297"/>
        <v>0</v>
      </c>
      <c r="P836" s="1576">
        <f t="shared" si="298"/>
        <v>50845.440000000002</v>
      </c>
      <c r="Q836" s="1576">
        <f t="shared" si="299"/>
        <v>50845.440000000002</v>
      </c>
      <c r="R836" s="1576">
        <f t="shared" si="300"/>
        <v>50845.440000000002</v>
      </c>
      <c r="S836" s="1869">
        <v>0</v>
      </c>
      <c r="T836" s="1866">
        <v>0</v>
      </c>
      <c r="U836" s="2442"/>
      <c r="V836" s="1866">
        <f t="shared" si="302"/>
        <v>0</v>
      </c>
      <c r="W836" s="1869">
        <f>S836+U836</f>
        <v>0</v>
      </c>
      <c r="X836" s="1870">
        <f t="shared" si="303"/>
        <v>0</v>
      </c>
      <c r="Y836" s="1871">
        <f t="shared" si="304"/>
        <v>0</v>
      </c>
      <c r="Z836" s="1694">
        <f>+E836-W836</f>
        <v>1</v>
      </c>
      <c r="AA836" s="1872">
        <f t="shared" si="305"/>
        <v>50845.440000000002</v>
      </c>
      <c r="AB836" s="1873">
        <f t="shared" si="306"/>
        <v>1</v>
      </c>
      <c r="AC836" s="1418">
        <f t="shared" si="291"/>
        <v>0</v>
      </c>
      <c r="AD836" s="1418">
        <f t="shared" si="292"/>
        <v>0</v>
      </c>
      <c r="AE836" s="1418">
        <v>50845.440000000002</v>
      </c>
      <c r="AF836" s="1418">
        <f t="shared" si="293"/>
        <v>0</v>
      </c>
      <c r="AG836" s="1418">
        <v>50845.440000000002</v>
      </c>
      <c r="AH836" s="1418">
        <f t="shared" si="294"/>
        <v>0</v>
      </c>
      <c r="AI836" s="1428"/>
      <c r="AO836" s="2504">
        <v>0</v>
      </c>
      <c r="AP836" s="1418">
        <f t="shared" si="301"/>
        <v>0</v>
      </c>
    </row>
    <row r="837" spans="1:45" s="2383" customFormat="1" ht="15.75">
      <c r="A837" s="2373"/>
      <c r="B837" s="2385" t="s">
        <v>3624</v>
      </c>
      <c r="C837" s="2386" t="s">
        <v>3625</v>
      </c>
      <c r="D837" s="2387"/>
      <c r="E837" s="2388"/>
      <c r="F837" s="2389"/>
      <c r="G837" s="2390"/>
      <c r="H837" s="2391"/>
      <c r="I837" s="2380"/>
      <c r="J837" s="2380">
        <f t="shared" si="290"/>
        <v>0</v>
      </c>
      <c r="K837" s="2380"/>
      <c r="L837" s="2380">
        <f t="shared" si="295"/>
        <v>0</v>
      </c>
      <c r="M837" s="2380">
        <v>0</v>
      </c>
      <c r="N837" s="2380">
        <f t="shared" si="296"/>
        <v>0</v>
      </c>
      <c r="O837" s="2380">
        <f t="shared" si="297"/>
        <v>0</v>
      </c>
      <c r="P837" s="2380">
        <f t="shared" si="298"/>
        <v>0</v>
      </c>
      <c r="Q837" s="2380">
        <f t="shared" si="299"/>
        <v>0</v>
      </c>
      <c r="R837" s="2380">
        <f t="shared" si="300"/>
        <v>0</v>
      </c>
      <c r="S837" s="2454"/>
      <c r="T837" s="2455">
        <v>0</v>
      </c>
      <c r="U837" s="2463"/>
      <c r="V837" s="2455">
        <f t="shared" si="302"/>
        <v>0</v>
      </c>
      <c r="W837" s="2454"/>
      <c r="X837" s="2457">
        <f t="shared" si="303"/>
        <v>0</v>
      </c>
      <c r="Y837" s="2458" t="str">
        <f t="shared" si="304"/>
        <v/>
      </c>
      <c r="Z837" s="2459">
        <f>+E837-W837</f>
        <v>0</v>
      </c>
      <c r="AA837" s="2460">
        <f t="shared" si="305"/>
        <v>0</v>
      </c>
      <c r="AB837" s="2461" t="str">
        <f t="shared" si="306"/>
        <v/>
      </c>
      <c r="AC837" s="2370">
        <f t="shared" si="291"/>
        <v>0</v>
      </c>
      <c r="AD837" s="2370">
        <f t="shared" si="292"/>
        <v>0</v>
      </c>
      <c r="AE837" s="2381"/>
      <c r="AF837" s="2381">
        <f t="shared" si="293"/>
        <v>0</v>
      </c>
      <c r="AG837" s="2381"/>
      <c r="AH837" s="2370">
        <f t="shared" si="294"/>
        <v>0</v>
      </c>
      <c r="AI837" s="2382"/>
      <c r="AO837" s="2509">
        <v>0</v>
      </c>
      <c r="AP837" s="1418">
        <f t="shared" si="301"/>
        <v>0</v>
      </c>
    </row>
    <row r="838" spans="1:45" s="1410" customFormat="1" ht="16.5" thickBot="1">
      <c r="A838" s="2102"/>
      <c r="B838" s="2392" t="s">
        <v>3626</v>
      </c>
      <c r="C838" s="2393" t="s">
        <v>3627</v>
      </c>
      <c r="D838" s="2394" t="s">
        <v>41</v>
      </c>
      <c r="E838" s="2294">
        <v>1</v>
      </c>
      <c r="F838" s="2295"/>
      <c r="G838" s="2296">
        <v>62460</v>
      </c>
      <c r="H838" s="2296">
        <v>62460</v>
      </c>
      <c r="I838" s="2297">
        <f>ROUND(E838*F838,2)</f>
        <v>0</v>
      </c>
      <c r="J838" s="2297">
        <f t="shared" si="290"/>
        <v>62460</v>
      </c>
      <c r="K838" s="2297">
        <v>0</v>
      </c>
      <c r="L838" s="2297">
        <f t="shared" si="295"/>
        <v>0</v>
      </c>
      <c r="M838" s="2297">
        <v>1</v>
      </c>
      <c r="N838" s="2297">
        <f t="shared" si="296"/>
        <v>1</v>
      </c>
      <c r="O838" s="2297">
        <f t="shared" si="297"/>
        <v>0</v>
      </c>
      <c r="P838" s="2297">
        <f t="shared" si="298"/>
        <v>62460</v>
      </c>
      <c r="Q838" s="2297">
        <f t="shared" si="299"/>
        <v>62460</v>
      </c>
      <c r="R838" s="2297">
        <f t="shared" si="300"/>
        <v>62460</v>
      </c>
      <c r="S838" s="1894">
        <v>0.58645533141210371</v>
      </c>
      <c r="T838" s="1891">
        <v>36630</v>
      </c>
      <c r="U838" s="2465"/>
      <c r="V838" s="1891">
        <f t="shared" si="302"/>
        <v>0</v>
      </c>
      <c r="W838" s="1894">
        <f>S838+U838</f>
        <v>0.58645533141210371</v>
      </c>
      <c r="X838" s="1895">
        <f t="shared" si="303"/>
        <v>36630</v>
      </c>
      <c r="Y838" s="1896">
        <f t="shared" si="304"/>
        <v>0.58645533141210371</v>
      </c>
      <c r="Z838" s="1897">
        <f>+E838-W838</f>
        <v>0.41354466858789629</v>
      </c>
      <c r="AA838" s="1898">
        <f t="shared" si="305"/>
        <v>25830.000000000004</v>
      </c>
      <c r="AB838" s="1899">
        <f t="shared" si="306"/>
        <v>0.41354466858789629</v>
      </c>
      <c r="AC838" s="1418">
        <f t="shared" si="291"/>
        <v>0</v>
      </c>
      <c r="AD838" s="1418">
        <f t="shared" si="292"/>
        <v>0</v>
      </c>
      <c r="AE838" s="1418">
        <v>62459.999999999985</v>
      </c>
      <c r="AF838" s="1418">
        <f t="shared" si="293"/>
        <v>0</v>
      </c>
      <c r="AG838" s="1418">
        <v>62460</v>
      </c>
      <c r="AH838" s="1418">
        <f t="shared" si="294"/>
        <v>0</v>
      </c>
      <c r="AI838" s="1428"/>
      <c r="AO838" s="2504">
        <v>36630</v>
      </c>
      <c r="AP838" s="1418">
        <f t="shared" si="301"/>
        <v>0</v>
      </c>
    </row>
    <row r="839" spans="1:45" s="2431" customFormat="1" ht="18" customHeight="1" thickBot="1">
      <c r="A839" s="2417"/>
      <c r="B839" s="2301"/>
      <c r="C839" s="2418" t="s">
        <v>59</v>
      </c>
      <c r="D839" s="2419"/>
      <c r="E839" s="2420"/>
      <c r="F839" s="2421"/>
      <c r="G839" s="2422"/>
      <c r="H839" s="2422"/>
      <c r="I839" s="2423">
        <f t="shared" ref="I839:J839" si="310">(SUM(I14:I838))</f>
        <v>14829505.380000003</v>
      </c>
      <c r="J839" s="2423">
        <f t="shared" si="310"/>
        <v>15398736.550000001</v>
      </c>
      <c r="K839" s="2423"/>
      <c r="L839" s="2423"/>
      <c r="M839" s="2423"/>
      <c r="N839" s="2423"/>
      <c r="O839" s="2423">
        <f t="shared" ref="O839:R839" si="311">(SUM(O14:O838))</f>
        <v>3333213.2599999974</v>
      </c>
      <c r="P839" s="2423">
        <f t="shared" si="311"/>
        <v>12065523.299999997</v>
      </c>
      <c r="Q839" s="2423">
        <f t="shared" si="311"/>
        <v>12253436.960000012</v>
      </c>
      <c r="R839" s="2416">
        <f t="shared" si="311"/>
        <v>15586650.219999999</v>
      </c>
      <c r="S839" s="2424">
        <f>+T839/R839</f>
        <v>0.63062155753570426</v>
      </c>
      <c r="T839" s="2416">
        <f>SUM(T16:T838)</f>
        <v>9829277.6385006271</v>
      </c>
      <c r="U839" s="2425">
        <f>V839/R839</f>
        <v>1.2550616703221301E-2</v>
      </c>
      <c r="V839" s="2416">
        <f>SUM(V16:V838)</f>
        <v>195622.07259839994</v>
      </c>
      <c r="W839" s="2437"/>
      <c r="X839" s="2436">
        <f>SUM(X16:X838)</f>
        <v>10024899.711099038</v>
      </c>
      <c r="Y839" s="2426">
        <f>+X839/R839</f>
        <v>0.64317217423892625</v>
      </c>
      <c r="Z839" s="2427"/>
      <c r="AA839" s="2416">
        <f>SUM(AA16:AA838)+0.09</f>
        <v>5561750.5067040855</v>
      </c>
      <c r="AB839" s="2428">
        <f>+AA839/R839</f>
        <v>0.35682782562012777</v>
      </c>
      <c r="AC839" s="2429">
        <f t="shared" si="291"/>
        <v>2.1968754008412361E-3</v>
      </c>
      <c r="AD839" s="2429"/>
      <c r="AE839" s="2429"/>
      <c r="AF839" s="2429"/>
      <c r="AG839" s="2429"/>
      <c r="AH839" s="2429"/>
      <c r="AI839" s="2430"/>
      <c r="AJ839" s="2429"/>
      <c r="AN839" s="2432" t="e">
        <f>#REF!+#REF!</f>
        <v>#REF!</v>
      </c>
      <c r="AO839" s="2510">
        <v>9641113.2104086243</v>
      </c>
      <c r="AP839" s="2432"/>
    </row>
    <row r="840" spans="1:45" s="561" customFormat="1">
      <c r="A840" s="2105"/>
      <c r="B840" s="2298"/>
      <c r="C840" s="2395" t="s">
        <v>2823</v>
      </c>
      <c r="D840" s="2396"/>
      <c r="E840" s="2396"/>
      <c r="F840" s="2396"/>
      <c r="G840" s="2397"/>
      <c r="H840" s="2396"/>
      <c r="I840" s="2398"/>
      <c r="J840" s="2398"/>
      <c r="K840" s="2398"/>
      <c r="L840" s="2398"/>
      <c r="M840" s="2398"/>
      <c r="N840" s="2398"/>
      <c r="O840" s="2398"/>
      <c r="P840" s="2398"/>
      <c r="Q840" s="2398"/>
      <c r="R840" s="2466">
        <v>281600</v>
      </c>
      <c r="S840" s="2467"/>
      <c r="T840" s="2468">
        <v>0</v>
      </c>
      <c r="U840" s="2469"/>
      <c r="V840" s="2470">
        <v>0</v>
      </c>
      <c r="W840" s="2471"/>
      <c r="X840" s="2468">
        <f>T840+V840</f>
        <v>0</v>
      </c>
      <c r="Y840" s="2471"/>
      <c r="Z840" s="2467"/>
      <c r="AA840" s="2472">
        <f t="shared" ref="AA840:AA846" si="312">R840-X840</f>
        <v>281600</v>
      </c>
      <c r="AB840" s="2473"/>
      <c r="AC840" s="562"/>
      <c r="AD840" s="562"/>
      <c r="AE840" s="562"/>
      <c r="AF840" s="562"/>
      <c r="AG840" s="562"/>
      <c r="AH840" s="562"/>
      <c r="AI840" s="1348"/>
      <c r="AR840" s="561">
        <v>0</v>
      </c>
      <c r="AS840" s="562">
        <f>+T840-AR840</f>
        <v>0</v>
      </c>
    </row>
    <row r="841" spans="1:45" s="561" customFormat="1">
      <c r="A841" s="2105"/>
      <c r="B841" s="1255"/>
      <c r="C841" s="2399" t="s">
        <v>2824</v>
      </c>
      <c r="D841" s="2400"/>
      <c r="E841" s="2401"/>
      <c r="F841" s="2401"/>
      <c r="G841" s="2402"/>
      <c r="H841" s="2401"/>
      <c r="I841" s="2403"/>
      <c r="J841" s="2403"/>
      <c r="K841" s="2403"/>
      <c r="L841" s="2403"/>
      <c r="M841" s="2403"/>
      <c r="N841" s="2403"/>
      <c r="O841" s="2404"/>
      <c r="P841" s="2403"/>
      <c r="Q841" s="2405"/>
      <c r="R841" s="2474">
        <v>633159.44999999995</v>
      </c>
      <c r="S841" s="2475"/>
      <c r="T841" s="2476">
        <v>633159.44999999995</v>
      </c>
      <c r="U841" s="2477"/>
      <c r="V841" s="2476">
        <v>0</v>
      </c>
      <c r="W841" s="2478"/>
      <c r="X841" s="2479">
        <f t="shared" ref="X841:X845" si="313">T841+V841</f>
        <v>633159.44999999995</v>
      </c>
      <c r="Y841" s="2478"/>
      <c r="Z841" s="2475"/>
      <c r="AA841" s="2480">
        <f t="shared" si="312"/>
        <v>0</v>
      </c>
      <c r="AB841" s="2481"/>
      <c r="AC841" s="562"/>
      <c r="AD841" s="562"/>
      <c r="AE841" s="562"/>
      <c r="AF841" s="562"/>
      <c r="AG841" s="562"/>
      <c r="AH841" s="562"/>
      <c r="AI841" s="1348"/>
      <c r="AR841" s="561">
        <v>633159.44999999995</v>
      </c>
      <c r="AS841" s="562">
        <f t="shared" ref="AS841:AS852" si="314">+T841-AR841</f>
        <v>0</v>
      </c>
    </row>
    <row r="842" spans="1:45" s="561" customFormat="1">
      <c r="A842" s="2105"/>
      <c r="B842" s="1255"/>
      <c r="C842" s="2399" t="s">
        <v>256</v>
      </c>
      <c r="D842" s="2406"/>
      <c r="E842" s="2401"/>
      <c r="F842" s="2401"/>
      <c r="G842" s="2402"/>
      <c r="H842" s="2401"/>
      <c r="I842" s="2403"/>
      <c r="J842" s="2403"/>
      <c r="K842" s="2403"/>
      <c r="L842" s="2403"/>
      <c r="M842" s="2403"/>
      <c r="N842" s="2403"/>
      <c r="O842" s="2404"/>
      <c r="P842" s="2403"/>
      <c r="Q842" s="2405"/>
      <c r="R842" s="2474">
        <v>1537902.87</v>
      </c>
      <c r="S842" s="2479"/>
      <c r="T842" s="2479">
        <v>1626969.4061039796</v>
      </c>
      <c r="U842" s="2477"/>
      <c r="V842" s="2476">
        <f>+'[42]F6 MARZO-2022'!$L$29-'VAL AMP4 MM'!M259-'VAL AMP 4 PN'!M192</f>
        <v>51969.708197536682</v>
      </c>
      <c r="W842" s="2478"/>
      <c r="X842" s="2479">
        <f t="shared" si="313"/>
        <v>1678939.1143015162</v>
      </c>
      <c r="Y842" s="2478"/>
      <c r="Z842" s="2475"/>
      <c r="AA842" s="2480">
        <f t="shared" si="312"/>
        <v>-141036.2443015161</v>
      </c>
      <c r="AB842" s="2481"/>
      <c r="AC842" s="562"/>
      <c r="AD842" s="562"/>
      <c r="AE842" s="562"/>
      <c r="AF842" s="562"/>
      <c r="AG842" s="562"/>
      <c r="AH842" s="562"/>
      <c r="AI842" s="1348"/>
      <c r="AR842" s="561">
        <v>1114666.0199450001</v>
      </c>
      <c r="AS842" s="562">
        <f t="shared" si="314"/>
        <v>512303.3861589795</v>
      </c>
    </row>
    <row r="843" spans="1:45" s="561" customFormat="1">
      <c r="A843" s="2105"/>
      <c r="B843" s="1255"/>
      <c r="C843" s="2399" t="s">
        <v>360</v>
      </c>
      <c r="D843" s="2407"/>
      <c r="E843" s="2401"/>
      <c r="F843" s="2401"/>
      <c r="G843" s="2402"/>
      <c r="H843" s="2401"/>
      <c r="I843" s="2403"/>
      <c r="J843" s="2403"/>
      <c r="K843" s="2403"/>
      <c r="L843" s="2403"/>
      <c r="M843" s="2403"/>
      <c r="N843" s="2403"/>
      <c r="O843" s="2403"/>
      <c r="P843" s="2403"/>
      <c r="Q843" s="2403"/>
      <c r="R843" s="2474">
        <v>134176.26999999999</v>
      </c>
      <c r="S843" s="2475"/>
      <c r="T843" s="2476">
        <v>134406.38</v>
      </c>
      <c r="U843" s="2477"/>
      <c r="V843" s="2476">
        <v>0</v>
      </c>
      <c r="W843" s="2478"/>
      <c r="X843" s="2479">
        <f t="shared" si="313"/>
        <v>134406.38</v>
      </c>
      <c r="Y843" s="2478"/>
      <c r="Z843" s="2475"/>
      <c r="AA843" s="2480">
        <f t="shared" si="312"/>
        <v>-230.11000000001513</v>
      </c>
      <c r="AB843" s="2481"/>
      <c r="AC843" s="562"/>
      <c r="AD843" s="562"/>
      <c r="AE843" s="562"/>
      <c r="AF843" s="562"/>
      <c r="AG843" s="562"/>
      <c r="AH843" s="562"/>
      <c r="AI843" s="1348"/>
      <c r="AN843" s="1478" t="e">
        <f>+AN839-#REF!</f>
        <v>#REF!</v>
      </c>
      <c r="AO843" s="1478"/>
      <c r="AP843" s="1478"/>
      <c r="AR843" s="561">
        <v>134406.38</v>
      </c>
      <c r="AS843" s="562">
        <f t="shared" si="314"/>
        <v>0</v>
      </c>
    </row>
    <row r="844" spans="1:45" s="561" customFormat="1">
      <c r="A844" s="2105"/>
      <c r="B844" s="1255"/>
      <c r="C844" s="2399" t="s">
        <v>1816</v>
      </c>
      <c r="D844" s="2407"/>
      <c r="E844" s="2401"/>
      <c r="F844" s="2401"/>
      <c r="G844" s="2402"/>
      <c r="H844" s="2401"/>
      <c r="I844" s="2403"/>
      <c r="J844" s="2403"/>
      <c r="K844" s="2403"/>
      <c r="L844" s="2403"/>
      <c r="M844" s="2403"/>
      <c r="N844" s="2403"/>
      <c r="O844" s="2403"/>
      <c r="P844" s="2403"/>
      <c r="Q844" s="2403"/>
      <c r="R844" s="2474">
        <v>486143.77</v>
      </c>
      <c r="S844" s="2479"/>
      <c r="T844" s="2476">
        <v>349559.7172401456</v>
      </c>
      <c r="U844" s="2482"/>
      <c r="V844" s="2476">
        <v>16504.669999999998</v>
      </c>
      <c r="W844" s="2478"/>
      <c r="X844" s="2479">
        <f t="shared" si="313"/>
        <v>366064.38724014559</v>
      </c>
      <c r="Y844" s="2478"/>
      <c r="Z844" s="2475"/>
      <c r="AA844" s="2480">
        <f t="shared" si="312"/>
        <v>120079.38275985443</v>
      </c>
      <c r="AB844" s="2481"/>
      <c r="AC844" s="562"/>
      <c r="AD844" s="562"/>
      <c r="AE844" s="562"/>
      <c r="AF844" s="562"/>
      <c r="AG844" s="562"/>
      <c r="AH844" s="562"/>
      <c r="AI844" s="1348"/>
      <c r="AR844" s="561">
        <v>207074.78000000003</v>
      </c>
      <c r="AS844" s="562">
        <f t="shared" si="314"/>
        <v>142484.93724014558</v>
      </c>
    </row>
    <row r="845" spans="1:45" s="561" customFormat="1">
      <c r="A845" s="2105"/>
      <c r="B845" s="1255"/>
      <c r="C845" s="2399" t="s">
        <v>255</v>
      </c>
      <c r="D845" s="2407"/>
      <c r="E845" s="2401"/>
      <c r="F845" s="2401"/>
      <c r="G845" s="2402"/>
      <c r="H845" s="2401"/>
      <c r="I845" s="2403"/>
      <c r="J845" s="2403"/>
      <c r="K845" s="2403"/>
      <c r="L845" s="2403"/>
      <c r="M845" s="2403"/>
      <c r="N845" s="2403"/>
      <c r="O845" s="2403"/>
      <c r="P845" s="2403"/>
      <c r="Q845" s="2403"/>
      <c r="R845" s="2474">
        <v>95831.08</v>
      </c>
      <c r="S845" s="2475"/>
      <c r="T845" s="2476">
        <v>0</v>
      </c>
      <c r="U845" s="2477"/>
      <c r="V845" s="2476">
        <v>0</v>
      </c>
      <c r="W845" s="2478"/>
      <c r="X845" s="2479">
        <f t="shared" si="313"/>
        <v>0</v>
      </c>
      <c r="Y845" s="2478"/>
      <c r="Z845" s="2475"/>
      <c r="AA845" s="2480">
        <f t="shared" si="312"/>
        <v>95831.08</v>
      </c>
      <c r="AB845" s="2481"/>
      <c r="AC845" s="562"/>
      <c r="AD845" s="562"/>
      <c r="AE845" s="562"/>
      <c r="AF845" s="562"/>
      <c r="AG845" s="562"/>
      <c r="AH845" s="562"/>
      <c r="AI845" s="1348"/>
      <c r="AN845" s="562" t="e">
        <f>+#REF!-#REF!</f>
        <v>#REF!</v>
      </c>
      <c r="AO845" s="562"/>
      <c r="AP845" s="562"/>
      <c r="AR845" s="561">
        <v>0</v>
      </c>
      <c r="AS845" s="562">
        <f t="shared" si="314"/>
        <v>0</v>
      </c>
    </row>
    <row r="846" spans="1:45" s="561" customFormat="1">
      <c r="A846" s="2105"/>
      <c r="B846" s="1255"/>
      <c r="C846" s="2399" t="s">
        <v>60</v>
      </c>
      <c r="D846" s="2407"/>
      <c r="E846" s="2401"/>
      <c r="F846" s="2401"/>
      <c r="G846" s="2402"/>
      <c r="H846" s="2401"/>
      <c r="I846" s="2403"/>
      <c r="J846" s="2403"/>
      <c r="K846" s="2403"/>
      <c r="L846" s="2403"/>
      <c r="M846" s="2403"/>
      <c r="N846" s="2403"/>
      <c r="O846" s="2403"/>
      <c r="P846" s="2403"/>
      <c r="Q846" s="2403"/>
      <c r="R846" s="2474">
        <v>185215.69</v>
      </c>
      <c r="S846" s="2475"/>
      <c r="T846" s="2476">
        <v>185215.69</v>
      </c>
      <c r="U846" s="2477"/>
      <c r="V846" s="2476">
        <v>0</v>
      </c>
      <c r="W846" s="2478"/>
      <c r="X846" s="2479">
        <f>T846+V846</f>
        <v>185215.69</v>
      </c>
      <c r="Y846" s="2478"/>
      <c r="Z846" s="2475"/>
      <c r="AA846" s="2480">
        <f t="shared" si="312"/>
        <v>0</v>
      </c>
      <c r="AB846" s="2481"/>
      <c r="AC846" s="562"/>
      <c r="AD846" s="562"/>
      <c r="AE846" s="562"/>
      <c r="AF846" s="562"/>
      <c r="AG846" s="562"/>
      <c r="AH846" s="562"/>
      <c r="AI846" s="1348"/>
      <c r="AR846" s="561">
        <v>185215.69</v>
      </c>
      <c r="AS846" s="562">
        <f t="shared" si="314"/>
        <v>0</v>
      </c>
    </row>
    <row r="847" spans="1:45" s="561" customFormat="1">
      <c r="A847" s="2105"/>
      <c r="B847" s="1255"/>
      <c r="C847" s="2408" t="s">
        <v>3567</v>
      </c>
      <c r="D847" s="2409"/>
      <c r="E847" s="2409"/>
      <c r="F847" s="2409"/>
      <c r="G847" s="2410"/>
      <c r="H847" s="2409"/>
      <c r="I847" s="2411"/>
      <c r="J847" s="2411"/>
      <c r="K847" s="2411"/>
      <c r="L847" s="2411"/>
      <c r="M847" s="2411"/>
      <c r="N847" s="2411"/>
      <c r="O847" s="2411"/>
      <c r="P847" s="2403"/>
      <c r="Q847" s="2403"/>
      <c r="R847" s="2483">
        <f>ROUND(SUM(R839:R846),2)</f>
        <v>18940679.350000001</v>
      </c>
      <c r="S847" s="2484"/>
      <c r="T847" s="2485">
        <f>SUM(T839:T846)</f>
        <v>12758588.281844752</v>
      </c>
      <c r="U847" s="2486"/>
      <c r="V847" s="2487">
        <f>SUM(V839:V846)</f>
        <v>264096.45079593663</v>
      </c>
      <c r="W847" s="2484"/>
      <c r="X847" s="2485">
        <f>SUM(X839:X846)</f>
        <v>13022684.732640699</v>
      </c>
      <c r="Y847" s="2488"/>
      <c r="Z847" s="2484"/>
      <c r="AA847" s="2489">
        <f>SUM(AA839:AA846)</f>
        <v>5917994.6151624238</v>
      </c>
      <c r="AB847" s="2490"/>
      <c r="AC847" s="562"/>
      <c r="AD847" s="562"/>
      <c r="AE847" s="562"/>
      <c r="AF847" s="562"/>
      <c r="AG847" s="562"/>
      <c r="AH847" s="562"/>
      <c r="AI847" s="1348"/>
      <c r="AR847" s="561">
        <v>9080126.4706696644</v>
      </c>
      <c r="AS847" s="562">
        <f t="shared" si="314"/>
        <v>3678461.8111750875</v>
      </c>
    </row>
    <row r="848" spans="1:45" s="561" customFormat="1">
      <c r="A848" s="2105"/>
      <c r="B848" s="1255"/>
      <c r="C848" s="2408" t="s">
        <v>3568</v>
      </c>
      <c r="D848" s="2409"/>
      <c r="E848" s="2409"/>
      <c r="F848" s="2409"/>
      <c r="G848" s="2410"/>
      <c r="H848" s="2409"/>
      <c r="I848" s="2411"/>
      <c r="J848" s="2411"/>
      <c r="K848" s="2411"/>
      <c r="L848" s="2411"/>
      <c r="M848" s="2411"/>
      <c r="N848" s="2411"/>
      <c r="O848" s="2411"/>
      <c r="P848" s="2411"/>
      <c r="Q848" s="2411"/>
      <c r="R848" s="2491"/>
      <c r="S848" s="2484"/>
      <c r="T848" s="2485"/>
      <c r="U848" s="2486"/>
      <c r="V848" s="2487"/>
      <c r="W848" s="2484"/>
      <c r="X848" s="2485"/>
      <c r="Y848" s="2488"/>
      <c r="Z848" s="2484"/>
      <c r="AA848" s="2489"/>
      <c r="AB848" s="2490"/>
      <c r="AC848" s="562"/>
      <c r="AD848" s="562"/>
      <c r="AE848" s="562"/>
      <c r="AF848" s="562"/>
      <c r="AG848" s="562"/>
      <c r="AH848" s="562"/>
      <c r="AI848" s="1348"/>
      <c r="AS848" s="562">
        <f t="shared" si="314"/>
        <v>0</v>
      </c>
    </row>
    <row r="849" spans="1:45" s="561" customFormat="1">
      <c r="A849" s="2105"/>
      <c r="B849" s="1255"/>
      <c r="C849" s="2412" t="s">
        <v>2825</v>
      </c>
      <c r="D849" s="2400"/>
      <c r="E849" s="2401"/>
      <c r="F849" s="2401"/>
      <c r="G849" s="2402"/>
      <c r="H849" s="2401"/>
      <c r="I849" s="2403"/>
      <c r="J849" s="2403"/>
      <c r="K849" s="2403"/>
      <c r="L849" s="2403"/>
      <c r="M849" s="2403"/>
      <c r="N849" s="2403"/>
      <c r="O849" s="2403"/>
      <c r="P849" s="2403"/>
      <c r="Q849" s="2403"/>
      <c r="R849" s="2492">
        <v>1946691</v>
      </c>
      <c r="S849" s="2475"/>
      <c r="T849" s="2479">
        <v>31800</v>
      </c>
      <c r="U849" s="2493"/>
      <c r="V849" s="2476">
        <v>0</v>
      </c>
      <c r="W849" s="2494"/>
      <c r="X849" s="2479">
        <f t="shared" ref="X849:X850" si="315">T849+V849</f>
        <v>31800</v>
      </c>
      <c r="Y849" s="2478"/>
      <c r="Z849" s="2475"/>
      <c r="AA849" s="2480">
        <f>R849-X849</f>
        <v>1914891</v>
      </c>
      <c r="AB849" s="2495"/>
      <c r="AC849" s="1172"/>
      <c r="AD849" s="1172"/>
      <c r="AE849" s="1172"/>
      <c r="AF849" s="1172"/>
      <c r="AG849" s="1172"/>
      <c r="AH849" s="1172"/>
      <c r="AI849" s="1173"/>
      <c r="AR849" s="561">
        <v>0</v>
      </c>
      <c r="AS849" s="562">
        <f t="shared" si="314"/>
        <v>31800</v>
      </c>
    </row>
    <row r="850" spans="1:45" s="561" customFormat="1">
      <c r="A850" s="2105"/>
      <c r="B850" s="1255"/>
      <c r="C850" s="2412" t="s">
        <v>1814</v>
      </c>
      <c r="D850" s="2400"/>
      <c r="E850" s="2400"/>
      <c r="F850" s="2400"/>
      <c r="G850" s="2413"/>
      <c r="H850" s="2400"/>
      <c r="I850" s="2414"/>
      <c r="J850" s="2414"/>
      <c r="K850" s="2414"/>
      <c r="L850" s="2414"/>
      <c r="M850" s="2414"/>
      <c r="N850" s="2414"/>
      <c r="O850" s="2414"/>
      <c r="P850" s="2414"/>
      <c r="Q850" s="2414"/>
      <c r="R850" s="2496">
        <v>203328.92</v>
      </c>
      <c r="S850" s="2475"/>
      <c r="T850" s="2479">
        <v>0</v>
      </c>
      <c r="U850" s="2493"/>
      <c r="V850" s="2476">
        <v>0</v>
      </c>
      <c r="W850" s="2494"/>
      <c r="X850" s="2479">
        <f t="shared" si="315"/>
        <v>0</v>
      </c>
      <c r="Y850" s="2478"/>
      <c r="Z850" s="2475"/>
      <c r="AA850" s="2480">
        <f>R850-X850</f>
        <v>203328.92</v>
      </c>
      <c r="AB850" s="2495"/>
      <c r="AC850" s="562"/>
      <c r="AD850" s="562"/>
      <c r="AE850" s="562"/>
      <c r="AF850" s="562"/>
      <c r="AG850" s="562"/>
      <c r="AH850" s="562"/>
      <c r="AI850" s="1173"/>
      <c r="AR850" s="561">
        <v>0</v>
      </c>
      <c r="AS850" s="562">
        <f t="shared" si="314"/>
        <v>0</v>
      </c>
    </row>
    <row r="851" spans="1:45" s="561" customFormat="1" ht="14.25" thickBot="1">
      <c r="A851" s="2105"/>
      <c r="B851" s="1255"/>
      <c r="C851" s="2412" t="s">
        <v>1811</v>
      </c>
      <c r="D851" s="2401"/>
      <c r="E851" s="2401"/>
      <c r="F851" s="2401"/>
      <c r="G851" s="2402"/>
      <c r="H851" s="2401"/>
      <c r="I851" s="2403"/>
      <c r="J851" s="2403"/>
      <c r="K851" s="2403"/>
      <c r="L851" s="2403"/>
      <c r="M851" s="2403"/>
      <c r="N851" s="2403"/>
      <c r="O851" s="2403"/>
      <c r="P851" s="2403"/>
      <c r="Q851" s="2403"/>
      <c r="R851" s="2492">
        <v>90351.92</v>
      </c>
      <c r="S851" s="2475"/>
      <c r="T851" s="2479">
        <v>32213.37</v>
      </c>
      <c r="U851" s="2477"/>
      <c r="V851" s="2476">
        <v>0</v>
      </c>
      <c r="W851" s="2497"/>
      <c r="X851" s="2479">
        <f>+V851+T851</f>
        <v>32213.37</v>
      </c>
      <c r="Y851" s="2478"/>
      <c r="Z851" s="2475"/>
      <c r="AA851" s="2480">
        <f>R851-X851</f>
        <v>58138.55</v>
      </c>
      <c r="AB851" s="2481"/>
      <c r="AC851" s="562"/>
      <c r="AD851" s="562"/>
      <c r="AE851" s="562"/>
      <c r="AF851" s="562"/>
      <c r="AG851" s="562"/>
      <c r="AH851" s="562"/>
      <c r="AI851" s="1173"/>
      <c r="AR851" s="561">
        <v>12112.2</v>
      </c>
      <c r="AS851" s="562">
        <f t="shared" si="314"/>
        <v>20101.169999999998</v>
      </c>
    </row>
    <row r="852" spans="1:45" s="1429" customFormat="1" ht="22.9" customHeight="1" thickBot="1">
      <c r="A852" s="2433"/>
      <c r="B852" s="2415"/>
      <c r="C852" s="2418" t="s">
        <v>61</v>
      </c>
      <c r="D852" s="2419"/>
      <c r="E852" s="2420"/>
      <c r="F852" s="2421"/>
      <c r="G852" s="2434"/>
      <c r="H852" s="2434"/>
      <c r="I852" s="2435"/>
      <c r="J852" s="2435"/>
      <c r="K852" s="2435"/>
      <c r="L852" s="2435"/>
      <c r="M852" s="2435"/>
      <c r="N852" s="2435"/>
      <c r="O852" s="2435"/>
      <c r="P852" s="2435"/>
      <c r="Q852" s="2435"/>
      <c r="R852" s="2416">
        <f>SUM(R847:R851)</f>
        <v>21181051.190000005</v>
      </c>
      <c r="S852" s="2424">
        <f>T852/R852</f>
        <v>0.6053807970540459</v>
      </c>
      <c r="T852" s="2416">
        <f>SUM(T847:T851)</f>
        <v>12822601.651844751</v>
      </c>
      <c r="U852" s="2425">
        <f>+V852/R852</f>
        <v>1.2468524268551025E-2</v>
      </c>
      <c r="V852" s="2416">
        <f>SUM(V847:V851)</f>
        <v>264096.45079593663</v>
      </c>
      <c r="W852" s="2438"/>
      <c r="X852" s="2436">
        <f>SUM(X847:X851)</f>
        <v>13086698.102640698</v>
      </c>
      <c r="Y852" s="2426">
        <f>X852/R852</f>
        <v>0.6178493213225974</v>
      </c>
      <c r="Z852" s="2427"/>
      <c r="AA852" s="2416">
        <f>ROUND(SUM(AA847:AA851),2)</f>
        <v>8094353.0899999999</v>
      </c>
      <c r="AB852" s="2428">
        <f>+AA852/R852</f>
        <v>0.38215067880207498</v>
      </c>
      <c r="AC852" s="2430"/>
      <c r="AD852" s="2430"/>
      <c r="AE852" s="2430"/>
      <c r="AF852" s="2430"/>
      <c r="AG852" s="2430"/>
      <c r="AH852" s="2430"/>
      <c r="AI852" s="2430"/>
      <c r="AJ852" s="2430"/>
      <c r="AR852" s="1429">
        <v>9092238.6706696637</v>
      </c>
      <c r="AS852" s="2430">
        <f t="shared" si="314"/>
        <v>3730362.9811750874</v>
      </c>
    </row>
    <row r="853" spans="1:45" s="561" customFormat="1" ht="12.75" customHeight="1">
      <c r="A853" s="2105"/>
      <c r="B853" s="1244"/>
      <c r="C853" s="1246"/>
      <c r="D853" s="1247"/>
      <c r="E853" s="1248"/>
      <c r="F853" s="1248"/>
      <c r="G853" s="1474"/>
      <c r="H853" s="1249"/>
      <c r="I853" s="1577"/>
      <c r="J853" s="1577"/>
      <c r="K853" s="1577"/>
      <c r="L853" s="1577"/>
      <c r="M853" s="1577"/>
      <c r="N853" s="1577"/>
      <c r="O853" s="1577"/>
      <c r="P853" s="1577"/>
      <c r="Q853" s="1577"/>
      <c r="R853" s="1577"/>
      <c r="S853" s="1251"/>
      <c r="T853" s="1252"/>
      <c r="U853" s="1251"/>
      <c r="V853" s="1427"/>
      <c r="W853" s="1247"/>
      <c r="X853" s="1251"/>
      <c r="Y853" s="1251"/>
      <c r="Z853" s="1249"/>
      <c r="AA853" s="1246"/>
      <c r="AB853" s="1246"/>
      <c r="AC853" s="562"/>
      <c r="AD853" s="562"/>
      <c r="AE853" s="562"/>
      <c r="AF853" s="562"/>
      <c r="AG853" s="562"/>
      <c r="AH853" s="562"/>
      <c r="AI853" s="1173"/>
    </row>
    <row r="854" spans="1:45" s="561" customFormat="1" ht="12.75" customHeight="1">
      <c r="A854" s="2105"/>
      <c r="B854" s="1558"/>
      <c r="C854" s="1559"/>
      <c r="D854" s="1560"/>
      <c r="E854" s="1561"/>
      <c r="F854" s="1561"/>
      <c r="G854" s="1562"/>
      <c r="H854" s="1563"/>
      <c r="I854" s="1578"/>
      <c r="J854" s="1578"/>
      <c r="K854" s="1578"/>
      <c r="L854" s="1578"/>
      <c r="M854" s="1578"/>
      <c r="N854" s="1578"/>
      <c r="O854" s="1578"/>
      <c r="P854" s="1578"/>
      <c r="Q854" s="1578"/>
      <c r="R854" s="1578"/>
      <c r="S854" s="1564"/>
      <c r="T854" s="1565"/>
      <c r="U854" s="1564"/>
      <c r="V854" s="1567"/>
      <c r="W854" s="1560"/>
      <c r="X854" s="1564"/>
      <c r="Y854" s="1564"/>
      <c r="Z854" s="1563"/>
      <c r="AA854" s="1559"/>
      <c r="AB854" s="1559"/>
      <c r="AC854" s="562"/>
      <c r="AD854" s="562"/>
      <c r="AE854" s="562"/>
      <c r="AF854" s="562"/>
      <c r="AG854" s="562"/>
      <c r="AH854" s="562"/>
      <c r="AI854" s="1173"/>
    </row>
    <row r="855" spans="1:45" s="561" customFormat="1" ht="12.75" customHeight="1">
      <c r="A855" s="2105"/>
      <c r="B855" s="1558"/>
      <c r="C855" s="1559"/>
      <c r="D855" s="1560"/>
      <c r="E855" s="1561"/>
      <c r="F855" s="1561"/>
      <c r="G855" s="1562"/>
      <c r="H855" s="1563"/>
      <c r="I855" s="1578"/>
      <c r="J855" s="1578"/>
      <c r="K855" s="1578"/>
      <c r="L855" s="1578"/>
      <c r="M855" s="1578"/>
      <c r="N855" s="1578"/>
      <c r="O855" s="1578"/>
      <c r="P855" s="1582">
        <f>O839+P839</f>
        <v>15398736.559999995</v>
      </c>
      <c r="Q855" s="1582">
        <f>Q839-P839</f>
        <v>187913.66000001505</v>
      </c>
      <c r="R855" s="1582">
        <f>R839-P839-O839</f>
        <v>187913.66000000434</v>
      </c>
      <c r="S855" s="1564"/>
      <c r="T855" s="1565"/>
      <c r="U855" s="1564"/>
      <c r="V855" s="1567"/>
      <c r="W855" s="1560"/>
      <c r="X855" s="1564"/>
      <c r="Y855" s="1564"/>
      <c r="Z855" s="1563"/>
      <c r="AA855" s="1559"/>
      <c r="AB855" s="1559"/>
      <c r="AC855" s="562"/>
      <c r="AD855" s="562"/>
      <c r="AE855" s="562"/>
      <c r="AF855" s="562"/>
      <c r="AG855" s="562"/>
      <c r="AH855" s="562"/>
      <c r="AI855" s="1173"/>
    </row>
    <row r="856" spans="1:45" s="561" customFormat="1" ht="20.100000000000001" customHeight="1">
      <c r="A856" s="2105"/>
      <c r="B856" s="1568" t="s">
        <v>3709</v>
      </c>
      <c r="C856" s="1569" t="s">
        <v>3708</v>
      </c>
      <c r="D856" s="1560"/>
      <c r="E856" s="1561"/>
      <c r="F856" s="1561"/>
      <c r="G856" s="1562"/>
      <c r="H856" s="1563"/>
      <c r="I856" s="1578"/>
      <c r="J856" s="1578"/>
      <c r="K856" s="1578"/>
      <c r="L856" s="1578"/>
      <c r="M856" s="1578"/>
      <c r="N856" s="1578"/>
      <c r="O856" s="1578"/>
      <c r="P856" s="1578"/>
      <c r="Q856" s="1578"/>
      <c r="R856" s="1583"/>
      <c r="S856" s="1564"/>
      <c r="T856" s="1565"/>
      <c r="U856" s="1564"/>
      <c r="V856" s="1567"/>
      <c r="W856" s="1560"/>
      <c r="X856" s="1564"/>
      <c r="Y856" s="1564"/>
      <c r="Z856" s="1563"/>
      <c r="AA856" s="1559"/>
      <c r="AB856" s="1559"/>
      <c r="AC856" s="562"/>
      <c r="AD856" s="562"/>
      <c r="AE856" s="562"/>
      <c r="AF856" s="562"/>
      <c r="AG856" s="562"/>
      <c r="AH856" s="562"/>
      <c r="AI856" s="1173"/>
    </row>
    <row r="857" spans="1:45" s="561" customFormat="1" ht="24.6" customHeight="1">
      <c r="A857" s="2105"/>
      <c r="B857" s="1569" t="s">
        <v>3710</v>
      </c>
      <c r="D857" s="1560"/>
      <c r="E857" s="1561"/>
      <c r="F857" s="1561"/>
      <c r="G857" s="1562"/>
      <c r="H857" s="1563"/>
      <c r="I857" s="1578"/>
      <c r="J857" s="1578"/>
      <c r="K857" s="1578"/>
      <c r="L857" s="1578"/>
      <c r="M857" s="1578"/>
      <c r="N857" s="1578"/>
      <c r="O857" s="1578"/>
      <c r="P857" s="1578"/>
      <c r="Q857" s="1578"/>
      <c r="R857" s="1584"/>
      <c r="S857" s="1564"/>
      <c r="T857" s="1565"/>
      <c r="U857" s="1564"/>
      <c r="V857" s="1567"/>
      <c r="W857" s="1560"/>
      <c r="X857" s="1564"/>
      <c r="Y857" s="1564"/>
      <c r="Z857" s="1563"/>
      <c r="AA857" s="1559"/>
      <c r="AB857" s="1559"/>
      <c r="AC857" s="562"/>
      <c r="AD857" s="562"/>
      <c r="AE857" s="562"/>
      <c r="AF857" s="562"/>
      <c r="AG857" s="562"/>
      <c r="AH857" s="562"/>
      <c r="AI857" s="1173"/>
    </row>
    <row r="858" spans="1:45" s="561" customFormat="1" ht="12.75" customHeight="1">
      <c r="A858" s="2105"/>
      <c r="B858" s="1558"/>
      <c r="C858" s="1559"/>
      <c r="D858" s="1560"/>
      <c r="E858" s="1561"/>
      <c r="F858" s="1561"/>
      <c r="G858" s="1562"/>
      <c r="H858" s="1563"/>
      <c r="I858" s="1578"/>
      <c r="J858" s="1578"/>
      <c r="K858" s="1578"/>
      <c r="L858" s="1578"/>
      <c r="M858" s="1578"/>
      <c r="N858" s="1578"/>
      <c r="O858" s="1578"/>
      <c r="P858" s="1578"/>
      <c r="Q858" s="1578"/>
      <c r="R858" s="1578"/>
      <c r="S858" s="1564"/>
      <c r="T858" s="1565"/>
      <c r="U858" s="1564"/>
      <c r="V858" s="1567"/>
      <c r="W858" s="1560"/>
      <c r="X858" s="1564"/>
      <c r="Y858" s="1564"/>
      <c r="Z858" s="1563"/>
      <c r="AA858" s="1559"/>
      <c r="AB858" s="1559"/>
      <c r="AC858" s="562"/>
      <c r="AD858" s="562"/>
      <c r="AE858" s="562"/>
      <c r="AF858" s="562"/>
      <c r="AG858" s="562"/>
      <c r="AH858" s="562"/>
      <c r="AI858" s="1173"/>
    </row>
    <row r="859" spans="1:45" s="561" customFormat="1" ht="12.75" hidden="1" customHeight="1">
      <c r="A859" s="2105"/>
      <c r="B859" s="1558"/>
      <c r="C859" s="1559"/>
      <c r="D859" s="1560"/>
      <c r="E859" s="1561"/>
      <c r="F859" s="1561"/>
      <c r="G859" s="1562"/>
      <c r="H859" s="1563"/>
      <c r="I859" s="1578"/>
      <c r="J859" s="1578"/>
      <c r="K859" s="1578"/>
      <c r="L859" s="1578"/>
      <c r="M859" s="1578"/>
      <c r="N859" s="1578"/>
      <c r="O859" s="1578"/>
      <c r="P859" s="1578"/>
      <c r="Q859" s="1578"/>
      <c r="R859" s="1578"/>
      <c r="S859" s="1564"/>
      <c r="T859" s="1565">
        <v>17723.849999999999</v>
      </c>
      <c r="U859" s="1566"/>
      <c r="V859" s="1567"/>
      <c r="W859" s="1560"/>
      <c r="X859" s="1564"/>
      <c r="Y859" s="1564"/>
      <c r="Z859" s="1563"/>
      <c r="AA859" s="1559"/>
      <c r="AB859" s="1559"/>
      <c r="AC859" s="562"/>
      <c r="AD859" s="562"/>
      <c r="AE859" s="562"/>
      <c r="AF859" s="562"/>
      <c r="AG859" s="562"/>
      <c r="AH859" s="562"/>
      <c r="AI859" s="1173"/>
    </row>
    <row r="860" spans="1:45" s="561" customFormat="1" ht="12.75" hidden="1">
      <c r="A860" s="2105"/>
      <c r="D860" s="1173"/>
      <c r="E860" s="562"/>
      <c r="F860" s="562"/>
      <c r="G860" s="1475"/>
      <c r="H860" s="562"/>
      <c r="I860" s="1579"/>
      <c r="J860" s="1579"/>
      <c r="K860" s="1579"/>
      <c r="L860" s="1579"/>
      <c r="M860" s="1579"/>
      <c r="N860" s="1579"/>
      <c r="O860" s="1579"/>
      <c r="P860" s="1579"/>
      <c r="Q860" s="1579"/>
      <c r="R860" s="1579"/>
      <c r="S860" s="1173"/>
      <c r="T860" s="1173"/>
      <c r="U860" s="1173"/>
      <c r="V860" s="1173"/>
      <c r="W860" s="1173"/>
      <c r="X860" s="1173">
        <v>6805359.3099999996</v>
      </c>
      <c r="Y860" s="1173"/>
      <c r="AA860" s="562"/>
    </row>
    <row r="861" spans="1:45" s="18" customFormat="1" ht="20.100000000000001" hidden="1" customHeight="1">
      <c r="A861" s="2106"/>
      <c r="D861" s="97"/>
      <c r="E861" s="26"/>
      <c r="F861" s="26"/>
      <c r="G861" s="1475"/>
      <c r="H861" s="26"/>
      <c r="I861" s="1579"/>
      <c r="J861" s="1579"/>
      <c r="K861" s="1579"/>
      <c r="L861" s="1579"/>
      <c r="M861" s="1579"/>
      <c r="N861" s="1579"/>
      <c r="O861" s="1579"/>
      <c r="P861" s="1579"/>
      <c r="Q861" s="1579"/>
      <c r="R861" s="1579"/>
      <c r="S861" s="1208"/>
      <c r="T861" s="97"/>
      <c r="U861" s="1348"/>
      <c r="V861" s="524"/>
      <c r="W861" s="524"/>
      <c r="X861" s="524">
        <f>+X860-X839</f>
        <v>-3219540.4010990383</v>
      </c>
      <c r="Y861" s="524"/>
      <c r="AA861" s="26"/>
    </row>
    <row r="862" spans="1:45" s="18" customFormat="1">
      <c r="A862" s="2106"/>
      <c r="D862" s="97"/>
      <c r="E862" s="26"/>
      <c r="F862" s="26"/>
      <c r="G862" s="1475"/>
      <c r="H862" s="26"/>
      <c r="I862" s="1579"/>
      <c r="J862" s="1579"/>
      <c r="K862" s="1579"/>
      <c r="L862" s="1579"/>
      <c r="M862" s="1579"/>
      <c r="N862" s="1579"/>
      <c r="O862" s="1579"/>
      <c r="P862" s="1579"/>
      <c r="Q862" s="1579"/>
      <c r="R862" s="1579"/>
      <c r="S862" s="1208"/>
      <c r="T862" s="1324">
        <f>+T839+V839</f>
        <v>10024899.711099027</v>
      </c>
      <c r="U862" s="1433">
        <f>+X839+AA839</f>
        <v>15586650.217803124</v>
      </c>
      <c r="V862" s="1446"/>
      <c r="W862" s="524"/>
      <c r="X862" s="524"/>
      <c r="Y862" s="524"/>
      <c r="AA862" s="26"/>
    </row>
    <row r="863" spans="1:45" s="18" customFormat="1" ht="15.75">
      <c r="A863" s="2106"/>
      <c r="D863" s="1323"/>
      <c r="E863" s="1470"/>
      <c r="F863" s="1470"/>
      <c r="H863" s="1470"/>
      <c r="I863" s="1580"/>
      <c r="J863" s="1580"/>
      <c r="K863" s="1580"/>
      <c r="L863" s="1580"/>
      <c r="M863" s="1580"/>
      <c r="N863" s="1580"/>
      <c r="O863" s="1580"/>
      <c r="P863" s="1580"/>
      <c r="Q863" s="1580"/>
      <c r="R863" s="1580"/>
      <c r="S863" s="1209"/>
      <c r="T863" s="1324"/>
      <c r="U863" s="1433"/>
      <c r="V863" s="524"/>
      <c r="W863" s="1322"/>
      <c r="X863" s="524"/>
      <c r="Y863" s="524"/>
      <c r="AB863" s="200"/>
    </row>
    <row r="864" spans="1:45" s="18" customFormat="1">
      <c r="A864" s="2106"/>
      <c r="D864" s="97"/>
      <c r="E864" s="26"/>
      <c r="F864" s="26"/>
      <c r="G864" s="1475"/>
      <c r="H864" s="26"/>
      <c r="I864" s="1579"/>
      <c r="J864" s="1579"/>
      <c r="K864" s="1579"/>
      <c r="L864" s="1579"/>
      <c r="M864" s="1579"/>
      <c r="N864" s="1579"/>
      <c r="O864" s="1579"/>
      <c r="P864" s="1579"/>
      <c r="Q864" s="1579"/>
      <c r="R864" s="1579"/>
      <c r="S864" s="1209"/>
      <c r="T864" s="1374"/>
      <c r="U864" s="1434" t="s">
        <v>4350</v>
      </c>
      <c r="V864" s="1332">
        <v>83891.688512894485</v>
      </c>
      <c r="W864" s="524"/>
      <c r="X864" s="524"/>
      <c r="Y864" s="524"/>
      <c r="AA864" s="26"/>
    </row>
    <row r="865" spans="1:35" s="18" customFormat="1">
      <c r="A865" s="2106"/>
      <c r="D865" s="1216"/>
      <c r="E865" s="1216"/>
      <c r="F865" s="1216"/>
      <c r="G865" s="1476"/>
      <c r="H865" s="1216"/>
      <c r="I865" s="1581"/>
      <c r="J865" s="1581"/>
      <c r="K865" s="1581"/>
      <c r="L865" s="1581"/>
      <c r="M865" s="1581"/>
      <c r="N865" s="1581"/>
      <c r="O865" s="1581"/>
      <c r="P865" s="1581"/>
      <c r="Q865" s="1581"/>
      <c r="R865" s="1581"/>
      <c r="S865" s="1209"/>
      <c r="T865" s="1405"/>
      <c r="U865" s="1433" t="s">
        <v>4351</v>
      </c>
      <c r="V865" s="1408">
        <f>+'[29]F6 DICIEMBRE'!$S$37</f>
        <v>15810</v>
      </c>
      <c r="W865" s="524"/>
      <c r="X865" s="524"/>
      <c r="Y865" s="524"/>
    </row>
    <row r="866" spans="1:35">
      <c r="S866" s="1235"/>
      <c r="T866" s="1320"/>
      <c r="V866" s="1407"/>
      <c r="W866" s="1236"/>
      <c r="X866" s="1236"/>
      <c r="Y866" s="1236"/>
      <c r="Z866" s="1236"/>
      <c r="AI866" s="1215"/>
    </row>
    <row r="867" spans="1:35">
      <c r="S867" s="1235"/>
      <c r="T867" s="1320"/>
      <c r="U867" s="1435"/>
      <c r="V867" s="1407"/>
      <c r="W867" s="1236"/>
      <c r="X867" s="1236"/>
      <c r="Y867" s="1236"/>
      <c r="Z867" s="1236"/>
      <c r="AI867" s="1215"/>
    </row>
    <row r="868" spans="1:35">
      <c r="S868" s="1235"/>
      <c r="T868" s="1321" t="s">
        <v>4353</v>
      </c>
      <c r="U868" s="2345">
        <f>+V839+'VAL AMP 4 PN'!M191+'VAL AMP4 MM'!M258</f>
        <v>289037.12929839996</v>
      </c>
      <c r="V868" s="1407"/>
      <c r="W868" s="1322"/>
      <c r="X868" s="1236"/>
      <c r="Y868" s="1236"/>
      <c r="Z868" s="1236"/>
      <c r="AI868" s="1215"/>
    </row>
    <row r="869" spans="1:35">
      <c r="D869" s="1237"/>
      <c r="S869" s="1235"/>
      <c r="T869" s="1435" t="s">
        <v>4336</v>
      </c>
      <c r="U869" s="2288">
        <v>2691.44</v>
      </c>
      <c r="V869" s="1407">
        <v>136</v>
      </c>
      <c r="W869" s="1236"/>
      <c r="X869" s="1236">
        <f>SUM(V441:V603)</f>
        <v>92659.544000000024</v>
      </c>
      <c r="Y869" s="1236"/>
      <c r="Z869" s="1236"/>
      <c r="AI869" s="1215"/>
    </row>
    <row r="870" spans="1:35">
      <c r="S870" s="1235"/>
      <c r="T870" s="18" t="s">
        <v>4337</v>
      </c>
      <c r="U870" s="2289">
        <v>37422.080000000002</v>
      </c>
      <c r="V870" s="1407">
        <v>15</v>
      </c>
      <c r="W870" s="1236"/>
      <c r="X870" s="1236">
        <f>SUM(V279:V440)</f>
        <v>63652.694199999991</v>
      </c>
      <c r="Y870" s="1236">
        <f>+'VAL AMP 4 PN'!M206+'VAL AMP4 MM'!O279</f>
        <v>84734.498200000002</v>
      </c>
      <c r="Z870" s="1236">
        <f>+Y870+X870</f>
        <v>148387.1924</v>
      </c>
      <c r="AI870" s="1215"/>
    </row>
    <row r="871" spans="1:35">
      <c r="S871" s="1235"/>
      <c r="T871" s="1235"/>
      <c r="U871" s="2290">
        <f>SUM(U868:U870)</f>
        <v>329150.64929839998</v>
      </c>
      <c r="V871" s="1407">
        <v>14</v>
      </c>
      <c r="W871" s="1236"/>
      <c r="X871" s="1236">
        <f>SUM(V731:V834)</f>
        <v>0</v>
      </c>
      <c r="Y871" s="1236"/>
      <c r="Z871" s="1236"/>
      <c r="AI871" s="1215"/>
    </row>
    <row r="872" spans="1:35">
      <c r="S872" s="1235"/>
      <c r="T872" s="1235"/>
      <c r="U872" s="1435"/>
      <c r="V872" s="1407">
        <v>4</v>
      </c>
      <c r="W872" s="1236"/>
      <c r="X872" s="1236">
        <f>SUM(V604:V730)</f>
        <v>14541.5</v>
      </c>
      <c r="Y872" s="1236"/>
      <c r="Z872" s="1236"/>
      <c r="AI872" s="1215"/>
    </row>
    <row r="873" spans="1:35">
      <c r="S873" s="1235"/>
      <c r="T873" s="1235"/>
      <c r="U873" s="1435"/>
      <c r="V873" s="1407"/>
      <c r="W873" s="1236"/>
      <c r="X873" s="1236"/>
      <c r="Y873" s="1236"/>
      <c r="Z873" s="1236"/>
      <c r="AI873" s="1215"/>
    </row>
    <row r="874" spans="1:35">
      <c r="S874" s="1235"/>
      <c r="T874" s="1235"/>
      <c r="U874" s="1435"/>
      <c r="V874" s="1407"/>
      <c r="W874" s="1236"/>
      <c r="X874" s="1236"/>
      <c r="Y874" s="1236"/>
      <c r="Z874" s="1236"/>
      <c r="AI874" s="1215"/>
    </row>
    <row r="875" spans="1:35">
      <c r="S875" s="1235"/>
      <c r="T875" s="1235"/>
      <c r="U875" s="1435"/>
      <c r="V875" s="1407"/>
      <c r="W875" s="1236"/>
      <c r="X875" s="1236"/>
      <c r="Y875" s="1236"/>
      <c r="Z875" s="1236"/>
      <c r="AI875" s="1215"/>
    </row>
    <row r="876" spans="1:35">
      <c r="S876" s="1235"/>
      <c r="T876" s="1303"/>
      <c r="U876" s="1435"/>
      <c r="V876" s="1407"/>
      <c r="W876" s="1236"/>
      <c r="X876" s="1236"/>
      <c r="Y876" s="1236"/>
      <c r="Z876" s="1236"/>
      <c r="AI876" s="1215"/>
    </row>
    <row r="877" spans="1:35">
      <c r="S877" s="1235"/>
      <c r="T877" s="1235"/>
      <c r="U877" s="1435"/>
      <c r="V877" s="1407"/>
      <c r="W877" s="1236"/>
      <c r="X877" s="1236"/>
      <c r="Y877" s="1236"/>
      <c r="Z877" s="1236"/>
      <c r="AI877" s="1215"/>
    </row>
  </sheetData>
  <autoFilter ref="U1:U877" xr:uid="{00000000-0009-0000-0000-00001D000000}"/>
  <mergeCells count="40">
    <mergeCell ref="S11:T11"/>
    <mergeCell ref="AI12:AK12"/>
    <mergeCell ref="AI25:AK25"/>
    <mergeCell ref="B2:AB2"/>
    <mergeCell ref="E4:X4"/>
    <mergeCell ref="AA4:AB4"/>
    <mergeCell ref="B10:B13"/>
    <mergeCell ref="C10:C13"/>
    <mergeCell ref="D10:D13"/>
    <mergeCell ref="E10:R11"/>
    <mergeCell ref="Z10:AB11"/>
    <mergeCell ref="AA12:AA13"/>
    <mergeCell ref="AB12:AB13"/>
    <mergeCell ref="X12:X13"/>
    <mergeCell ref="U11:V11"/>
    <mergeCell ref="I12:I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N12:N13"/>
    <mergeCell ref="O12:O13"/>
    <mergeCell ref="G12:G13"/>
    <mergeCell ref="Q12:Q13"/>
    <mergeCell ref="M12:M13"/>
    <mergeCell ref="L12:L13"/>
    <mergeCell ref="J12:J13"/>
    <mergeCell ref="P12:P13"/>
  </mergeCells>
  <conditionalFormatting sqref="AB2 AB5:AB851 AB853:AB1048576">
    <cfRule type="cellIs" dxfId="17" priority="30" operator="lessThan">
      <formula>0</formula>
    </cfRule>
  </conditionalFormatting>
  <conditionalFormatting sqref="Z2 Z4:Z14 Z849:Z851 Z16:Z846 Z853:Z1048576">
    <cfRule type="cellIs" dxfId="16" priority="28" operator="lessThan">
      <formula>0</formula>
    </cfRule>
    <cfRule type="cellIs" dxfId="15" priority="29" operator="lessThan">
      <formula>0</formula>
    </cfRule>
  </conditionalFormatting>
  <conditionalFormatting sqref="Y847:Y849">
    <cfRule type="cellIs" dxfId="14" priority="22" operator="lessThan">
      <formula>0</formula>
    </cfRule>
    <cfRule type="cellIs" dxfId="13" priority="23" operator="lessThan">
      <formula>0</formula>
    </cfRule>
  </conditionalFormatting>
  <conditionalFormatting sqref="AH1:AH1048576">
    <cfRule type="cellIs" dxfId="12" priority="5" operator="lessThan">
      <formula>0</formula>
    </cfRule>
    <cfRule type="cellIs" dxfId="11" priority="6" operator="greaterThan">
      <formula>0</formula>
    </cfRule>
  </conditionalFormatting>
  <conditionalFormatting sqref="AB4">
    <cfRule type="cellIs" dxfId="10" priority="4" operator="lessThan">
      <formula>0</formula>
    </cfRule>
  </conditionalFormatting>
  <conditionalFormatting sqref="AB852">
    <cfRule type="cellIs" dxfId="9" priority="3" operator="lessThan">
      <formula>0</formula>
    </cfRule>
  </conditionalFormatting>
  <conditionalFormatting sqref="Z852">
    <cfRule type="cellIs" dxfId="8" priority="1" operator="lessThan">
      <formula>0</formula>
    </cfRule>
    <cfRule type="cellIs" dxfId="7" priority="2" operator="lessThan">
      <formula>0</formula>
    </cfRule>
  </conditionalFormatting>
  <printOptions horizontalCentered="1"/>
  <pageMargins left="3.937007874015748E-2" right="3.937007874015748E-2" top="0.59055118110236227" bottom="1.2204724409448819" header="0.31496062992125984" footer="0.31496062992125984"/>
  <pageSetup paperSize="9" scale="57" fitToHeight="0" orientation="landscape" r:id="rId1"/>
  <rowBreaks count="22" manualBreakCount="22">
    <brk id="52" max="27" man="1"/>
    <brk id="90" max="27" man="1"/>
    <brk id="129" max="27" man="1"/>
    <brk id="168" max="27" man="1"/>
    <brk id="207" max="27" man="1"/>
    <brk id="246" max="27" man="1"/>
    <brk id="285" max="27" man="1"/>
    <brk id="324" max="27" man="1"/>
    <brk id="363" max="27" man="1"/>
    <brk id="402" max="27" man="1"/>
    <brk id="441" max="27" man="1"/>
    <brk id="480" max="27" man="1"/>
    <brk id="519" max="27" man="1"/>
    <brk id="558" max="27" man="1"/>
    <brk id="597" max="27" man="1"/>
    <brk id="636" max="27" man="1"/>
    <brk id="675" max="27" man="1"/>
    <brk id="714" max="27" man="1"/>
    <brk id="753" max="27" man="1"/>
    <brk id="792" max="27" man="1"/>
    <brk id="831" max="27" man="1"/>
    <brk id="861" max="31" man="1"/>
  </rowBreaks>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pageSetUpPr fitToPage="1"/>
  </sheetPr>
  <dimension ref="A1:AA283"/>
  <sheetViews>
    <sheetView view="pageBreakPreview" topLeftCell="B1" zoomScaleNormal="70" zoomScaleSheetLayoutView="100" workbookViewId="0">
      <selection activeCell="B2" sqref="B2:S2"/>
    </sheetView>
  </sheetViews>
  <sheetFormatPr baseColWidth="10" defaultRowHeight="13.5"/>
  <cols>
    <col min="1" max="1" width="4.140625" style="1215" customWidth="1"/>
    <col min="2" max="2" width="11.140625" style="1215" customWidth="1"/>
    <col min="3" max="3" width="51" style="1225" customWidth="1"/>
    <col min="4" max="4" width="10.5703125" style="1218" customWidth="1"/>
    <col min="5" max="5" width="10.5703125" style="1226" customWidth="1"/>
    <col min="6" max="6" width="10.5703125" style="1237" hidden="1" customWidth="1"/>
    <col min="7" max="7" width="13.28515625" style="1237" hidden="1" customWidth="1"/>
    <col min="8" max="8" width="13.85546875" style="1226" hidden="1" customWidth="1"/>
    <col min="9" max="9" width="13.7109375" style="1226" customWidth="1"/>
    <col min="10" max="11" width="12.5703125" style="1218" customWidth="1"/>
    <col min="12" max="12" width="12.5703125" style="1432" customWidth="1"/>
    <col min="13" max="13" width="12.5703125" style="1406" customWidth="1"/>
    <col min="14" max="14" width="12.5703125" style="1218" customWidth="1"/>
    <col min="15" max="15" width="14.5703125" style="1218" customWidth="1"/>
    <col min="16" max="16" width="12.5703125" style="1218" customWidth="1"/>
    <col min="17" max="17" width="12.5703125" style="1215" customWidth="1"/>
    <col min="18" max="18" width="14.5703125" style="1215" customWidth="1"/>
    <col min="19" max="19" width="12.5703125" style="1215" customWidth="1"/>
    <col min="20" max="20" width="13" style="1215" bestFit="1" customWidth="1"/>
    <col min="21" max="22" width="13" style="1215" customWidth="1"/>
    <col min="23" max="23" width="10.85546875" style="1218"/>
    <col min="24" max="24" width="10.85546875" style="1215"/>
    <col min="25" max="25" width="14.140625" style="1215" customWidth="1"/>
    <col min="26" max="261" width="10.85546875" style="1215"/>
    <col min="262" max="262" width="8.85546875" style="1215" customWidth="1"/>
    <col min="263" max="263" width="50" style="1215" customWidth="1"/>
    <col min="264" max="264" width="6.42578125" style="1215" bestFit="1" customWidth="1"/>
    <col min="265" max="265" width="8.85546875" style="1215" customWidth="1"/>
    <col min="266" max="266" width="8.5703125" style="1215" customWidth="1"/>
    <col min="267" max="267" width="11.42578125" style="1215" bestFit="1" customWidth="1"/>
    <col min="268" max="268" width="7.85546875" style="1215" bestFit="1" customWidth="1"/>
    <col min="269" max="269" width="11.5703125" style="1215" bestFit="1" customWidth="1"/>
    <col min="270" max="270" width="8" style="1215" bestFit="1" customWidth="1"/>
    <col min="271" max="271" width="11.5703125" style="1215" bestFit="1" customWidth="1"/>
    <col min="272" max="272" width="8.140625" style="1215" bestFit="1" customWidth="1"/>
    <col min="273" max="273" width="11.5703125" style="1215" bestFit="1" customWidth="1"/>
    <col min="274" max="274" width="8.42578125" style="1215" customWidth="1"/>
    <col min="275" max="275" width="7.42578125" style="1215" bestFit="1" customWidth="1"/>
    <col min="276" max="276" width="11.5703125" style="1215" bestFit="1" customWidth="1"/>
    <col min="277" max="277" width="8.140625" style="1215" customWidth="1"/>
    <col min="278" max="278" width="13" style="1215" bestFit="1" customWidth="1"/>
    <col min="279" max="517" width="10.85546875" style="1215"/>
    <col min="518" max="518" width="8.85546875" style="1215" customWidth="1"/>
    <col min="519" max="519" width="50" style="1215" customWidth="1"/>
    <col min="520" max="520" width="6.42578125" style="1215" bestFit="1" customWidth="1"/>
    <col min="521" max="521" width="8.85546875" style="1215" customWidth="1"/>
    <col min="522" max="522" width="8.5703125" style="1215" customWidth="1"/>
    <col min="523" max="523" width="11.42578125" style="1215" bestFit="1" customWidth="1"/>
    <col min="524" max="524" width="7.85546875" style="1215" bestFit="1" customWidth="1"/>
    <col min="525" max="525" width="11.5703125" style="1215" bestFit="1" customWidth="1"/>
    <col min="526" max="526" width="8" style="1215" bestFit="1" customWidth="1"/>
    <col min="527" max="527" width="11.5703125" style="1215" bestFit="1" customWidth="1"/>
    <col min="528" max="528" width="8.140625" style="1215" bestFit="1" customWidth="1"/>
    <col min="529" max="529" width="11.5703125" style="1215" bestFit="1" customWidth="1"/>
    <col min="530" max="530" width="8.42578125" style="1215" customWidth="1"/>
    <col min="531" max="531" width="7.42578125" style="1215" bestFit="1" customWidth="1"/>
    <col min="532" max="532" width="11.5703125" style="1215" bestFit="1" customWidth="1"/>
    <col min="533" max="533" width="8.140625" style="1215" customWidth="1"/>
    <col min="534" max="534" width="13" style="1215" bestFit="1" customWidth="1"/>
    <col min="535" max="773" width="10.85546875" style="1215"/>
    <col min="774" max="774" width="8.85546875" style="1215" customWidth="1"/>
    <col min="775" max="775" width="50" style="1215" customWidth="1"/>
    <col min="776" max="776" width="6.42578125" style="1215" bestFit="1" customWidth="1"/>
    <col min="777" max="777" width="8.85546875" style="1215" customWidth="1"/>
    <col min="778" max="778" width="8.5703125" style="1215" customWidth="1"/>
    <col min="779" max="779" width="11.42578125" style="1215" bestFit="1" customWidth="1"/>
    <col min="780" max="780" width="7.85546875" style="1215" bestFit="1" customWidth="1"/>
    <col min="781" max="781" width="11.5703125" style="1215" bestFit="1" customWidth="1"/>
    <col min="782" max="782" width="8" style="1215" bestFit="1" customWidth="1"/>
    <col min="783" max="783" width="11.5703125" style="1215" bestFit="1" customWidth="1"/>
    <col min="784" max="784" width="8.140625" style="1215" bestFit="1" customWidth="1"/>
    <col min="785" max="785" width="11.5703125" style="1215" bestFit="1" customWidth="1"/>
    <col min="786" max="786" width="8.42578125" style="1215" customWidth="1"/>
    <col min="787" max="787" width="7.42578125" style="1215" bestFit="1" customWidth="1"/>
    <col min="788" max="788" width="11.5703125" style="1215" bestFit="1" customWidth="1"/>
    <col min="789" max="789" width="8.140625" style="1215" customWidth="1"/>
    <col min="790" max="790" width="13" style="1215" bestFit="1" customWidth="1"/>
    <col min="791" max="1029" width="10.85546875" style="1215"/>
    <col min="1030" max="1030" width="8.85546875" style="1215" customWidth="1"/>
    <col min="1031" max="1031" width="50" style="1215" customWidth="1"/>
    <col min="1032" max="1032" width="6.42578125" style="1215" bestFit="1" customWidth="1"/>
    <col min="1033" max="1033" width="8.85546875" style="1215" customWidth="1"/>
    <col min="1034" max="1034" width="8.5703125" style="1215" customWidth="1"/>
    <col min="1035" max="1035" width="11.42578125" style="1215" bestFit="1" customWidth="1"/>
    <col min="1036" max="1036" width="7.85546875" style="1215" bestFit="1" customWidth="1"/>
    <col min="1037" max="1037" width="11.5703125" style="1215" bestFit="1" customWidth="1"/>
    <col min="1038" max="1038" width="8" style="1215" bestFit="1" customWidth="1"/>
    <col min="1039" max="1039" width="11.5703125" style="1215" bestFit="1" customWidth="1"/>
    <col min="1040" max="1040" width="8.140625" style="1215" bestFit="1" customWidth="1"/>
    <col min="1041" max="1041" width="11.5703125" style="1215" bestFit="1" customWidth="1"/>
    <col min="1042" max="1042" width="8.42578125" style="1215" customWidth="1"/>
    <col min="1043" max="1043" width="7.42578125" style="1215" bestFit="1" customWidth="1"/>
    <col min="1044" max="1044" width="11.5703125" style="1215" bestFit="1" customWidth="1"/>
    <col min="1045" max="1045" width="8.140625" style="1215" customWidth="1"/>
    <col min="1046" max="1046" width="13" style="1215" bestFit="1" customWidth="1"/>
    <col min="1047" max="1285" width="10.85546875" style="1215"/>
    <col min="1286" max="1286" width="8.85546875" style="1215" customWidth="1"/>
    <col min="1287" max="1287" width="50" style="1215" customWidth="1"/>
    <col min="1288" max="1288" width="6.42578125" style="1215" bestFit="1" customWidth="1"/>
    <col min="1289" max="1289" width="8.85546875" style="1215" customWidth="1"/>
    <col min="1290" max="1290" width="8.5703125" style="1215" customWidth="1"/>
    <col min="1291" max="1291" width="11.42578125" style="1215" bestFit="1" customWidth="1"/>
    <col min="1292" max="1292" width="7.85546875" style="1215" bestFit="1" customWidth="1"/>
    <col min="1293" max="1293" width="11.5703125" style="1215" bestFit="1" customWidth="1"/>
    <col min="1294" max="1294" width="8" style="1215" bestFit="1" customWidth="1"/>
    <col min="1295" max="1295" width="11.5703125" style="1215" bestFit="1" customWidth="1"/>
    <col min="1296" max="1296" width="8.140625" style="1215" bestFit="1" customWidth="1"/>
    <col min="1297" max="1297" width="11.5703125" style="1215" bestFit="1" customWidth="1"/>
    <col min="1298" max="1298" width="8.42578125" style="1215" customWidth="1"/>
    <col min="1299" max="1299" width="7.42578125" style="1215" bestFit="1" customWidth="1"/>
    <col min="1300" max="1300" width="11.5703125" style="1215" bestFit="1" customWidth="1"/>
    <col min="1301" max="1301" width="8.140625" style="1215" customWidth="1"/>
    <col min="1302" max="1302" width="13" style="1215" bestFit="1" customWidth="1"/>
    <col min="1303" max="1541" width="10.85546875" style="1215"/>
    <col min="1542" max="1542" width="8.85546875" style="1215" customWidth="1"/>
    <col min="1543" max="1543" width="50" style="1215" customWidth="1"/>
    <col min="1544" max="1544" width="6.42578125" style="1215" bestFit="1" customWidth="1"/>
    <col min="1545" max="1545" width="8.85546875" style="1215" customWidth="1"/>
    <col min="1546" max="1546" width="8.5703125" style="1215" customWidth="1"/>
    <col min="1547" max="1547" width="11.42578125" style="1215" bestFit="1" customWidth="1"/>
    <col min="1548" max="1548" width="7.85546875" style="1215" bestFit="1" customWidth="1"/>
    <col min="1549" max="1549" width="11.5703125" style="1215" bestFit="1" customWidth="1"/>
    <col min="1550" max="1550" width="8" style="1215" bestFit="1" customWidth="1"/>
    <col min="1551" max="1551" width="11.5703125" style="1215" bestFit="1" customWidth="1"/>
    <col min="1552" max="1552" width="8.140625" style="1215" bestFit="1" customWidth="1"/>
    <col min="1553" max="1553" width="11.5703125" style="1215" bestFit="1" customWidth="1"/>
    <col min="1554" max="1554" width="8.42578125" style="1215" customWidth="1"/>
    <col min="1555" max="1555" width="7.42578125" style="1215" bestFit="1" customWidth="1"/>
    <col min="1556" max="1556" width="11.5703125" style="1215" bestFit="1" customWidth="1"/>
    <col min="1557" max="1557" width="8.140625" style="1215" customWidth="1"/>
    <col min="1558" max="1558" width="13" style="1215" bestFit="1" customWidth="1"/>
    <col min="1559" max="1797" width="10.85546875" style="1215"/>
    <col min="1798" max="1798" width="8.85546875" style="1215" customWidth="1"/>
    <col min="1799" max="1799" width="50" style="1215" customWidth="1"/>
    <col min="1800" max="1800" width="6.42578125" style="1215" bestFit="1" customWidth="1"/>
    <col min="1801" max="1801" width="8.85546875" style="1215" customWidth="1"/>
    <col min="1802" max="1802" width="8.5703125" style="1215" customWidth="1"/>
    <col min="1803" max="1803" width="11.42578125" style="1215" bestFit="1" customWidth="1"/>
    <col min="1804" max="1804" width="7.85546875" style="1215" bestFit="1" customWidth="1"/>
    <col min="1805" max="1805" width="11.5703125" style="1215" bestFit="1" customWidth="1"/>
    <col min="1806" max="1806" width="8" style="1215" bestFit="1" customWidth="1"/>
    <col min="1807" max="1807" width="11.5703125" style="1215" bestFit="1" customWidth="1"/>
    <col min="1808" max="1808" width="8.140625" style="1215" bestFit="1" customWidth="1"/>
    <col min="1809" max="1809" width="11.5703125" style="1215" bestFit="1" customWidth="1"/>
    <col min="1810" max="1810" width="8.42578125" style="1215" customWidth="1"/>
    <col min="1811" max="1811" width="7.42578125" style="1215" bestFit="1" customWidth="1"/>
    <col min="1812" max="1812" width="11.5703125" style="1215" bestFit="1" customWidth="1"/>
    <col min="1813" max="1813" width="8.140625" style="1215" customWidth="1"/>
    <col min="1814" max="1814" width="13" style="1215" bestFit="1" customWidth="1"/>
    <col min="1815" max="2053" width="10.85546875" style="1215"/>
    <col min="2054" max="2054" width="8.85546875" style="1215" customWidth="1"/>
    <col min="2055" max="2055" width="50" style="1215" customWidth="1"/>
    <col min="2056" max="2056" width="6.42578125" style="1215" bestFit="1" customWidth="1"/>
    <col min="2057" max="2057" width="8.85546875" style="1215" customWidth="1"/>
    <col min="2058" max="2058" width="8.5703125" style="1215" customWidth="1"/>
    <col min="2059" max="2059" width="11.42578125" style="1215" bestFit="1" customWidth="1"/>
    <col min="2060" max="2060" width="7.85546875" style="1215" bestFit="1" customWidth="1"/>
    <col min="2061" max="2061" width="11.5703125" style="1215" bestFit="1" customWidth="1"/>
    <col min="2062" max="2062" width="8" style="1215" bestFit="1" customWidth="1"/>
    <col min="2063" max="2063" width="11.5703125" style="1215" bestFit="1" customWidth="1"/>
    <col min="2064" max="2064" width="8.140625" style="1215" bestFit="1" customWidth="1"/>
    <col min="2065" max="2065" width="11.5703125" style="1215" bestFit="1" customWidth="1"/>
    <col min="2066" max="2066" width="8.42578125" style="1215" customWidth="1"/>
    <col min="2067" max="2067" width="7.42578125" style="1215" bestFit="1" customWidth="1"/>
    <col min="2068" max="2068" width="11.5703125" style="1215" bestFit="1" customWidth="1"/>
    <col min="2069" max="2069" width="8.140625" style="1215" customWidth="1"/>
    <col min="2070" max="2070" width="13" style="1215" bestFit="1" customWidth="1"/>
    <col min="2071" max="2309" width="10.85546875" style="1215"/>
    <col min="2310" max="2310" width="8.85546875" style="1215" customWidth="1"/>
    <col min="2311" max="2311" width="50" style="1215" customWidth="1"/>
    <col min="2312" max="2312" width="6.42578125" style="1215" bestFit="1" customWidth="1"/>
    <col min="2313" max="2313" width="8.85546875" style="1215" customWidth="1"/>
    <col min="2314" max="2314" width="8.5703125" style="1215" customWidth="1"/>
    <col min="2315" max="2315" width="11.42578125" style="1215" bestFit="1" customWidth="1"/>
    <col min="2316" max="2316" width="7.85546875" style="1215" bestFit="1" customWidth="1"/>
    <col min="2317" max="2317" width="11.5703125" style="1215" bestFit="1" customWidth="1"/>
    <col min="2318" max="2318" width="8" style="1215" bestFit="1" customWidth="1"/>
    <col min="2319" max="2319" width="11.5703125" style="1215" bestFit="1" customWidth="1"/>
    <col min="2320" max="2320" width="8.140625" style="1215" bestFit="1" customWidth="1"/>
    <col min="2321" max="2321" width="11.5703125" style="1215" bestFit="1" customWidth="1"/>
    <col min="2322" max="2322" width="8.42578125" style="1215" customWidth="1"/>
    <col min="2323" max="2323" width="7.42578125" style="1215" bestFit="1" customWidth="1"/>
    <col min="2324" max="2324" width="11.5703125" style="1215" bestFit="1" customWidth="1"/>
    <col min="2325" max="2325" width="8.140625" style="1215" customWidth="1"/>
    <col min="2326" max="2326" width="13" style="1215" bestFit="1" customWidth="1"/>
    <col min="2327" max="2565" width="10.85546875" style="1215"/>
    <col min="2566" max="2566" width="8.85546875" style="1215" customWidth="1"/>
    <col min="2567" max="2567" width="50" style="1215" customWidth="1"/>
    <col min="2568" max="2568" width="6.42578125" style="1215" bestFit="1" customWidth="1"/>
    <col min="2569" max="2569" width="8.85546875" style="1215" customWidth="1"/>
    <col min="2570" max="2570" width="8.5703125" style="1215" customWidth="1"/>
    <col min="2571" max="2571" width="11.42578125" style="1215" bestFit="1" customWidth="1"/>
    <col min="2572" max="2572" width="7.85546875" style="1215" bestFit="1" customWidth="1"/>
    <col min="2573" max="2573" width="11.5703125" style="1215" bestFit="1" customWidth="1"/>
    <col min="2574" max="2574" width="8" style="1215" bestFit="1" customWidth="1"/>
    <col min="2575" max="2575" width="11.5703125" style="1215" bestFit="1" customWidth="1"/>
    <col min="2576" max="2576" width="8.140625" style="1215" bestFit="1" customWidth="1"/>
    <col min="2577" max="2577" width="11.5703125" style="1215" bestFit="1" customWidth="1"/>
    <col min="2578" max="2578" width="8.42578125" style="1215" customWidth="1"/>
    <col min="2579" max="2579" width="7.42578125" style="1215" bestFit="1" customWidth="1"/>
    <col min="2580" max="2580" width="11.5703125" style="1215" bestFit="1" customWidth="1"/>
    <col min="2581" max="2581" width="8.140625" style="1215" customWidth="1"/>
    <col min="2582" max="2582" width="13" style="1215" bestFit="1" customWidth="1"/>
    <col min="2583" max="2821" width="10.85546875" style="1215"/>
    <col min="2822" max="2822" width="8.85546875" style="1215" customWidth="1"/>
    <col min="2823" max="2823" width="50" style="1215" customWidth="1"/>
    <col min="2824" max="2824" width="6.42578125" style="1215" bestFit="1" customWidth="1"/>
    <col min="2825" max="2825" width="8.85546875" style="1215" customWidth="1"/>
    <col min="2826" max="2826" width="8.5703125" style="1215" customWidth="1"/>
    <col min="2827" max="2827" width="11.42578125" style="1215" bestFit="1" customWidth="1"/>
    <col min="2828" max="2828" width="7.85546875" style="1215" bestFit="1" customWidth="1"/>
    <col min="2829" max="2829" width="11.5703125" style="1215" bestFit="1" customWidth="1"/>
    <col min="2830" max="2830" width="8" style="1215" bestFit="1" customWidth="1"/>
    <col min="2831" max="2831" width="11.5703125" style="1215" bestFit="1" customWidth="1"/>
    <col min="2832" max="2832" width="8.140625" style="1215" bestFit="1" customWidth="1"/>
    <col min="2833" max="2833" width="11.5703125" style="1215" bestFit="1" customWidth="1"/>
    <col min="2834" max="2834" width="8.42578125" style="1215" customWidth="1"/>
    <col min="2835" max="2835" width="7.42578125" style="1215" bestFit="1" customWidth="1"/>
    <col min="2836" max="2836" width="11.5703125" style="1215" bestFit="1" customWidth="1"/>
    <col min="2837" max="2837" width="8.140625" style="1215" customWidth="1"/>
    <col min="2838" max="2838" width="13" style="1215" bestFit="1" customWidth="1"/>
    <col min="2839" max="3077" width="10.85546875" style="1215"/>
    <col min="3078" max="3078" width="8.85546875" style="1215" customWidth="1"/>
    <col min="3079" max="3079" width="50" style="1215" customWidth="1"/>
    <col min="3080" max="3080" width="6.42578125" style="1215" bestFit="1" customWidth="1"/>
    <col min="3081" max="3081" width="8.85546875" style="1215" customWidth="1"/>
    <col min="3082" max="3082" width="8.5703125" style="1215" customWidth="1"/>
    <col min="3083" max="3083" width="11.42578125" style="1215" bestFit="1" customWidth="1"/>
    <col min="3084" max="3084" width="7.85546875" style="1215" bestFit="1" customWidth="1"/>
    <col min="3085" max="3085" width="11.5703125" style="1215" bestFit="1" customWidth="1"/>
    <col min="3086" max="3086" width="8" style="1215" bestFit="1" customWidth="1"/>
    <col min="3087" max="3087" width="11.5703125" style="1215" bestFit="1" customWidth="1"/>
    <col min="3088" max="3088" width="8.140625" style="1215" bestFit="1" customWidth="1"/>
    <col min="3089" max="3089" width="11.5703125" style="1215" bestFit="1" customWidth="1"/>
    <col min="3090" max="3090" width="8.42578125" style="1215" customWidth="1"/>
    <col min="3091" max="3091" width="7.42578125" style="1215" bestFit="1" customWidth="1"/>
    <col min="3092" max="3092" width="11.5703125" style="1215" bestFit="1" customWidth="1"/>
    <col min="3093" max="3093" width="8.140625" style="1215" customWidth="1"/>
    <col min="3094" max="3094" width="13" style="1215" bestFit="1" customWidth="1"/>
    <col min="3095" max="3333" width="10.85546875" style="1215"/>
    <col min="3334" max="3334" width="8.85546875" style="1215" customWidth="1"/>
    <col min="3335" max="3335" width="50" style="1215" customWidth="1"/>
    <col min="3336" max="3336" width="6.42578125" style="1215" bestFit="1" customWidth="1"/>
    <col min="3337" max="3337" width="8.85546875" style="1215" customWidth="1"/>
    <col min="3338" max="3338" width="8.5703125" style="1215" customWidth="1"/>
    <col min="3339" max="3339" width="11.42578125" style="1215" bestFit="1" customWidth="1"/>
    <col min="3340" max="3340" width="7.85546875" style="1215" bestFit="1" customWidth="1"/>
    <col min="3341" max="3341" width="11.5703125" style="1215" bestFit="1" customWidth="1"/>
    <col min="3342" max="3342" width="8" style="1215" bestFit="1" customWidth="1"/>
    <col min="3343" max="3343" width="11.5703125" style="1215" bestFit="1" customWidth="1"/>
    <col min="3344" max="3344" width="8.140625" style="1215" bestFit="1" customWidth="1"/>
    <col min="3345" max="3345" width="11.5703125" style="1215" bestFit="1" customWidth="1"/>
    <col min="3346" max="3346" width="8.42578125" style="1215" customWidth="1"/>
    <col min="3347" max="3347" width="7.42578125" style="1215" bestFit="1" customWidth="1"/>
    <col min="3348" max="3348" width="11.5703125" style="1215" bestFit="1" customWidth="1"/>
    <col min="3349" max="3349" width="8.140625" style="1215" customWidth="1"/>
    <col min="3350" max="3350" width="13" style="1215" bestFit="1" customWidth="1"/>
    <col min="3351" max="3589" width="10.85546875" style="1215"/>
    <col min="3590" max="3590" width="8.85546875" style="1215" customWidth="1"/>
    <col min="3591" max="3591" width="50" style="1215" customWidth="1"/>
    <col min="3592" max="3592" width="6.42578125" style="1215" bestFit="1" customWidth="1"/>
    <col min="3593" max="3593" width="8.85546875" style="1215" customWidth="1"/>
    <col min="3594" max="3594" width="8.5703125" style="1215" customWidth="1"/>
    <col min="3595" max="3595" width="11.42578125" style="1215" bestFit="1" customWidth="1"/>
    <col min="3596" max="3596" width="7.85546875" style="1215" bestFit="1" customWidth="1"/>
    <col min="3597" max="3597" width="11.5703125" style="1215" bestFit="1" customWidth="1"/>
    <col min="3598" max="3598" width="8" style="1215" bestFit="1" customWidth="1"/>
    <col min="3599" max="3599" width="11.5703125" style="1215" bestFit="1" customWidth="1"/>
    <col min="3600" max="3600" width="8.140625" style="1215" bestFit="1" customWidth="1"/>
    <col min="3601" max="3601" width="11.5703125" style="1215" bestFit="1" customWidth="1"/>
    <col min="3602" max="3602" width="8.42578125" style="1215" customWidth="1"/>
    <col min="3603" max="3603" width="7.42578125" style="1215" bestFit="1" customWidth="1"/>
    <col min="3604" max="3604" width="11.5703125" style="1215" bestFit="1" customWidth="1"/>
    <col min="3605" max="3605" width="8.140625" style="1215" customWidth="1"/>
    <col min="3606" max="3606" width="13" style="1215" bestFit="1" customWidth="1"/>
    <col min="3607" max="3845" width="10.85546875" style="1215"/>
    <col min="3846" max="3846" width="8.85546875" style="1215" customWidth="1"/>
    <col min="3847" max="3847" width="50" style="1215" customWidth="1"/>
    <col min="3848" max="3848" width="6.42578125" style="1215" bestFit="1" customWidth="1"/>
    <col min="3849" max="3849" width="8.85546875" style="1215" customWidth="1"/>
    <col min="3850" max="3850" width="8.5703125" style="1215" customWidth="1"/>
    <col min="3851" max="3851" width="11.42578125" style="1215" bestFit="1" customWidth="1"/>
    <col min="3852" max="3852" width="7.85546875" style="1215" bestFit="1" customWidth="1"/>
    <col min="3853" max="3853" width="11.5703125" style="1215" bestFit="1" customWidth="1"/>
    <col min="3854" max="3854" width="8" style="1215" bestFit="1" customWidth="1"/>
    <col min="3855" max="3855" width="11.5703125" style="1215" bestFit="1" customWidth="1"/>
    <col min="3856" max="3856" width="8.140625" style="1215" bestFit="1" customWidth="1"/>
    <col min="3857" max="3857" width="11.5703125" style="1215" bestFit="1" customWidth="1"/>
    <col min="3858" max="3858" width="8.42578125" style="1215" customWidth="1"/>
    <col min="3859" max="3859" width="7.42578125" style="1215" bestFit="1" customWidth="1"/>
    <col min="3860" max="3860" width="11.5703125" style="1215" bestFit="1" customWidth="1"/>
    <col min="3861" max="3861" width="8.140625" style="1215" customWidth="1"/>
    <col min="3862" max="3862" width="13" style="1215" bestFit="1" customWidth="1"/>
    <col min="3863" max="4101" width="10.85546875" style="1215"/>
    <col min="4102" max="4102" width="8.85546875" style="1215" customWidth="1"/>
    <col min="4103" max="4103" width="50" style="1215" customWidth="1"/>
    <col min="4104" max="4104" width="6.42578125" style="1215" bestFit="1" customWidth="1"/>
    <col min="4105" max="4105" width="8.85546875" style="1215" customWidth="1"/>
    <col min="4106" max="4106" width="8.5703125" style="1215" customWidth="1"/>
    <col min="4107" max="4107" width="11.42578125" style="1215" bestFit="1" customWidth="1"/>
    <col min="4108" max="4108" width="7.85546875" style="1215" bestFit="1" customWidth="1"/>
    <col min="4109" max="4109" width="11.5703125" style="1215" bestFit="1" customWidth="1"/>
    <col min="4110" max="4110" width="8" style="1215" bestFit="1" customWidth="1"/>
    <col min="4111" max="4111" width="11.5703125" style="1215" bestFit="1" customWidth="1"/>
    <col min="4112" max="4112" width="8.140625" style="1215" bestFit="1" customWidth="1"/>
    <col min="4113" max="4113" width="11.5703125" style="1215" bestFit="1" customWidth="1"/>
    <col min="4114" max="4114" width="8.42578125" style="1215" customWidth="1"/>
    <col min="4115" max="4115" width="7.42578125" style="1215" bestFit="1" customWidth="1"/>
    <col min="4116" max="4116" width="11.5703125" style="1215" bestFit="1" customWidth="1"/>
    <col min="4117" max="4117" width="8.140625" style="1215" customWidth="1"/>
    <col min="4118" max="4118" width="13" style="1215" bestFit="1" customWidth="1"/>
    <col min="4119" max="4357" width="10.85546875" style="1215"/>
    <col min="4358" max="4358" width="8.85546875" style="1215" customWidth="1"/>
    <col min="4359" max="4359" width="50" style="1215" customWidth="1"/>
    <col min="4360" max="4360" width="6.42578125" style="1215" bestFit="1" customWidth="1"/>
    <col min="4361" max="4361" width="8.85546875" style="1215" customWidth="1"/>
    <col min="4362" max="4362" width="8.5703125" style="1215" customWidth="1"/>
    <col min="4363" max="4363" width="11.42578125" style="1215" bestFit="1" customWidth="1"/>
    <col min="4364" max="4364" width="7.85546875" style="1215" bestFit="1" customWidth="1"/>
    <col min="4365" max="4365" width="11.5703125" style="1215" bestFit="1" customWidth="1"/>
    <col min="4366" max="4366" width="8" style="1215" bestFit="1" customWidth="1"/>
    <col min="4367" max="4367" width="11.5703125" style="1215" bestFit="1" customWidth="1"/>
    <col min="4368" max="4368" width="8.140625" style="1215" bestFit="1" customWidth="1"/>
    <col min="4369" max="4369" width="11.5703125" style="1215" bestFit="1" customWidth="1"/>
    <col min="4370" max="4370" width="8.42578125" style="1215" customWidth="1"/>
    <col min="4371" max="4371" width="7.42578125" style="1215" bestFit="1" customWidth="1"/>
    <col min="4372" max="4372" width="11.5703125" style="1215" bestFit="1" customWidth="1"/>
    <col min="4373" max="4373" width="8.140625" style="1215" customWidth="1"/>
    <col min="4374" max="4374" width="13" style="1215" bestFit="1" customWidth="1"/>
    <col min="4375" max="4613" width="10.85546875" style="1215"/>
    <col min="4614" max="4614" width="8.85546875" style="1215" customWidth="1"/>
    <col min="4615" max="4615" width="50" style="1215" customWidth="1"/>
    <col min="4616" max="4616" width="6.42578125" style="1215" bestFit="1" customWidth="1"/>
    <col min="4617" max="4617" width="8.85546875" style="1215" customWidth="1"/>
    <col min="4618" max="4618" width="8.5703125" style="1215" customWidth="1"/>
    <col min="4619" max="4619" width="11.42578125" style="1215" bestFit="1" customWidth="1"/>
    <col min="4620" max="4620" width="7.85546875" style="1215" bestFit="1" customWidth="1"/>
    <col min="4621" max="4621" width="11.5703125" style="1215" bestFit="1" customWidth="1"/>
    <col min="4622" max="4622" width="8" style="1215" bestFit="1" customWidth="1"/>
    <col min="4623" max="4623" width="11.5703125" style="1215" bestFit="1" customWidth="1"/>
    <col min="4624" max="4624" width="8.140625" style="1215" bestFit="1" customWidth="1"/>
    <col min="4625" max="4625" width="11.5703125" style="1215" bestFit="1" customWidth="1"/>
    <col min="4626" max="4626" width="8.42578125" style="1215" customWidth="1"/>
    <col min="4627" max="4627" width="7.42578125" style="1215" bestFit="1" customWidth="1"/>
    <col min="4628" max="4628" width="11.5703125" style="1215" bestFit="1" customWidth="1"/>
    <col min="4629" max="4629" width="8.140625" style="1215" customWidth="1"/>
    <col min="4630" max="4630" width="13" style="1215" bestFit="1" customWidth="1"/>
    <col min="4631" max="4869" width="10.85546875" style="1215"/>
    <col min="4870" max="4870" width="8.85546875" style="1215" customWidth="1"/>
    <col min="4871" max="4871" width="50" style="1215" customWidth="1"/>
    <col min="4872" max="4872" width="6.42578125" style="1215" bestFit="1" customWidth="1"/>
    <col min="4873" max="4873" width="8.85546875" style="1215" customWidth="1"/>
    <col min="4874" max="4874" width="8.5703125" style="1215" customWidth="1"/>
    <col min="4875" max="4875" width="11.42578125" style="1215" bestFit="1" customWidth="1"/>
    <col min="4876" max="4876" width="7.85546875" style="1215" bestFit="1" customWidth="1"/>
    <col min="4877" max="4877" width="11.5703125" style="1215" bestFit="1" customWidth="1"/>
    <col min="4878" max="4878" width="8" style="1215" bestFit="1" customWidth="1"/>
    <col min="4879" max="4879" width="11.5703125" style="1215" bestFit="1" customWidth="1"/>
    <col min="4880" max="4880" width="8.140625" style="1215" bestFit="1" customWidth="1"/>
    <col min="4881" max="4881" width="11.5703125" style="1215" bestFit="1" customWidth="1"/>
    <col min="4882" max="4882" width="8.42578125" style="1215" customWidth="1"/>
    <col min="4883" max="4883" width="7.42578125" style="1215" bestFit="1" customWidth="1"/>
    <col min="4884" max="4884" width="11.5703125" style="1215" bestFit="1" customWidth="1"/>
    <col min="4885" max="4885" width="8.140625" style="1215" customWidth="1"/>
    <col min="4886" max="4886" width="13" style="1215" bestFit="1" customWidth="1"/>
    <col min="4887" max="5125" width="10.85546875" style="1215"/>
    <col min="5126" max="5126" width="8.85546875" style="1215" customWidth="1"/>
    <col min="5127" max="5127" width="50" style="1215" customWidth="1"/>
    <col min="5128" max="5128" width="6.42578125" style="1215" bestFit="1" customWidth="1"/>
    <col min="5129" max="5129" width="8.85546875" style="1215" customWidth="1"/>
    <col min="5130" max="5130" width="8.5703125" style="1215" customWidth="1"/>
    <col min="5131" max="5131" width="11.42578125" style="1215" bestFit="1" customWidth="1"/>
    <col min="5132" max="5132" width="7.85546875" style="1215" bestFit="1" customWidth="1"/>
    <col min="5133" max="5133" width="11.5703125" style="1215" bestFit="1" customWidth="1"/>
    <col min="5134" max="5134" width="8" style="1215" bestFit="1" customWidth="1"/>
    <col min="5135" max="5135" width="11.5703125" style="1215" bestFit="1" customWidth="1"/>
    <col min="5136" max="5136" width="8.140625" style="1215" bestFit="1" customWidth="1"/>
    <col min="5137" max="5137" width="11.5703125" style="1215" bestFit="1" customWidth="1"/>
    <col min="5138" max="5138" width="8.42578125" style="1215" customWidth="1"/>
    <col min="5139" max="5139" width="7.42578125" style="1215" bestFit="1" customWidth="1"/>
    <col min="5140" max="5140" width="11.5703125" style="1215" bestFit="1" customWidth="1"/>
    <col min="5141" max="5141" width="8.140625" style="1215" customWidth="1"/>
    <col min="5142" max="5142" width="13" style="1215" bestFit="1" customWidth="1"/>
    <col min="5143" max="5381" width="10.85546875" style="1215"/>
    <col min="5382" max="5382" width="8.85546875" style="1215" customWidth="1"/>
    <col min="5383" max="5383" width="50" style="1215" customWidth="1"/>
    <col min="5384" max="5384" width="6.42578125" style="1215" bestFit="1" customWidth="1"/>
    <col min="5385" max="5385" width="8.85546875" style="1215" customWidth="1"/>
    <col min="5386" max="5386" width="8.5703125" style="1215" customWidth="1"/>
    <col min="5387" max="5387" width="11.42578125" style="1215" bestFit="1" customWidth="1"/>
    <col min="5388" max="5388" width="7.85546875" style="1215" bestFit="1" customWidth="1"/>
    <col min="5389" max="5389" width="11.5703125" style="1215" bestFit="1" customWidth="1"/>
    <col min="5390" max="5390" width="8" style="1215" bestFit="1" customWidth="1"/>
    <col min="5391" max="5391" width="11.5703125" style="1215" bestFit="1" customWidth="1"/>
    <col min="5392" max="5392" width="8.140625" style="1215" bestFit="1" customWidth="1"/>
    <col min="5393" max="5393" width="11.5703125" style="1215" bestFit="1" customWidth="1"/>
    <col min="5394" max="5394" width="8.42578125" style="1215" customWidth="1"/>
    <col min="5395" max="5395" width="7.42578125" style="1215" bestFit="1" customWidth="1"/>
    <col min="5396" max="5396" width="11.5703125" style="1215" bestFit="1" customWidth="1"/>
    <col min="5397" max="5397" width="8.140625" style="1215" customWidth="1"/>
    <col min="5398" max="5398" width="13" style="1215" bestFit="1" customWidth="1"/>
    <col min="5399" max="5637" width="10.85546875" style="1215"/>
    <col min="5638" max="5638" width="8.85546875" style="1215" customWidth="1"/>
    <col min="5639" max="5639" width="50" style="1215" customWidth="1"/>
    <col min="5640" max="5640" width="6.42578125" style="1215" bestFit="1" customWidth="1"/>
    <col min="5641" max="5641" width="8.85546875" style="1215" customWidth="1"/>
    <col min="5642" max="5642" width="8.5703125" style="1215" customWidth="1"/>
    <col min="5643" max="5643" width="11.42578125" style="1215" bestFit="1" customWidth="1"/>
    <col min="5644" max="5644" width="7.85546875" style="1215" bestFit="1" customWidth="1"/>
    <col min="5645" max="5645" width="11.5703125" style="1215" bestFit="1" customWidth="1"/>
    <col min="5646" max="5646" width="8" style="1215" bestFit="1" customWidth="1"/>
    <col min="5647" max="5647" width="11.5703125" style="1215" bestFit="1" customWidth="1"/>
    <col min="5648" max="5648" width="8.140625" style="1215" bestFit="1" customWidth="1"/>
    <col min="5649" max="5649" width="11.5703125" style="1215" bestFit="1" customWidth="1"/>
    <col min="5650" max="5650" width="8.42578125" style="1215" customWidth="1"/>
    <col min="5651" max="5651" width="7.42578125" style="1215" bestFit="1" customWidth="1"/>
    <col min="5652" max="5652" width="11.5703125" style="1215" bestFit="1" customWidth="1"/>
    <col min="5653" max="5653" width="8.140625" style="1215" customWidth="1"/>
    <col min="5654" max="5654" width="13" style="1215" bestFit="1" customWidth="1"/>
    <col min="5655" max="5893" width="10.85546875" style="1215"/>
    <col min="5894" max="5894" width="8.85546875" style="1215" customWidth="1"/>
    <col min="5895" max="5895" width="50" style="1215" customWidth="1"/>
    <col min="5896" max="5896" width="6.42578125" style="1215" bestFit="1" customWidth="1"/>
    <col min="5897" max="5897" width="8.85546875" style="1215" customWidth="1"/>
    <col min="5898" max="5898" width="8.5703125" style="1215" customWidth="1"/>
    <col min="5899" max="5899" width="11.42578125" style="1215" bestFit="1" customWidth="1"/>
    <col min="5900" max="5900" width="7.85546875" style="1215" bestFit="1" customWidth="1"/>
    <col min="5901" max="5901" width="11.5703125" style="1215" bestFit="1" customWidth="1"/>
    <col min="5902" max="5902" width="8" style="1215" bestFit="1" customWidth="1"/>
    <col min="5903" max="5903" width="11.5703125" style="1215" bestFit="1" customWidth="1"/>
    <col min="5904" max="5904" width="8.140625" style="1215" bestFit="1" customWidth="1"/>
    <col min="5905" max="5905" width="11.5703125" style="1215" bestFit="1" customWidth="1"/>
    <col min="5906" max="5906" width="8.42578125" style="1215" customWidth="1"/>
    <col min="5907" max="5907" width="7.42578125" style="1215" bestFit="1" customWidth="1"/>
    <col min="5908" max="5908" width="11.5703125" style="1215" bestFit="1" customWidth="1"/>
    <col min="5909" max="5909" width="8.140625" style="1215" customWidth="1"/>
    <col min="5910" max="5910" width="13" style="1215" bestFit="1" customWidth="1"/>
    <col min="5911" max="6149" width="10.85546875" style="1215"/>
    <col min="6150" max="6150" width="8.85546875" style="1215" customWidth="1"/>
    <col min="6151" max="6151" width="50" style="1215" customWidth="1"/>
    <col min="6152" max="6152" width="6.42578125" style="1215" bestFit="1" customWidth="1"/>
    <col min="6153" max="6153" width="8.85546875" style="1215" customWidth="1"/>
    <col min="6154" max="6154" width="8.5703125" style="1215" customWidth="1"/>
    <col min="6155" max="6155" width="11.42578125" style="1215" bestFit="1" customWidth="1"/>
    <col min="6156" max="6156" width="7.85546875" style="1215" bestFit="1" customWidth="1"/>
    <col min="6157" max="6157" width="11.5703125" style="1215" bestFit="1" customWidth="1"/>
    <col min="6158" max="6158" width="8" style="1215" bestFit="1" customWidth="1"/>
    <col min="6159" max="6159" width="11.5703125" style="1215" bestFit="1" customWidth="1"/>
    <col min="6160" max="6160" width="8.140625" style="1215" bestFit="1" customWidth="1"/>
    <col min="6161" max="6161" width="11.5703125" style="1215" bestFit="1" customWidth="1"/>
    <col min="6162" max="6162" width="8.42578125" style="1215" customWidth="1"/>
    <col min="6163" max="6163" width="7.42578125" style="1215" bestFit="1" customWidth="1"/>
    <col min="6164" max="6164" width="11.5703125" style="1215" bestFit="1" customWidth="1"/>
    <col min="6165" max="6165" width="8.140625" style="1215" customWidth="1"/>
    <col min="6166" max="6166" width="13" style="1215" bestFit="1" customWidth="1"/>
    <col min="6167" max="6405" width="10.85546875" style="1215"/>
    <col min="6406" max="6406" width="8.85546875" style="1215" customWidth="1"/>
    <col min="6407" max="6407" width="50" style="1215" customWidth="1"/>
    <col min="6408" max="6408" width="6.42578125" style="1215" bestFit="1" customWidth="1"/>
    <col min="6409" max="6409" width="8.85546875" style="1215" customWidth="1"/>
    <col min="6410" max="6410" width="8.5703125" style="1215" customWidth="1"/>
    <col min="6411" max="6411" width="11.42578125" style="1215" bestFit="1" customWidth="1"/>
    <col min="6412" max="6412" width="7.85546875" style="1215" bestFit="1" customWidth="1"/>
    <col min="6413" max="6413" width="11.5703125" style="1215" bestFit="1" customWidth="1"/>
    <col min="6414" max="6414" width="8" style="1215" bestFit="1" customWidth="1"/>
    <col min="6415" max="6415" width="11.5703125" style="1215" bestFit="1" customWidth="1"/>
    <col min="6416" max="6416" width="8.140625" style="1215" bestFit="1" customWidth="1"/>
    <col min="6417" max="6417" width="11.5703125" style="1215" bestFit="1" customWidth="1"/>
    <col min="6418" max="6418" width="8.42578125" style="1215" customWidth="1"/>
    <col min="6419" max="6419" width="7.42578125" style="1215" bestFit="1" customWidth="1"/>
    <col min="6420" max="6420" width="11.5703125" style="1215" bestFit="1" customWidth="1"/>
    <col min="6421" max="6421" width="8.140625" style="1215" customWidth="1"/>
    <col min="6422" max="6422" width="13" style="1215" bestFit="1" customWidth="1"/>
    <col min="6423" max="6661" width="10.85546875" style="1215"/>
    <col min="6662" max="6662" width="8.85546875" style="1215" customWidth="1"/>
    <col min="6663" max="6663" width="50" style="1215" customWidth="1"/>
    <col min="6664" max="6664" width="6.42578125" style="1215" bestFit="1" customWidth="1"/>
    <col min="6665" max="6665" width="8.85546875" style="1215" customWidth="1"/>
    <col min="6666" max="6666" width="8.5703125" style="1215" customWidth="1"/>
    <col min="6667" max="6667" width="11.42578125" style="1215" bestFit="1" customWidth="1"/>
    <col min="6668" max="6668" width="7.85546875" style="1215" bestFit="1" customWidth="1"/>
    <col min="6669" max="6669" width="11.5703125" style="1215" bestFit="1" customWidth="1"/>
    <col min="6670" max="6670" width="8" style="1215" bestFit="1" customWidth="1"/>
    <col min="6671" max="6671" width="11.5703125" style="1215" bestFit="1" customWidth="1"/>
    <col min="6672" max="6672" width="8.140625" style="1215" bestFit="1" customWidth="1"/>
    <col min="6673" max="6673" width="11.5703125" style="1215" bestFit="1" customWidth="1"/>
    <col min="6674" max="6674" width="8.42578125" style="1215" customWidth="1"/>
    <col min="6675" max="6675" width="7.42578125" style="1215" bestFit="1" customWidth="1"/>
    <col min="6676" max="6676" width="11.5703125" style="1215" bestFit="1" customWidth="1"/>
    <col min="6677" max="6677" width="8.140625" style="1215" customWidth="1"/>
    <col min="6678" max="6678" width="13" style="1215" bestFit="1" customWidth="1"/>
    <col min="6679" max="6917" width="10.85546875" style="1215"/>
    <col min="6918" max="6918" width="8.85546875" style="1215" customWidth="1"/>
    <col min="6919" max="6919" width="50" style="1215" customWidth="1"/>
    <col min="6920" max="6920" width="6.42578125" style="1215" bestFit="1" customWidth="1"/>
    <col min="6921" max="6921" width="8.85546875" style="1215" customWidth="1"/>
    <col min="6922" max="6922" width="8.5703125" style="1215" customWidth="1"/>
    <col min="6923" max="6923" width="11.42578125" style="1215" bestFit="1" customWidth="1"/>
    <col min="6924" max="6924" width="7.85546875" style="1215" bestFit="1" customWidth="1"/>
    <col min="6925" max="6925" width="11.5703125" style="1215" bestFit="1" customWidth="1"/>
    <col min="6926" max="6926" width="8" style="1215" bestFit="1" customWidth="1"/>
    <col min="6927" max="6927" width="11.5703125" style="1215" bestFit="1" customWidth="1"/>
    <col min="6928" max="6928" width="8.140625" style="1215" bestFit="1" customWidth="1"/>
    <col min="6929" max="6929" width="11.5703125" style="1215" bestFit="1" customWidth="1"/>
    <col min="6930" max="6930" width="8.42578125" style="1215" customWidth="1"/>
    <col min="6931" max="6931" width="7.42578125" style="1215" bestFit="1" customWidth="1"/>
    <col min="6932" max="6932" width="11.5703125" style="1215" bestFit="1" customWidth="1"/>
    <col min="6933" max="6933" width="8.140625" style="1215" customWidth="1"/>
    <col min="6934" max="6934" width="13" style="1215" bestFit="1" customWidth="1"/>
    <col min="6935" max="7173" width="10.85546875" style="1215"/>
    <col min="7174" max="7174" width="8.85546875" style="1215" customWidth="1"/>
    <col min="7175" max="7175" width="50" style="1215" customWidth="1"/>
    <col min="7176" max="7176" width="6.42578125" style="1215" bestFit="1" customWidth="1"/>
    <col min="7177" max="7177" width="8.85546875" style="1215" customWidth="1"/>
    <col min="7178" max="7178" width="8.5703125" style="1215" customWidth="1"/>
    <col min="7179" max="7179" width="11.42578125" style="1215" bestFit="1" customWidth="1"/>
    <col min="7180" max="7180" width="7.85546875" style="1215" bestFit="1" customWidth="1"/>
    <col min="7181" max="7181" width="11.5703125" style="1215" bestFit="1" customWidth="1"/>
    <col min="7182" max="7182" width="8" style="1215" bestFit="1" customWidth="1"/>
    <col min="7183" max="7183" width="11.5703125" style="1215" bestFit="1" customWidth="1"/>
    <col min="7184" max="7184" width="8.140625" style="1215" bestFit="1" customWidth="1"/>
    <col min="7185" max="7185" width="11.5703125" style="1215" bestFit="1" customWidth="1"/>
    <col min="7186" max="7186" width="8.42578125" style="1215" customWidth="1"/>
    <col min="7187" max="7187" width="7.42578125" style="1215" bestFit="1" customWidth="1"/>
    <col min="7188" max="7188" width="11.5703125" style="1215" bestFit="1" customWidth="1"/>
    <col min="7189" max="7189" width="8.140625" style="1215" customWidth="1"/>
    <col min="7190" max="7190" width="13" style="1215" bestFit="1" customWidth="1"/>
    <col min="7191" max="7429" width="10.85546875" style="1215"/>
    <col min="7430" max="7430" width="8.85546875" style="1215" customWidth="1"/>
    <col min="7431" max="7431" width="50" style="1215" customWidth="1"/>
    <col min="7432" max="7432" width="6.42578125" style="1215" bestFit="1" customWidth="1"/>
    <col min="7433" max="7433" width="8.85546875" style="1215" customWidth="1"/>
    <col min="7434" max="7434" width="8.5703125" style="1215" customWidth="1"/>
    <col min="7435" max="7435" width="11.42578125" style="1215" bestFit="1" customWidth="1"/>
    <col min="7436" max="7436" width="7.85546875" style="1215" bestFit="1" customWidth="1"/>
    <col min="7437" max="7437" width="11.5703125" style="1215" bestFit="1" customWidth="1"/>
    <col min="7438" max="7438" width="8" style="1215" bestFit="1" customWidth="1"/>
    <col min="7439" max="7439" width="11.5703125" style="1215" bestFit="1" customWidth="1"/>
    <col min="7440" max="7440" width="8.140625" style="1215" bestFit="1" customWidth="1"/>
    <col min="7441" max="7441" width="11.5703125" style="1215" bestFit="1" customWidth="1"/>
    <col min="7442" max="7442" width="8.42578125" style="1215" customWidth="1"/>
    <col min="7443" max="7443" width="7.42578125" style="1215" bestFit="1" customWidth="1"/>
    <col min="7444" max="7444" width="11.5703125" style="1215" bestFit="1" customWidth="1"/>
    <col min="7445" max="7445" width="8.140625" style="1215" customWidth="1"/>
    <col min="7446" max="7446" width="13" style="1215" bestFit="1" customWidth="1"/>
    <col min="7447" max="7685" width="10.85546875" style="1215"/>
    <col min="7686" max="7686" width="8.85546875" style="1215" customWidth="1"/>
    <col min="7687" max="7687" width="50" style="1215" customWidth="1"/>
    <col min="7688" max="7688" width="6.42578125" style="1215" bestFit="1" customWidth="1"/>
    <col min="7689" max="7689" width="8.85546875" style="1215" customWidth="1"/>
    <col min="7690" max="7690" width="8.5703125" style="1215" customWidth="1"/>
    <col min="7691" max="7691" width="11.42578125" style="1215" bestFit="1" customWidth="1"/>
    <col min="7692" max="7692" width="7.85546875" style="1215" bestFit="1" customWidth="1"/>
    <col min="7693" max="7693" width="11.5703125" style="1215" bestFit="1" customWidth="1"/>
    <col min="7694" max="7694" width="8" style="1215" bestFit="1" customWidth="1"/>
    <col min="7695" max="7695" width="11.5703125" style="1215" bestFit="1" customWidth="1"/>
    <col min="7696" max="7696" width="8.140625" style="1215" bestFit="1" customWidth="1"/>
    <col min="7697" max="7697" width="11.5703125" style="1215" bestFit="1" customWidth="1"/>
    <col min="7698" max="7698" width="8.42578125" style="1215" customWidth="1"/>
    <col min="7699" max="7699" width="7.42578125" style="1215" bestFit="1" customWidth="1"/>
    <col min="7700" max="7700" width="11.5703125" style="1215" bestFit="1" customWidth="1"/>
    <col min="7701" max="7701" width="8.140625" style="1215" customWidth="1"/>
    <col min="7702" max="7702" width="13" style="1215" bestFit="1" customWidth="1"/>
    <col min="7703" max="7941" width="10.85546875" style="1215"/>
    <col min="7942" max="7942" width="8.85546875" style="1215" customWidth="1"/>
    <col min="7943" max="7943" width="50" style="1215" customWidth="1"/>
    <col min="7944" max="7944" width="6.42578125" style="1215" bestFit="1" customWidth="1"/>
    <col min="7945" max="7945" width="8.85546875" style="1215" customWidth="1"/>
    <col min="7946" max="7946" width="8.5703125" style="1215" customWidth="1"/>
    <col min="7947" max="7947" width="11.42578125" style="1215" bestFit="1" customWidth="1"/>
    <col min="7948" max="7948" width="7.85546875" style="1215" bestFit="1" customWidth="1"/>
    <col min="7949" max="7949" width="11.5703125" style="1215" bestFit="1" customWidth="1"/>
    <col min="7950" max="7950" width="8" style="1215" bestFit="1" customWidth="1"/>
    <col min="7951" max="7951" width="11.5703125" style="1215" bestFit="1" customWidth="1"/>
    <col min="7952" max="7952" width="8.140625" style="1215" bestFit="1" customWidth="1"/>
    <col min="7953" max="7953" width="11.5703125" style="1215" bestFit="1" customWidth="1"/>
    <col min="7954" max="7954" width="8.42578125" style="1215" customWidth="1"/>
    <col min="7955" max="7955" width="7.42578125" style="1215" bestFit="1" customWidth="1"/>
    <col min="7956" max="7956" width="11.5703125" style="1215" bestFit="1" customWidth="1"/>
    <col min="7957" max="7957" width="8.140625" style="1215" customWidth="1"/>
    <col min="7958" max="7958" width="13" style="1215" bestFit="1" customWidth="1"/>
    <col min="7959" max="8197" width="10.85546875" style="1215"/>
    <col min="8198" max="8198" width="8.85546875" style="1215" customWidth="1"/>
    <col min="8199" max="8199" width="50" style="1215" customWidth="1"/>
    <col min="8200" max="8200" width="6.42578125" style="1215" bestFit="1" customWidth="1"/>
    <col min="8201" max="8201" width="8.85546875" style="1215" customWidth="1"/>
    <col min="8202" max="8202" width="8.5703125" style="1215" customWidth="1"/>
    <col min="8203" max="8203" width="11.42578125" style="1215" bestFit="1" customWidth="1"/>
    <col min="8204" max="8204" width="7.85546875" style="1215" bestFit="1" customWidth="1"/>
    <col min="8205" max="8205" width="11.5703125" style="1215" bestFit="1" customWidth="1"/>
    <col min="8206" max="8206" width="8" style="1215" bestFit="1" customWidth="1"/>
    <col min="8207" max="8207" width="11.5703125" style="1215" bestFit="1" customWidth="1"/>
    <col min="8208" max="8208" width="8.140625" style="1215" bestFit="1" customWidth="1"/>
    <col min="8209" max="8209" width="11.5703125" style="1215" bestFit="1" customWidth="1"/>
    <col min="8210" max="8210" width="8.42578125" style="1215" customWidth="1"/>
    <col min="8211" max="8211" width="7.42578125" style="1215" bestFit="1" customWidth="1"/>
    <col min="8212" max="8212" width="11.5703125" style="1215" bestFit="1" customWidth="1"/>
    <col min="8213" max="8213" width="8.140625" style="1215" customWidth="1"/>
    <col min="8214" max="8214" width="13" style="1215" bestFit="1" customWidth="1"/>
    <col min="8215" max="8453" width="10.85546875" style="1215"/>
    <col min="8454" max="8454" width="8.85546875" style="1215" customWidth="1"/>
    <col min="8455" max="8455" width="50" style="1215" customWidth="1"/>
    <col min="8456" max="8456" width="6.42578125" style="1215" bestFit="1" customWidth="1"/>
    <col min="8457" max="8457" width="8.85546875" style="1215" customWidth="1"/>
    <col min="8458" max="8458" width="8.5703125" style="1215" customWidth="1"/>
    <col min="8459" max="8459" width="11.42578125" style="1215" bestFit="1" customWidth="1"/>
    <col min="8460" max="8460" width="7.85546875" style="1215" bestFit="1" customWidth="1"/>
    <col min="8461" max="8461" width="11.5703125" style="1215" bestFit="1" customWidth="1"/>
    <col min="8462" max="8462" width="8" style="1215" bestFit="1" customWidth="1"/>
    <col min="8463" max="8463" width="11.5703125" style="1215" bestFit="1" customWidth="1"/>
    <col min="8464" max="8464" width="8.140625" style="1215" bestFit="1" customWidth="1"/>
    <col min="8465" max="8465" width="11.5703125" style="1215" bestFit="1" customWidth="1"/>
    <col min="8466" max="8466" width="8.42578125" style="1215" customWidth="1"/>
    <col min="8467" max="8467" width="7.42578125" style="1215" bestFit="1" customWidth="1"/>
    <col min="8468" max="8468" width="11.5703125" style="1215" bestFit="1" customWidth="1"/>
    <col min="8469" max="8469" width="8.140625" style="1215" customWidth="1"/>
    <col min="8470" max="8470" width="13" style="1215" bestFit="1" customWidth="1"/>
    <col min="8471" max="8709" width="10.85546875" style="1215"/>
    <col min="8710" max="8710" width="8.85546875" style="1215" customWidth="1"/>
    <col min="8711" max="8711" width="50" style="1215" customWidth="1"/>
    <col min="8712" max="8712" width="6.42578125" style="1215" bestFit="1" customWidth="1"/>
    <col min="8713" max="8713" width="8.85546875" style="1215" customWidth="1"/>
    <col min="8714" max="8714" width="8.5703125" style="1215" customWidth="1"/>
    <col min="8715" max="8715" width="11.42578125" style="1215" bestFit="1" customWidth="1"/>
    <col min="8716" max="8716" width="7.85546875" style="1215" bestFit="1" customWidth="1"/>
    <col min="8717" max="8717" width="11.5703125" style="1215" bestFit="1" customWidth="1"/>
    <col min="8718" max="8718" width="8" style="1215" bestFit="1" customWidth="1"/>
    <col min="8719" max="8719" width="11.5703125" style="1215" bestFit="1" customWidth="1"/>
    <col min="8720" max="8720" width="8.140625" style="1215" bestFit="1" customWidth="1"/>
    <col min="8721" max="8721" width="11.5703125" style="1215" bestFit="1" customWidth="1"/>
    <col min="8722" max="8722" width="8.42578125" style="1215" customWidth="1"/>
    <col min="8723" max="8723" width="7.42578125" style="1215" bestFit="1" customWidth="1"/>
    <col min="8724" max="8724" width="11.5703125" style="1215" bestFit="1" customWidth="1"/>
    <col min="8725" max="8725" width="8.140625" style="1215" customWidth="1"/>
    <col min="8726" max="8726" width="13" style="1215" bestFit="1" customWidth="1"/>
    <col min="8727" max="8965" width="10.85546875" style="1215"/>
    <col min="8966" max="8966" width="8.85546875" style="1215" customWidth="1"/>
    <col min="8967" max="8967" width="50" style="1215" customWidth="1"/>
    <col min="8968" max="8968" width="6.42578125" style="1215" bestFit="1" customWidth="1"/>
    <col min="8969" max="8969" width="8.85546875" style="1215" customWidth="1"/>
    <col min="8970" max="8970" width="8.5703125" style="1215" customWidth="1"/>
    <col min="8971" max="8971" width="11.42578125" style="1215" bestFit="1" customWidth="1"/>
    <col min="8972" max="8972" width="7.85546875" style="1215" bestFit="1" customWidth="1"/>
    <col min="8973" max="8973" width="11.5703125" style="1215" bestFit="1" customWidth="1"/>
    <col min="8974" max="8974" width="8" style="1215" bestFit="1" customWidth="1"/>
    <col min="8975" max="8975" width="11.5703125" style="1215" bestFit="1" customWidth="1"/>
    <col min="8976" max="8976" width="8.140625" style="1215" bestFit="1" customWidth="1"/>
    <col min="8977" max="8977" width="11.5703125" style="1215" bestFit="1" customWidth="1"/>
    <col min="8978" max="8978" width="8.42578125" style="1215" customWidth="1"/>
    <col min="8979" max="8979" width="7.42578125" style="1215" bestFit="1" customWidth="1"/>
    <col min="8980" max="8980" width="11.5703125" style="1215" bestFit="1" customWidth="1"/>
    <col min="8981" max="8981" width="8.140625" style="1215" customWidth="1"/>
    <col min="8982" max="8982" width="13" style="1215" bestFit="1" customWidth="1"/>
    <col min="8983" max="9221" width="10.85546875" style="1215"/>
    <col min="9222" max="9222" width="8.85546875" style="1215" customWidth="1"/>
    <col min="9223" max="9223" width="50" style="1215" customWidth="1"/>
    <col min="9224" max="9224" width="6.42578125" style="1215" bestFit="1" customWidth="1"/>
    <col min="9225" max="9225" width="8.85546875" style="1215" customWidth="1"/>
    <col min="9226" max="9226" width="8.5703125" style="1215" customWidth="1"/>
    <col min="9227" max="9227" width="11.42578125" style="1215" bestFit="1" customWidth="1"/>
    <col min="9228" max="9228" width="7.85546875" style="1215" bestFit="1" customWidth="1"/>
    <col min="9229" max="9229" width="11.5703125" style="1215" bestFit="1" customWidth="1"/>
    <col min="9230" max="9230" width="8" style="1215" bestFit="1" customWidth="1"/>
    <col min="9231" max="9231" width="11.5703125" style="1215" bestFit="1" customWidth="1"/>
    <col min="9232" max="9232" width="8.140625" style="1215" bestFit="1" customWidth="1"/>
    <col min="9233" max="9233" width="11.5703125" style="1215" bestFit="1" customWidth="1"/>
    <col min="9234" max="9234" width="8.42578125" style="1215" customWidth="1"/>
    <col min="9235" max="9235" width="7.42578125" style="1215" bestFit="1" customWidth="1"/>
    <col min="9236" max="9236" width="11.5703125" style="1215" bestFit="1" customWidth="1"/>
    <col min="9237" max="9237" width="8.140625" style="1215" customWidth="1"/>
    <col min="9238" max="9238" width="13" style="1215" bestFit="1" customWidth="1"/>
    <col min="9239" max="9477" width="10.85546875" style="1215"/>
    <col min="9478" max="9478" width="8.85546875" style="1215" customWidth="1"/>
    <col min="9479" max="9479" width="50" style="1215" customWidth="1"/>
    <col min="9480" max="9480" width="6.42578125" style="1215" bestFit="1" customWidth="1"/>
    <col min="9481" max="9481" width="8.85546875" style="1215" customWidth="1"/>
    <col min="9482" max="9482" width="8.5703125" style="1215" customWidth="1"/>
    <col min="9483" max="9483" width="11.42578125" style="1215" bestFit="1" customWidth="1"/>
    <col min="9484" max="9484" width="7.85546875" style="1215" bestFit="1" customWidth="1"/>
    <col min="9485" max="9485" width="11.5703125" style="1215" bestFit="1" customWidth="1"/>
    <col min="9486" max="9486" width="8" style="1215" bestFit="1" customWidth="1"/>
    <col min="9487" max="9487" width="11.5703125" style="1215" bestFit="1" customWidth="1"/>
    <col min="9488" max="9488" width="8.140625" style="1215" bestFit="1" customWidth="1"/>
    <col min="9489" max="9489" width="11.5703125" style="1215" bestFit="1" customWidth="1"/>
    <col min="9490" max="9490" width="8.42578125" style="1215" customWidth="1"/>
    <col min="9491" max="9491" width="7.42578125" style="1215" bestFit="1" customWidth="1"/>
    <col min="9492" max="9492" width="11.5703125" style="1215" bestFit="1" customWidth="1"/>
    <col min="9493" max="9493" width="8.140625" style="1215" customWidth="1"/>
    <col min="9494" max="9494" width="13" style="1215" bestFit="1" customWidth="1"/>
    <col min="9495" max="9733" width="10.85546875" style="1215"/>
    <col min="9734" max="9734" width="8.85546875" style="1215" customWidth="1"/>
    <col min="9735" max="9735" width="50" style="1215" customWidth="1"/>
    <col min="9736" max="9736" width="6.42578125" style="1215" bestFit="1" customWidth="1"/>
    <col min="9737" max="9737" width="8.85546875" style="1215" customWidth="1"/>
    <col min="9738" max="9738" width="8.5703125" style="1215" customWidth="1"/>
    <col min="9739" max="9739" width="11.42578125" style="1215" bestFit="1" customWidth="1"/>
    <col min="9740" max="9740" width="7.85546875" style="1215" bestFit="1" customWidth="1"/>
    <col min="9741" max="9741" width="11.5703125" style="1215" bestFit="1" customWidth="1"/>
    <col min="9742" max="9742" width="8" style="1215" bestFit="1" customWidth="1"/>
    <col min="9743" max="9743" width="11.5703125" style="1215" bestFit="1" customWidth="1"/>
    <col min="9744" max="9744" width="8.140625" style="1215" bestFit="1" customWidth="1"/>
    <col min="9745" max="9745" width="11.5703125" style="1215" bestFit="1" customWidth="1"/>
    <col min="9746" max="9746" width="8.42578125" style="1215" customWidth="1"/>
    <col min="9747" max="9747" width="7.42578125" style="1215" bestFit="1" customWidth="1"/>
    <col min="9748" max="9748" width="11.5703125" style="1215" bestFit="1" customWidth="1"/>
    <col min="9749" max="9749" width="8.140625" style="1215" customWidth="1"/>
    <col min="9750" max="9750" width="13" style="1215" bestFit="1" customWidth="1"/>
    <col min="9751" max="9989" width="10.85546875" style="1215"/>
    <col min="9990" max="9990" width="8.85546875" style="1215" customWidth="1"/>
    <col min="9991" max="9991" width="50" style="1215" customWidth="1"/>
    <col min="9992" max="9992" width="6.42578125" style="1215" bestFit="1" customWidth="1"/>
    <col min="9993" max="9993" width="8.85546875" style="1215" customWidth="1"/>
    <col min="9994" max="9994" width="8.5703125" style="1215" customWidth="1"/>
    <col min="9995" max="9995" width="11.42578125" style="1215" bestFit="1" customWidth="1"/>
    <col min="9996" max="9996" width="7.85546875" style="1215" bestFit="1" customWidth="1"/>
    <col min="9997" max="9997" width="11.5703125" style="1215" bestFit="1" customWidth="1"/>
    <col min="9998" max="9998" width="8" style="1215" bestFit="1" customWidth="1"/>
    <col min="9999" max="9999" width="11.5703125" style="1215" bestFit="1" customWidth="1"/>
    <col min="10000" max="10000" width="8.140625" style="1215" bestFit="1" customWidth="1"/>
    <col min="10001" max="10001" width="11.5703125" style="1215" bestFit="1" customWidth="1"/>
    <col min="10002" max="10002" width="8.42578125" style="1215" customWidth="1"/>
    <col min="10003" max="10003" width="7.42578125" style="1215" bestFit="1" customWidth="1"/>
    <col min="10004" max="10004" width="11.5703125" style="1215" bestFit="1" customWidth="1"/>
    <col min="10005" max="10005" width="8.140625" style="1215" customWidth="1"/>
    <col min="10006" max="10006" width="13" style="1215" bestFit="1" customWidth="1"/>
    <col min="10007" max="10245" width="10.85546875" style="1215"/>
    <col min="10246" max="10246" width="8.85546875" style="1215" customWidth="1"/>
    <col min="10247" max="10247" width="50" style="1215" customWidth="1"/>
    <col min="10248" max="10248" width="6.42578125" style="1215" bestFit="1" customWidth="1"/>
    <col min="10249" max="10249" width="8.85546875" style="1215" customWidth="1"/>
    <col min="10250" max="10250" width="8.5703125" style="1215" customWidth="1"/>
    <col min="10251" max="10251" width="11.42578125" style="1215" bestFit="1" customWidth="1"/>
    <col min="10252" max="10252" width="7.85546875" style="1215" bestFit="1" customWidth="1"/>
    <col min="10253" max="10253" width="11.5703125" style="1215" bestFit="1" customWidth="1"/>
    <col min="10254" max="10254" width="8" style="1215" bestFit="1" customWidth="1"/>
    <col min="10255" max="10255" width="11.5703125" style="1215" bestFit="1" customWidth="1"/>
    <col min="10256" max="10256" width="8.140625" style="1215" bestFit="1" customWidth="1"/>
    <col min="10257" max="10257" width="11.5703125" style="1215" bestFit="1" customWidth="1"/>
    <col min="10258" max="10258" width="8.42578125" style="1215" customWidth="1"/>
    <col min="10259" max="10259" width="7.42578125" style="1215" bestFit="1" customWidth="1"/>
    <col min="10260" max="10260" width="11.5703125" style="1215" bestFit="1" customWidth="1"/>
    <col min="10261" max="10261" width="8.140625" style="1215" customWidth="1"/>
    <col min="10262" max="10262" width="13" style="1215" bestFit="1" customWidth="1"/>
    <col min="10263" max="10501" width="10.85546875" style="1215"/>
    <col min="10502" max="10502" width="8.85546875" style="1215" customWidth="1"/>
    <col min="10503" max="10503" width="50" style="1215" customWidth="1"/>
    <col min="10504" max="10504" width="6.42578125" style="1215" bestFit="1" customWidth="1"/>
    <col min="10505" max="10505" width="8.85546875" style="1215" customWidth="1"/>
    <col min="10506" max="10506" width="8.5703125" style="1215" customWidth="1"/>
    <col min="10507" max="10507" width="11.42578125" style="1215" bestFit="1" customWidth="1"/>
    <col min="10508" max="10508" width="7.85546875" style="1215" bestFit="1" customWidth="1"/>
    <col min="10509" max="10509" width="11.5703125" style="1215" bestFit="1" customWidth="1"/>
    <col min="10510" max="10510" width="8" style="1215" bestFit="1" customWidth="1"/>
    <col min="10511" max="10511" width="11.5703125" style="1215" bestFit="1" customWidth="1"/>
    <col min="10512" max="10512" width="8.140625" style="1215" bestFit="1" customWidth="1"/>
    <col min="10513" max="10513" width="11.5703125" style="1215" bestFit="1" customWidth="1"/>
    <col min="10514" max="10514" width="8.42578125" style="1215" customWidth="1"/>
    <col min="10515" max="10515" width="7.42578125" style="1215" bestFit="1" customWidth="1"/>
    <col min="10516" max="10516" width="11.5703125" style="1215" bestFit="1" customWidth="1"/>
    <col min="10517" max="10517" width="8.140625" style="1215" customWidth="1"/>
    <col min="10518" max="10518" width="13" style="1215" bestFit="1" customWidth="1"/>
    <col min="10519" max="10757" width="10.85546875" style="1215"/>
    <col min="10758" max="10758" width="8.85546875" style="1215" customWidth="1"/>
    <col min="10759" max="10759" width="50" style="1215" customWidth="1"/>
    <col min="10760" max="10760" width="6.42578125" style="1215" bestFit="1" customWidth="1"/>
    <col min="10761" max="10761" width="8.85546875" style="1215" customWidth="1"/>
    <col min="10762" max="10762" width="8.5703125" style="1215" customWidth="1"/>
    <col min="10763" max="10763" width="11.42578125" style="1215" bestFit="1" customWidth="1"/>
    <col min="10764" max="10764" width="7.85546875" style="1215" bestFit="1" customWidth="1"/>
    <col min="10765" max="10765" width="11.5703125" style="1215" bestFit="1" customWidth="1"/>
    <col min="10766" max="10766" width="8" style="1215" bestFit="1" customWidth="1"/>
    <col min="10767" max="10767" width="11.5703125" style="1215" bestFit="1" customWidth="1"/>
    <col min="10768" max="10768" width="8.140625" style="1215" bestFit="1" customWidth="1"/>
    <col min="10769" max="10769" width="11.5703125" style="1215" bestFit="1" customWidth="1"/>
    <col min="10770" max="10770" width="8.42578125" style="1215" customWidth="1"/>
    <col min="10771" max="10771" width="7.42578125" style="1215" bestFit="1" customWidth="1"/>
    <col min="10772" max="10772" width="11.5703125" style="1215" bestFit="1" customWidth="1"/>
    <col min="10773" max="10773" width="8.140625" style="1215" customWidth="1"/>
    <col min="10774" max="10774" width="13" style="1215" bestFit="1" customWidth="1"/>
    <col min="10775" max="11013" width="10.85546875" style="1215"/>
    <col min="11014" max="11014" width="8.85546875" style="1215" customWidth="1"/>
    <col min="11015" max="11015" width="50" style="1215" customWidth="1"/>
    <col min="11016" max="11016" width="6.42578125" style="1215" bestFit="1" customWidth="1"/>
    <col min="11017" max="11017" width="8.85546875" style="1215" customWidth="1"/>
    <col min="11018" max="11018" width="8.5703125" style="1215" customWidth="1"/>
    <col min="11019" max="11019" width="11.42578125" style="1215" bestFit="1" customWidth="1"/>
    <col min="11020" max="11020" width="7.85546875" style="1215" bestFit="1" customWidth="1"/>
    <col min="11021" max="11021" width="11.5703125" style="1215" bestFit="1" customWidth="1"/>
    <col min="11022" max="11022" width="8" style="1215" bestFit="1" customWidth="1"/>
    <col min="11023" max="11023" width="11.5703125" style="1215" bestFit="1" customWidth="1"/>
    <col min="11024" max="11024" width="8.140625" style="1215" bestFit="1" customWidth="1"/>
    <col min="11025" max="11025" width="11.5703125" style="1215" bestFit="1" customWidth="1"/>
    <col min="11026" max="11026" width="8.42578125" style="1215" customWidth="1"/>
    <col min="11027" max="11027" width="7.42578125" style="1215" bestFit="1" customWidth="1"/>
    <col min="11028" max="11028" width="11.5703125" style="1215" bestFit="1" customWidth="1"/>
    <col min="11029" max="11029" width="8.140625" style="1215" customWidth="1"/>
    <col min="11030" max="11030" width="13" style="1215" bestFit="1" customWidth="1"/>
    <col min="11031" max="11269" width="10.85546875" style="1215"/>
    <col min="11270" max="11270" width="8.85546875" style="1215" customWidth="1"/>
    <col min="11271" max="11271" width="50" style="1215" customWidth="1"/>
    <col min="11272" max="11272" width="6.42578125" style="1215" bestFit="1" customWidth="1"/>
    <col min="11273" max="11273" width="8.85546875" style="1215" customWidth="1"/>
    <col min="11274" max="11274" width="8.5703125" style="1215" customWidth="1"/>
    <col min="11275" max="11275" width="11.42578125" style="1215" bestFit="1" customWidth="1"/>
    <col min="11276" max="11276" width="7.85546875" style="1215" bestFit="1" customWidth="1"/>
    <col min="11277" max="11277" width="11.5703125" style="1215" bestFit="1" customWidth="1"/>
    <col min="11278" max="11278" width="8" style="1215" bestFit="1" customWidth="1"/>
    <col min="11279" max="11279" width="11.5703125" style="1215" bestFit="1" customWidth="1"/>
    <col min="11280" max="11280" width="8.140625" style="1215" bestFit="1" customWidth="1"/>
    <col min="11281" max="11281" width="11.5703125" style="1215" bestFit="1" customWidth="1"/>
    <col min="11282" max="11282" width="8.42578125" style="1215" customWidth="1"/>
    <col min="11283" max="11283" width="7.42578125" style="1215" bestFit="1" customWidth="1"/>
    <col min="11284" max="11284" width="11.5703125" style="1215" bestFit="1" customWidth="1"/>
    <col min="11285" max="11285" width="8.140625" style="1215" customWidth="1"/>
    <col min="11286" max="11286" width="13" style="1215" bestFit="1" customWidth="1"/>
    <col min="11287" max="11525" width="10.85546875" style="1215"/>
    <col min="11526" max="11526" width="8.85546875" style="1215" customWidth="1"/>
    <col min="11527" max="11527" width="50" style="1215" customWidth="1"/>
    <col min="11528" max="11528" width="6.42578125" style="1215" bestFit="1" customWidth="1"/>
    <col min="11529" max="11529" width="8.85546875" style="1215" customWidth="1"/>
    <col min="11530" max="11530" width="8.5703125" style="1215" customWidth="1"/>
    <col min="11531" max="11531" width="11.42578125" style="1215" bestFit="1" customWidth="1"/>
    <col min="11532" max="11532" width="7.85546875" style="1215" bestFit="1" customWidth="1"/>
    <col min="11533" max="11533" width="11.5703125" style="1215" bestFit="1" customWidth="1"/>
    <col min="11534" max="11534" width="8" style="1215" bestFit="1" customWidth="1"/>
    <col min="11535" max="11535" width="11.5703125" style="1215" bestFit="1" customWidth="1"/>
    <col min="11536" max="11536" width="8.140625" style="1215" bestFit="1" customWidth="1"/>
    <col min="11537" max="11537" width="11.5703125" style="1215" bestFit="1" customWidth="1"/>
    <col min="11538" max="11538" width="8.42578125" style="1215" customWidth="1"/>
    <col min="11539" max="11539" width="7.42578125" style="1215" bestFit="1" customWidth="1"/>
    <col min="11540" max="11540" width="11.5703125" style="1215" bestFit="1" customWidth="1"/>
    <col min="11541" max="11541" width="8.140625" style="1215" customWidth="1"/>
    <col min="11542" max="11542" width="13" style="1215" bestFit="1" customWidth="1"/>
    <col min="11543" max="11781" width="10.85546875" style="1215"/>
    <col min="11782" max="11782" width="8.85546875" style="1215" customWidth="1"/>
    <col min="11783" max="11783" width="50" style="1215" customWidth="1"/>
    <col min="11784" max="11784" width="6.42578125" style="1215" bestFit="1" customWidth="1"/>
    <col min="11785" max="11785" width="8.85546875" style="1215" customWidth="1"/>
    <col min="11786" max="11786" width="8.5703125" style="1215" customWidth="1"/>
    <col min="11787" max="11787" width="11.42578125" style="1215" bestFit="1" customWidth="1"/>
    <col min="11788" max="11788" width="7.85546875" style="1215" bestFit="1" customWidth="1"/>
    <col min="11789" max="11789" width="11.5703125" style="1215" bestFit="1" customWidth="1"/>
    <col min="11790" max="11790" width="8" style="1215" bestFit="1" customWidth="1"/>
    <col min="11791" max="11791" width="11.5703125" style="1215" bestFit="1" customWidth="1"/>
    <col min="11792" max="11792" width="8.140625" style="1215" bestFit="1" customWidth="1"/>
    <col min="11793" max="11793" width="11.5703125" style="1215" bestFit="1" customWidth="1"/>
    <col min="11794" max="11794" width="8.42578125" style="1215" customWidth="1"/>
    <col min="11795" max="11795" width="7.42578125" style="1215" bestFit="1" customWidth="1"/>
    <col min="11796" max="11796" width="11.5703125" style="1215" bestFit="1" customWidth="1"/>
    <col min="11797" max="11797" width="8.140625" style="1215" customWidth="1"/>
    <col min="11798" max="11798" width="13" style="1215" bestFit="1" customWidth="1"/>
    <col min="11799" max="12037" width="10.85546875" style="1215"/>
    <col min="12038" max="12038" width="8.85546875" style="1215" customWidth="1"/>
    <col min="12039" max="12039" width="50" style="1215" customWidth="1"/>
    <col min="12040" max="12040" width="6.42578125" style="1215" bestFit="1" customWidth="1"/>
    <col min="12041" max="12041" width="8.85546875" style="1215" customWidth="1"/>
    <col min="12042" max="12042" width="8.5703125" style="1215" customWidth="1"/>
    <col min="12043" max="12043" width="11.42578125" style="1215" bestFit="1" customWidth="1"/>
    <col min="12044" max="12044" width="7.85546875" style="1215" bestFit="1" customWidth="1"/>
    <col min="12045" max="12045" width="11.5703125" style="1215" bestFit="1" customWidth="1"/>
    <col min="12046" max="12046" width="8" style="1215" bestFit="1" customWidth="1"/>
    <col min="12047" max="12047" width="11.5703125" style="1215" bestFit="1" customWidth="1"/>
    <col min="12048" max="12048" width="8.140625" style="1215" bestFit="1" customWidth="1"/>
    <col min="12049" max="12049" width="11.5703125" style="1215" bestFit="1" customWidth="1"/>
    <col min="12050" max="12050" width="8.42578125" style="1215" customWidth="1"/>
    <col min="12051" max="12051" width="7.42578125" style="1215" bestFit="1" customWidth="1"/>
    <col min="12052" max="12052" width="11.5703125" style="1215" bestFit="1" customWidth="1"/>
    <col min="12053" max="12053" width="8.140625" style="1215" customWidth="1"/>
    <col min="12054" max="12054" width="13" style="1215" bestFit="1" customWidth="1"/>
    <col min="12055" max="12293" width="10.85546875" style="1215"/>
    <col min="12294" max="12294" width="8.85546875" style="1215" customWidth="1"/>
    <col min="12295" max="12295" width="50" style="1215" customWidth="1"/>
    <col min="12296" max="12296" width="6.42578125" style="1215" bestFit="1" customWidth="1"/>
    <col min="12297" max="12297" width="8.85546875" style="1215" customWidth="1"/>
    <col min="12298" max="12298" width="8.5703125" style="1215" customWidth="1"/>
    <col min="12299" max="12299" width="11.42578125" style="1215" bestFit="1" customWidth="1"/>
    <col min="12300" max="12300" width="7.85546875" style="1215" bestFit="1" customWidth="1"/>
    <col min="12301" max="12301" width="11.5703125" style="1215" bestFit="1" customWidth="1"/>
    <col min="12302" max="12302" width="8" style="1215" bestFit="1" customWidth="1"/>
    <col min="12303" max="12303" width="11.5703125" style="1215" bestFit="1" customWidth="1"/>
    <col min="12304" max="12304" width="8.140625" style="1215" bestFit="1" customWidth="1"/>
    <col min="12305" max="12305" width="11.5703125" style="1215" bestFit="1" customWidth="1"/>
    <col min="12306" max="12306" width="8.42578125" style="1215" customWidth="1"/>
    <col min="12307" max="12307" width="7.42578125" style="1215" bestFit="1" customWidth="1"/>
    <col min="12308" max="12308" width="11.5703125" style="1215" bestFit="1" customWidth="1"/>
    <col min="12309" max="12309" width="8.140625" style="1215" customWidth="1"/>
    <col min="12310" max="12310" width="13" style="1215" bestFit="1" customWidth="1"/>
    <col min="12311" max="12549" width="10.85546875" style="1215"/>
    <col min="12550" max="12550" width="8.85546875" style="1215" customWidth="1"/>
    <col min="12551" max="12551" width="50" style="1215" customWidth="1"/>
    <col min="12552" max="12552" width="6.42578125" style="1215" bestFit="1" customWidth="1"/>
    <col min="12553" max="12553" width="8.85546875" style="1215" customWidth="1"/>
    <col min="12554" max="12554" width="8.5703125" style="1215" customWidth="1"/>
    <col min="12555" max="12555" width="11.42578125" style="1215" bestFit="1" customWidth="1"/>
    <col min="12556" max="12556" width="7.85546875" style="1215" bestFit="1" customWidth="1"/>
    <col min="12557" max="12557" width="11.5703125" style="1215" bestFit="1" customWidth="1"/>
    <col min="12558" max="12558" width="8" style="1215" bestFit="1" customWidth="1"/>
    <col min="12559" max="12559" width="11.5703125" style="1215" bestFit="1" customWidth="1"/>
    <col min="12560" max="12560" width="8.140625" style="1215" bestFit="1" customWidth="1"/>
    <col min="12561" max="12561" width="11.5703125" style="1215" bestFit="1" customWidth="1"/>
    <col min="12562" max="12562" width="8.42578125" style="1215" customWidth="1"/>
    <col min="12563" max="12563" width="7.42578125" style="1215" bestFit="1" customWidth="1"/>
    <col min="12564" max="12564" width="11.5703125" style="1215" bestFit="1" customWidth="1"/>
    <col min="12565" max="12565" width="8.140625" style="1215" customWidth="1"/>
    <col min="12566" max="12566" width="13" style="1215" bestFit="1" customWidth="1"/>
    <col min="12567" max="12805" width="10.85546875" style="1215"/>
    <col min="12806" max="12806" width="8.85546875" style="1215" customWidth="1"/>
    <col min="12807" max="12807" width="50" style="1215" customWidth="1"/>
    <col min="12808" max="12808" width="6.42578125" style="1215" bestFit="1" customWidth="1"/>
    <col min="12809" max="12809" width="8.85546875" style="1215" customWidth="1"/>
    <col min="12810" max="12810" width="8.5703125" style="1215" customWidth="1"/>
    <col min="12811" max="12811" width="11.42578125" style="1215" bestFit="1" customWidth="1"/>
    <col min="12812" max="12812" width="7.85546875" style="1215" bestFit="1" customWidth="1"/>
    <col min="12813" max="12813" width="11.5703125" style="1215" bestFit="1" customWidth="1"/>
    <col min="12814" max="12814" width="8" style="1215" bestFit="1" customWidth="1"/>
    <col min="12815" max="12815" width="11.5703125" style="1215" bestFit="1" customWidth="1"/>
    <col min="12816" max="12816" width="8.140625" style="1215" bestFit="1" customWidth="1"/>
    <col min="12817" max="12817" width="11.5703125" style="1215" bestFit="1" customWidth="1"/>
    <col min="12818" max="12818" width="8.42578125" style="1215" customWidth="1"/>
    <col min="12819" max="12819" width="7.42578125" style="1215" bestFit="1" customWidth="1"/>
    <col min="12820" max="12820" width="11.5703125" style="1215" bestFit="1" customWidth="1"/>
    <col min="12821" max="12821" width="8.140625" style="1215" customWidth="1"/>
    <col min="12822" max="12822" width="13" style="1215" bestFit="1" customWidth="1"/>
    <col min="12823" max="13061" width="10.85546875" style="1215"/>
    <col min="13062" max="13062" width="8.85546875" style="1215" customWidth="1"/>
    <col min="13063" max="13063" width="50" style="1215" customWidth="1"/>
    <col min="13064" max="13064" width="6.42578125" style="1215" bestFit="1" customWidth="1"/>
    <col min="13065" max="13065" width="8.85546875" style="1215" customWidth="1"/>
    <col min="13066" max="13066" width="8.5703125" style="1215" customWidth="1"/>
    <col min="13067" max="13067" width="11.42578125" style="1215" bestFit="1" customWidth="1"/>
    <col min="13068" max="13068" width="7.85546875" style="1215" bestFit="1" customWidth="1"/>
    <col min="13069" max="13069" width="11.5703125" style="1215" bestFit="1" customWidth="1"/>
    <col min="13070" max="13070" width="8" style="1215" bestFit="1" customWidth="1"/>
    <col min="13071" max="13071" width="11.5703125" style="1215" bestFit="1" customWidth="1"/>
    <col min="13072" max="13072" width="8.140625" style="1215" bestFit="1" customWidth="1"/>
    <col min="13073" max="13073" width="11.5703125" style="1215" bestFit="1" customWidth="1"/>
    <col min="13074" max="13074" width="8.42578125" style="1215" customWidth="1"/>
    <col min="13075" max="13075" width="7.42578125" style="1215" bestFit="1" customWidth="1"/>
    <col min="13076" max="13076" width="11.5703125" style="1215" bestFit="1" customWidth="1"/>
    <col min="13077" max="13077" width="8.140625" style="1215" customWidth="1"/>
    <col min="13078" max="13078" width="13" style="1215" bestFit="1" customWidth="1"/>
    <col min="13079" max="13317" width="10.85546875" style="1215"/>
    <col min="13318" max="13318" width="8.85546875" style="1215" customWidth="1"/>
    <col min="13319" max="13319" width="50" style="1215" customWidth="1"/>
    <col min="13320" max="13320" width="6.42578125" style="1215" bestFit="1" customWidth="1"/>
    <col min="13321" max="13321" width="8.85546875" style="1215" customWidth="1"/>
    <col min="13322" max="13322" width="8.5703125" style="1215" customWidth="1"/>
    <col min="13323" max="13323" width="11.42578125" style="1215" bestFit="1" customWidth="1"/>
    <col min="13324" max="13324" width="7.85546875" style="1215" bestFit="1" customWidth="1"/>
    <col min="13325" max="13325" width="11.5703125" style="1215" bestFit="1" customWidth="1"/>
    <col min="13326" max="13326" width="8" style="1215" bestFit="1" customWidth="1"/>
    <col min="13327" max="13327" width="11.5703125" style="1215" bestFit="1" customWidth="1"/>
    <col min="13328" max="13328" width="8.140625" style="1215" bestFit="1" customWidth="1"/>
    <col min="13329" max="13329" width="11.5703125" style="1215" bestFit="1" customWidth="1"/>
    <col min="13330" max="13330" width="8.42578125" style="1215" customWidth="1"/>
    <col min="13331" max="13331" width="7.42578125" style="1215" bestFit="1" customWidth="1"/>
    <col min="13332" max="13332" width="11.5703125" style="1215" bestFit="1" customWidth="1"/>
    <col min="13333" max="13333" width="8.140625" style="1215" customWidth="1"/>
    <col min="13334" max="13334" width="13" style="1215" bestFit="1" customWidth="1"/>
    <col min="13335" max="13573" width="10.85546875" style="1215"/>
    <col min="13574" max="13574" width="8.85546875" style="1215" customWidth="1"/>
    <col min="13575" max="13575" width="50" style="1215" customWidth="1"/>
    <col min="13576" max="13576" width="6.42578125" style="1215" bestFit="1" customWidth="1"/>
    <col min="13577" max="13577" width="8.85546875" style="1215" customWidth="1"/>
    <col min="13578" max="13578" width="8.5703125" style="1215" customWidth="1"/>
    <col min="13579" max="13579" width="11.42578125" style="1215" bestFit="1" customWidth="1"/>
    <col min="13580" max="13580" width="7.85546875" style="1215" bestFit="1" customWidth="1"/>
    <col min="13581" max="13581" width="11.5703125" style="1215" bestFit="1" customWidth="1"/>
    <col min="13582" max="13582" width="8" style="1215" bestFit="1" customWidth="1"/>
    <col min="13583" max="13583" width="11.5703125" style="1215" bestFit="1" customWidth="1"/>
    <col min="13584" max="13584" width="8.140625" style="1215" bestFit="1" customWidth="1"/>
    <col min="13585" max="13585" width="11.5703125" style="1215" bestFit="1" customWidth="1"/>
    <col min="13586" max="13586" width="8.42578125" style="1215" customWidth="1"/>
    <col min="13587" max="13587" width="7.42578125" style="1215" bestFit="1" customWidth="1"/>
    <col min="13588" max="13588" width="11.5703125" style="1215" bestFit="1" customWidth="1"/>
    <col min="13589" max="13589" width="8.140625" style="1215" customWidth="1"/>
    <col min="13590" max="13590" width="13" style="1215" bestFit="1" customWidth="1"/>
    <col min="13591" max="13829" width="10.85546875" style="1215"/>
    <col min="13830" max="13830" width="8.85546875" style="1215" customWidth="1"/>
    <col min="13831" max="13831" width="50" style="1215" customWidth="1"/>
    <col min="13832" max="13832" width="6.42578125" style="1215" bestFit="1" customWidth="1"/>
    <col min="13833" max="13833" width="8.85546875" style="1215" customWidth="1"/>
    <col min="13834" max="13834" width="8.5703125" style="1215" customWidth="1"/>
    <col min="13835" max="13835" width="11.42578125" style="1215" bestFit="1" customWidth="1"/>
    <col min="13836" max="13836" width="7.85546875" style="1215" bestFit="1" customWidth="1"/>
    <col min="13837" max="13837" width="11.5703125" style="1215" bestFit="1" customWidth="1"/>
    <col min="13838" max="13838" width="8" style="1215" bestFit="1" customWidth="1"/>
    <col min="13839" max="13839" width="11.5703125" style="1215" bestFit="1" customWidth="1"/>
    <col min="13840" max="13840" width="8.140625" style="1215" bestFit="1" customWidth="1"/>
    <col min="13841" max="13841" width="11.5703125" style="1215" bestFit="1" customWidth="1"/>
    <col min="13842" max="13842" width="8.42578125" style="1215" customWidth="1"/>
    <col min="13843" max="13843" width="7.42578125" style="1215" bestFit="1" customWidth="1"/>
    <col min="13844" max="13844" width="11.5703125" style="1215" bestFit="1" customWidth="1"/>
    <col min="13845" max="13845" width="8.140625" style="1215" customWidth="1"/>
    <col min="13846" max="13846" width="13" style="1215" bestFit="1" customWidth="1"/>
    <col min="13847" max="14085" width="10.85546875" style="1215"/>
    <col min="14086" max="14086" width="8.85546875" style="1215" customWidth="1"/>
    <col min="14087" max="14087" width="50" style="1215" customWidth="1"/>
    <col min="14088" max="14088" width="6.42578125" style="1215" bestFit="1" customWidth="1"/>
    <col min="14089" max="14089" width="8.85546875" style="1215" customWidth="1"/>
    <col min="14090" max="14090" width="8.5703125" style="1215" customWidth="1"/>
    <col min="14091" max="14091" width="11.42578125" style="1215" bestFit="1" customWidth="1"/>
    <col min="14092" max="14092" width="7.85546875" style="1215" bestFit="1" customWidth="1"/>
    <col min="14093" max="14093" width="11.5703125" style="1215" bestFit="1" customWidth="1"/>
    <col min="14094" max="14094" width="8" style="1215" bestFit="1" customWidth="1"/>
    <col min="14095" max="14095" width="11.5703125" style="1215" bestFit="1" customWidth="1"/>
    <col min="14096" max="14096" width="8.140625" style="1215" bestFit="1" customWidth="1"/>
    <col min="14097" max="14097" width="11.5703125" style="1215" bestFit="1" customWidth="1"/>
    <col min="14098" max="14098" width="8.42578125" style="1215" customWidth="1"/>
    <col min="14099" max="14099" width="7.42578125" style="1215" bestFit="1" customWidth="1"/>
    <col min="14100" max="14100" width="11.5703125" style="1215" bestFit="1" customWidth="1"/>
    <col min="14101" max="14101" width="8.140625" style="1215" customWidth="1"/>
    <col min="14102" max="14102" width="13" style="1215" bestFit="1" customWidth="1"/>
    <col min="14103" max="14341" width="10.85546875" style="1215"/>
    <col min="14342" max="14342" width="8.85546875" style="1215" customWidth="1"/>
    <col min="14343" max="14343" width="50" style="1215" customWidth="1"/>
    <col min="14344" max="14344" width="6.42578125" style="1215" bestFit="1" customWidth="1"/>
    <col min="14345" max="14345" width="8.85546875" style="1215" customWidth="1"/>
    <col min="14346" max="14346" width="8.5703125" style="1215" customWidth="1"/>
    <col min="14347" max="14347" width="11.42578125" style="1215" bestFit="1" customWidth="1"/>
    <col min="14348" max="14348" width="7.85546875" style="1215" bestFit="1" customWidth="1"/>
    <col min="14349" max="14349" width="11.5703125" style="1215" bestFit="1" customWidth="1"/>
    <col min="14350" max="14350" width="8" style="1215" bestFit="1" customWidth="1"/>
    <col min="14351" max="14351" width="11.5703125" style="1215" bestFit="1" customWidth="1"/>
    <col min="14352" max="14352" width="8.140625" style="1215" bestFit="1" customWidth="1"/>
    <col min="14353" max="14353" width="11.5703125" style="1215" bestFit="1" customWidth="1"/>
    <col min="14354" max="14354" width="8.42578125" style="1215" customWidth="1"/>
    <col min="14355" max="14355" width="7.42578125" style="1215" bestFit="1" customWidth="1"/>
    <col min="14356" max="14356" width="11.5703125" style="1215" bestFit="1" customWidth="1"/>
    <col min="14357" max="14357" width="8.140625" style="1215" customWidth="1"/>
    <col min="14358" max="14358" width="13" style="1215" bestFit="1" customWidth="1"/>
    <col min="14359" max="14597" width="10.85546875" style="1215"/>
    <col min="14598" max="14598" width="8.85546875" style="1215" customWidth="1"/>
    <col min="14599" max="14599" width="50" style="1215" customWidth="1"/>
    <col min="14600" max="14600" width="6.42578125" style="1215" bestFit="1" customWidth="1"/>
    <col min="14601" max="14601" width="8.85546875" style="1215" customWidth="1"/>
    <col min="14602" max="14602" width="8.5703125" style="1215" customWidth="1"/>
    <col min="14603" max="14603" width="11.42578125" style="1215" bestFit="1" customWidth="1"/>
    <col min="14604" max="14604" width="7.85546875" style="1215" bestFit="1" customWidth="1"/>
    <col min="14605" max="14605" width="11.5703125" style="1215" bestFit="1" customWidth="1"/>
    <col min="14606" max="14606" width="8" style="1215" bestFit="1" customWidth="1"/>
    <col min="14607" max="14607" width="11.5703125" style="1215" bestFit="1" customWidth="1"/>
    <col min="14608" max="14608" width="8.140625" style="1215" bestFit="1" customWidth="1"/>
    <col min="14609" max="14609" width="11.5703125" style="1215" bestFit="1" customWidth="1"/>
    <col min="14610" max="14610" width="8.42578125" style="1215" customWidth="1"/>
    <col min="14611" max="14611" width="7.42578125" style="1215" bestFit="1" customWidth="1"/>
    <col min="14612" max="14612" width="11.5703125" style="1215" bestFit="1" customWidth="1"/>
    <col min="14613" max="14613" width="8.140625" style="1215" customWidth="1"/>
    <col min="14614" max="14614" width="13" style="1215" bestFit="1" customWidth="1"/>
    <col min="14615" max="14853" width="10.85546875" style="1215"/>
    <col min="14854" max="14854" width="8.85546875" style="1215" customWidth="1"/>
    <col min="14855" max="14855" width="50" style="1215" customWidth="1"/>
    <col min="14856" max="14856" width="6.42578125" style="1215" bestFit="1" customWidth="1"/>
    <col min="14857" max="14857" width="8.85546875" style="1215" customWidth="1"/>
    <col min="14858" max="14858" width="8.5703125" style="1215" customWidth="1"/>
    <col min="14859" max="14859" width="11.42578125" style="1215" bestFit="1" customWidth="1"/>
    <col min="14860" max="14860" width="7.85546875" style="1215" bestFit="1" customWidth="1"/>
    <col min="14861" max="14861" width="11.5703125" style="1215" bestFit="1" customWidth="1"/>
    <col min="14862" max="14862" width="8" style="1215" bestFit="1" customWidth="1"/>
    <col min="14863" max="14863" width="11.5703125" style="1215" bestFit="1" customWidth="1"/>
    <col min="14864" max="14864" width="8.140625" style="1215" bestFit="1" customWidth="1"/>
    <col min="14865" max="14865" width="11.5703125" style="1215" bestFit="1" customWidth="1"/>
    <col min="14866" max="14866" width="8.42578125" style="1215" customWidth="1"/>
    <col min="14867" max="14867" width="7.42578125" style="1215" bestFit="1" customWidth="1"/>
    <col min="14868" max="14868" width="11.5703125" style="1215" bestFit="1" customWidth="1"/>
    <col min="14869" max="14869" width="8.140625" style="1215" customWidth="1"/>
    <col min="14870" max="14870" width="13" style="1215" bestFit="1" customWidth="1"/>
    <col min="14871" max="15109" width="10.85546875" style="1215"/>
    <col min="15110" max="15110" width="8.85546875" style="1215" customWidth="1"/>
    <col min="15111" max="15111" width="50" style="1215" customWidth="1"/>
    <col min="15112" max="15112" width="6.42578125" style="1215" bestFit="1" customWidth="1"/>
    <col min="15113" max="15113" width="8.85546875" style="1215" customWidth="1"/>
    <col min="15114" max="15114" width="8.5703125" style="1215" customWidth="1"/>
    <col min="15115" max="15115" width="11.42578125" style="1215" bestFit="1" customWidth="1"/>
    <col min="15116" max="15116" width="7.85546875" style="1215" bestFit="1" customWidth="1"/>
    <col min="15117" max="15117" width="11.5703125" style="1215" bestFit="1" customWidth="1"/>
    <col min="15118" max="15118" width="8" style="1215" bestFit="1" customWidth="1"/>
    <col min="15119" max="15119" width="11.5703125" style="1215" bestFit="1" customWidth="1"/>
    <col min="15120" max="15120" width="8.140625" style="1215" bestFit="1" customWidth="1"/>
    <col min="15121" max="15121" width="11.5703125" style="1215" bestFit="1" customWidth="1"/>
    <col min="15122" max="15122" width="8.42578125" style="1215" customWidth="1"/>
    <col min="15123" max="15123" width="7.42578125" style="1215" bestFit="1" customWidth="1"/>
    <col min="15124" max="15124" width="11.5703125" style="1215" bestFit="1" customWidth="1"/>
    <col min="15125" max="15125" width="8.140625" style="1215" customWidth="1"/>
    <col min="15126" max="15126" width="13" style="1215" bestFit="1" customWidth="1"/>
    <col min="15127" max="15365" width="10.85546875" style="1215"/>
    <col min="15366" max="15366" width="8.85546875" style="1215" customWidth="1"/>
    <col min="15367" max="15367" width="50" style="1215" customWidth="1"/>
    <col min="15368" max="15368" width="6.42578125" style="1215" bestFit="1" customWidth="1"/>
    <col min="15369" max="15369" width="8.85546875" style="1215" customWidth="1"/>
    <col min="15370" max="15370" width="8.5703125" style="1215" customWidth="1"/>
    <col min="15371" max="15371" width="11.42578125" style="1215" bestFit="1" customWidth="1"/>
    <col min="15372" max="15372" width="7.85546875" style="1215" bestFit="1" customWidth="1"/>
    <col min="15373" max="15373" width="11.5703125" style="1215" bestFit="1" customWidth="1"/>
    <col min="15374" max="15374" width="8" style="1215" bestFit="1" customWidth="1"/>
    <col min="15375" max="15375" width="11.5703125" style="1215" bestFit="1" customWidth="1"/>
    <col min="15376" max="15376" width="8.140625" style="1215" bestFit="1" customWidth="1"/>
    <col min="15377" max="15377" width="11.5703125" style="1215" bestFit="1" customWidth="1"/>
    <col min="15378" max="15378" width="8.42578125" style="1215" customWidth="1"/>
    <col min="15379" max="15379" width="7.42578125" style="1215" bestFit="1" customWidth="1"/>
    <col min="15380" max="15380" width="11.5703125" style="1215" bestFit="1" customWidth="1"/>
    <col min="15381" max="15381" width="8.140625" style="1215" customWidth="1"/>
    <col min="15382" max="15382" width="13" style="1215" bestFit="1" customWidth="1"/>
    <col min="15383" max="15621" width="10.85546875" style="1215"/>
    <col min="15622" max="15622" width="8.85546875" style="1215" customWidth="1"/>
    <col min="15623" max="15623" width="50" style="1215" customWidth="1"/>
    <col min="15624" max="15624" width="6.42578125" style="1215" bestFit="1" customWidth="1"/>
    <col min="15625" max="15625" width="8.85546875" style="1215" customWidth="1"/>
    <col min="15626" max="15626" width="8.5703125" style="1215" customWidth="1"/>
    <col min="15627" max="15627" width="11.42578125" style="1215" bestFit="1" customWidth="1"/>
    <col min="15628" max="15628" width="7.85546875" style="1215" bestFit="1" customWidth="1"/>
    <col min="15629" max="15629" width="11.5703125" style="1215" bestFit="1" customWidth="1"/>
    <col min="15630" max="15630" width="8" style="1215" bestFit="1" customWidth="1"/>
    <col min="15631" max="15631" width="11.5703125" style="1215" bestFit="1" customWidth="1"/>
    <col min="15632" max="15632" width="8.140625" style="1215" bestFit="1" customWidth="1"/>
    <col min="15633" max="15633" width="11.5703125" style="1215" bestFit="1" customWidth="1"/>
    <col min="15634" max="15634" width="8.42578125" style="1215" customWidth="1"/>
    <col min="15635" max="15635" width="7.42578125" style="1215" bestFit="1" customWidth="1"/>
    <col min="15636" max="15636" width="11.5703125" style="1215" bestFit="1" customWidth="1"/>
    <col min="15637" max="15637" width="8.140625" style="1215" customWidth="1"/>
    <col min="15638" max="15638" width="13" style="1215" bestFit="1" customWidth="1"/>
    <col min="15639" max="15877" width="10.85546875" style="1215"/>
    <col min="15878" max="15878" width="8.85546875" style="1215" customWidth="1"/>
    <col min="15879" max="15879" width="50" style="1215" customWidth="1"/>
    <col min="15880" max="15880" width="6.42578125" style="1215" bestFit="1" customWidth="1"/>
    <col min="15881" max="15881" width="8.85546875" style="1215" customWidth="1"/>
    <col min="15882" max="15882" width="8.5703125" style="1215" customWidth="1"/>
    <col min="15883" max="15883" width="11.42578125" style="1215" bestFit="1" customWidth="1"/>
    <col min="15884" max="15884" width="7.85546875" style="1215" bestFit="1" customWidth="1"/>
    <col min="15885" max="15885" width="11.5703125" style="1215" bestFit="1" customWidth="1"/>
    <col min="15886" max="15886" width="8" style="1215" bestFit="1" customWidth="1"/>
    <col min="15887" max="15887" width="11.5703125" style="1215" bestFit="1" customWidth="1"/>
    <col min="15888" max="15888" width="8.140625" style="1215" bestFit="1" customWidth="1"/>
    <col min="15889" max="15889" width="11.5703125" style="1215" bestFit="1" customWidth="1"/>
    <col min="15890" max="15890" width="8.42578125" style="1215" customWidth="1"/>
    <col min="15891" max="15891" width="7.42578125" style="1215" bestFit="1" customWidth="1"/>
    <col min="15892" max="15892" width="11.5703125" style="1215" bestFit="1" customWidth="1"/>
    <col min="15893" max="15893" width="8.140625" style="1215" customWidth="1"/>
    <col min="15894" max="15894" width="13" style="1215" bestFit="1" customWidth="1"/>
    <col min="15895" max="16133" width="10.85546875" style="1215"/>
    <col min="16134" max="16134" width="8.85546875" style="1215" customWidth="1"/>
    <col min="16135" max="16135" width="50" style="1215" customWidth="1"/>
    <col min="16136" max="16136" width="6.42578125" style="1215" bestFit="1" customWidth="1"/>
    <col min="16137" max="16137" width="8.85546875" style="1215" customWidth="1"/>
    <col min="16138" max="16138" width="8.5703125" style="1215" customWidth="1"/>
    <col min="16139" max="16139" width="11.42578125" style="1215" bestFit="1" customWidth="1"/>
    <col min="16140" max="16140" width="7.85546875" style="1215" bestFit="1" customWidth="1"/>
    <col min="16141" max="16141" width="11.5703125" style="1215" bestFit="1" customWidth="1"/>
    <col min="16142" max="16142" width="8" style="1215" bestFit="1" customWidth="1"/>
    <col min="16143" max="16143" width="11.5703125" style="1215" bestFit="1" customWidth="1"/>
    <col min="16144" max="16144" width="8.140625" style="1215" bestFit="1" customWidth="1"/>
    <col min="16145" max="16145" width="11.5703125" style="1215" bestFit="1" customWidth="1"/>
    <col min="16146" max="16146" width="8.42578125" style="1215" customWidth="1"/>
    <col min="16147" max="16147" width="7.42578125" style="1215" bestFit="1" customWidth="1"/>
    <col min="16148" max="16148" width="11.5703125" style="1215" bestFit="1" customWidth="1"/>
    <col min="16149" max="16149" width="8.140625" style="1215" customWidth="1"/>
    <col min="16150" max="16150" width="13" style="1215" bestFit="1" customWidth="1"/>
    <col min="16151" max="16384" width="10.85546875" style="1215"/>
  </cols>
  <sheetData>
    <row r="1" spans="2:25" s="1592" customFormat="1" ht="15">
      <c r="B1" s="3243" t="s">
        <v>12</v>
      </c>
      <c r="C1" s="3243"/>
      <c r="D1" s="3243"/>
      <c r="E1" s="3243"/>
      <c r="F1" s="3243"/>
      <c r="G1" s="3243"/>
      <c r="H1" s="3243"/>
      <c r="I1" s="3243"/>
      <c r="J1" s="3243"/>
      <c r="K1" s="3243"/>
      <c r="L1" s="3244"/>
      <c r="M1" s="3245"/>
      <c r="N1" s="3243"/>
      <c r="O1" s="3243"/>
      <c r="P1" s="3243"/>
      <c r="Q1" s="3243"/>
      <c r="R1" s="3243"/>
      <c r="S1" s="3243"/>
      <c r="W1" s="1593"/>
    </row>
    <row r="2" spans="2:25" s="1592" customFormat="1" ht="15">
      <c r="B2" s="3246" t="s">
        <v>4411</v>
      </c>
      <c r="C2" s="3246"/>
      <c r="D2" s="3246"/>
      <c r="E2" s="3246"/>
      <c r="F2" s="3246"/>
      <c r="G2" s="3246"/>
      <c r="H2" s="3246"/>
      <c r="I2" s="3246"/>
      <c r="J2" s="3246"/>
      <c r="K2" s="3246"/>
      <c r="L2" s="3246"/>
      <c r="M2" s="3246"/>
      <c r="N2" s="3246"/>
      <c r="O2" s="3246"/>
      <c r="P2" s="3246"/>
      <c r="Q2" s="3246"/>
      <c r="R2" s="3246"/>
      <c r="S2" s="3246"/>
      <c r="W2" s="1593"/>
    </row>
    <row r="3" spans="2:25" s="1592" customFormat="1" ht="15">
      <c r="B3" s="3243" t="s">
        <v>4390</v>
      </c>
      <c r="C3" s="3243"/>
      <c r="D3" s="3243"/>
      <c r="E3" s="3243"/>
      <c r="F3" s="3243"/>
      <c r="G3" s="3243"/>
      <c r="H3" s="3243"/>
      <c r="I3" s="3243"/>
      <c r="J3" s="3243"/>
      <c r="K3" s="3243"/>
      <c r="L3" s="3244"/>
      <c r="M3" s="3245"/>
      <c r="N3" s="3243"/>
      <c r="O3" s="3243"/>
      <c r="P3" s="3243"/>
      <c r="Q3" s="3243"/>
      <c r="R3" s="3243"/>
      <c r="S3" s="3243"/>
      <c r="W3" s="1593"/>
    </row>
    <row r="4" spans="2:25" ht="28.35" customHeight="1">
      <c r="B4" s="1594"/>
      <c r="C4" s="1595" t="s">
        <v>6</v>
      </c>
      <c r="D4" s="1596" t="s">
        <v>4</v>
      </c>
      <c r="E4" s="3247" t="s">
        <v>2826</v>
      </c>
      <c r="F4" s="3247"/>
      <c r="G4" s="3247"/>
      <c r="H4" s="3247"/>
      <c r="I4" s="3247"/>
      <c r="J4" s="3247"/>
      <c r="K4" s="3247"/>
      <c r="L4" s="3247"/>
      <c r="M4" s="3247"/>
      <c r="N4" s="3247"/>
      <c r="O4" s="3247"/>
      <c r="P4" s="1597" t="s">
        <v>13</v>
      </c>
      <c r="Q4" s="1598"/>
      <c r="R4" s="3224">
        <v>44681</v>
      </c>
      <c r="S4" s="3224"/>
      <c r="W4" s="1215"/>
    </row>
    <row r="5" spans="2:25">
      <c r="B5" s="1599"/>
      <c r="C5" s="1600" t="s">
        <v>5</v>
      </c>
      <c r="D5" s="1601" t="s">
        <v>4</v>
      </c>
      <c r="E5" s="1602" t="s">
        <v>532</v>
      </c>
      <c r="F5" s="1599"/>
      <c r="G5" s="1599"/>
      <c r="H5" s="1599"/>
      <c r="I5" s="1599"/>
      <c r="J5" s="1599"/>
      <c r="K5" s="1594"/>
      <c r="L5" s="1347"/>
      <c r="M5" s="1603"/>
      <c r="N5" s="1594"/>
      <c r="O5" s="1594"/>
      <c r="P5" s="1599" t="s">
        <v>14</v>
      </c>
      <c r="Q5" s="1604"/>
      <c r="R5" s="1599"/>
      <c r="S5" s="1605" t="s">
        <v>535</v>
      </c>
      <c r="W5" s="1215"/>
    </row>
    <row r="6" spans="2:25">
      <c r="B6" s="1604"/>
      <c r="C6" s="1600" t="s">
        <v>15</v>
      </c>
      <c r="D6" s="1601" t="s">
        <v>4</v>
      </c>
      <c r="E6" s="1602" t="s">
        <v>3663</v>
      </c>
      <c r="F6" s="1594"/>
      <c r="G6" s="1594"/>
      <c r="H6" s="1604"/>
      <c r="I6" s="1604"/>
      <c r="J6" s="1594"/>
      <c r="K6" s="1594"/>
      <c r="L6" s="1346"/>
      <c r="M6" s="1603"/>
      <c r="N6" s="1594"/>
      <c r="O6" s="1594"/>
      <c r="P6" s="1599" t="s">
        <v>16</v>
      </c>
      <c r="Q6" s="1604"/>
      <c r="R6" s="1604"/>
      <c r="S6" s="1605" t="s">
        <v>535</v>
      </c>
      <c r="W6" s="1215"/>
    </row>
    <row r="7" spans="2:25">
      <c r="B7" s="1604"/>
      <c r="C7" s="1600" t="s">
        <v>17</v>
      </c>
      <c r="D7" s="1601" t="s">
        <v>4</v>
      </c>
      <c r="E7" s="1602" t="s">
        <v>11</v>
      </c>
      <c r="F7" s="1594"/>
      <c r="G7" s="1594"/>
      <c r="H7" s="1604"/>
      <c r="I7" s="1604"/>
      <c r="J7" s="1594"/>
      <c r="K7" s="1594"/>
      <c r="L7" s="1346"/>
      <c r="M7" s="1601"/>
      <c r="N7" s="1606"/>
      <c r="O7" s="1594"/>
      <c r="P7" s="1599" t="s">
        <v>18</v>
      </c>
      <c r="Q7" s="1604"/>
      <c r="R7" s="1607"/>
      <c r="S7" s="1605" t="s">
        <v>10</v>
      </c>
      <c r="W7" s="1215"/>
    </row>
    <row r="8" spans="2:25" ht="14.25" thickBot="1">
      <c r="B8" s="1604"/>
      <c r="C8" s="1600" t="s">
        <v>19</v>
      </c>
      <c r="D8" s="1601" t="s">
        <v>4</v>
      </c>
      <c r="E8" s="1608">
        <v>2022</v>
      </c>
      <c r="F8" s="1594"/>
      <c r="G8" s="1594"/>
      <c r="H8" s="1604"/>
      <c r="I8" s="1604"/>
      <c r="J8" s="1594"/>
      <c r="K8" s="1594"/>
      <c r="L8" s="1346"/>
      <c r="M8" s="1603"/>
      <c r="N8" s="1606"/>
      <c r="O8" s="1609"/>
      <c r="P8" s="1594"/>
      <c r="Q8" s="1604"/>
      <c r="R8" s="1604"/>
      <c r="S8" s="1604"/>
      <c r="W8" s="1215"/>
    </row>
    <row r="9" spans="2:25" ht="14.45" customHeight="1" thickBot="1">
      <c r="B9" s="3231" t="s">
        <v>20</v>
      </c>
      <c r="C9" s="3231" t="s">
        <v>21</v>
      </c>
      <c r="D9" s="3234" t="s">
        <v>22</v>
      </c>
      <c r="E9" s="3237" t="s">
        <v>23</v>
      </c>
      <c r="F9" s="3238"/>
      <c r="G9" s="3238"/>
      <c r="H9" s="3238"/>
      <c r="I9" s="3239"/>
      <c r="J9" s="3211" t="s">
        <v>24</v>
      </c>
      <c r="K9" s="3212"/>
      <c r="L9" s="3213"/>
      <c r="M9" s="3214"/>
      <c r="N9" s="3212"/>
      <c r="O9" s="3212"/>
      <c r="P9" s="3215"/>
      <c r="Q9" s="3237" t="s">
        <v>25</v>
      </c>
      <c r="R9" s="3238"/>
      <c r="S9" s="3239"/>
    </row>
    <row r="10" spans="2:25" ht="14.45" customHeight="1" thickBot="1">
      <c r="B10" s="3232"/>
      <c r="C10" s="3232"/>
      <c r="D10" s="3235"/>
      <c r="E10" s="3240"/>
      <c r="F10" s="3241"/>
      <c r="G10" s="3241"/>
      <c r="H10" s="3241"/>
      <c r="I10" s="3242"/>
      <c r="J10" s="3211" t="s">
        <v>26</v>
      </c>
      <c r="K10" s="3215"/>
      <c r="L10" s="3211" t="s">
        <v>27</v>
      </c>
      <c r="M10" s="3215"/>
      <c r="N10" s="3211" t="s">
        <v>28</v>
      </c>
      <c r="O10" s="3212"/>
      <c r="P10" s="3215"/>
      <c r="Q10" s="3240"/>
      <c r="R10" s="3241"/>
      <c r="S10" s="3242"/>
    </row>
    <row r="11" spans="2:25" ht="14.25" thickBot="1">
      <c r="B11" s="3232"/>
      <c r="C11" s="3232"/>
      <c r="D11" s="3235"/>
      <c r="E11" s="3231" t="s">
        <v>29</v>
      </c>
      <c r="F11" s="3231" t="s">
        <v>30</v>
      </c>
      <c r="G11" s="3248" t="s">
        <v>3921</v>
      </c>
      <c r="H11" s="3250" t="s">
        <v>3923</v>
      </c>
      <c r="I11" s="3248" t="s">
        <v>3922</v>
      </c>
      <c r="J11" s="3231" t="s">
        <v>3</v>
      </c>
      <c r="K11" s="3231" t="s">
        <v>32</v>
      </c>
      <c r="L11" s="3038" t="s">
        <v>3</v>
      </c>
      <c r="M11" s="3231" t="s">
        <v>32</v>
      </c>
      <c r="N11" s="3231" t="s">
        <v>3</v>
      </c>
      <c r="O11" s="3231" t="s">
        <v>32</v>
      </c>
      <c r="P11" s="3231" t="s">
        <v>0</v>
      </c>
      <c r="Q11" s="3231" t="s">
        <v>3</v>
      </c>
      <c r="R11" s="3252" t="s">
        <v>32</v>
      </c>
      <c r="S11" s="3231" t="s">
        <v>0</v>
      </c>
      <c r="W11" s="3188" t="s">
        <v>3613</v>
      </c>
      <c r="X11" s="3189"/>
      <c r="Y11" s="3190"/>
    </row>
    <row r="12" spans="2:25" ht="14.25" thickBot="1">
      <c r="B12" s="3233"/>
      <c r="C12" s="3233"/>
      <c r="D12" s="3236"/>
      <c r="E12" s="3233"/>
      <c r="F12" s="3233"/>
      <c r="G12" s="3249"/>
      <c r="H12" s="3251"/>
      <c r="I12" s="3249"/>
      <c r="J12" s="3233"/>
      <c r="K12" s="3233"/>
      <c r="L12" s="3040"/>
      <c r="M12" s="3233"/>
      <c r="N12" s="3233"/>
      <c r="O12" s="3233"/>
      <c r="P12" s="3233"/>
      <c r="Q12" s="3233"/>
      <c r="R12" s="3253"/>
      <c r="S12" s="3233"/>
    </row>
    <row r="13" spans="2:25" ht="9" customHeight="1" thickBot="1">
      <c r="B13" s="1610"/>
      <c r="C13" s="1611"/>
      <c r="D13" s="1612"/>
      <c r="E13" s="1610"/>
      <c r="F13" s="1611"/>
      <c r="G13" s="1611"/>
      <c r="H13" s="1613"/>
      <c r="I13" s="1611"/>
      <c r="J13" s="1610"/>
      <c r="K13" s="1612"/>
      <c r="L13" s="1356"/>
      <c r="M13" s="1612"/>
      <c r="N13" s="1610"/>
      <c r="O13" s="1611"/>
      <c r="P13" s="1613"/>
      <c r="Q13" s="1610"/>
      <c r="R13" s="1614"/>
      <c r="S13" s="1613"/>
    </row>
    <row r="14" spans="2:25" s="1631" customFormat="1" ht="28.5" customHeight="1" thickBot="1">
      <c r="B14" s="1615"/>
      <c r="C14" s="1616" t="s">
        <v>3722</v>
      </c>
      <c r="D14" s="1617"/>
      <c r="E14" s="1618"/>
      <c r="F14" s="1619"/>
      <c r="G14" s="1723"/>
      <c r="H14" s="1620"/>
      <c r="I14" s="1724"/>
      <c r="J14" s="1621"/>
      <c r="K14" s="1622"/>
      <c r="L14" s="2258"/>
      <c r="M14" s="1623"/>
      <c r="N14" s="1624"/>
      <c r="O14" s="1625"/>
      <c r="P14" s="1626"/>
      <c r="Q14" s="1624"/>
      <c r="R14" s="1627"/>
      <c r="S14" s="1626"/>
      <c r="T14" s="1628"/>
      <c r="U14" s="1628"/>
      <c r="V14" s="1628"/>
      <c r="W14" s="1629" t="s">
        <v>3614</v>
      </c>
      <c r="X14" s="1423"/>
      <c r="Y14" s="1630">
        <f>SUM(M16:M257)</f>
        <v>41834.359199999999</v>
      </c>
    </row>
    <row r="15" spans="2:25" s="1423" customFormat="1">
      <c r="B15" s="2088" t="s">
        <v>33</v>
      </c>
      <c r="C15" s="2089" t="s">
        <v>3615</v>
      </c>
      <c r="D15" s="1633"/>
      <c r="E15" s="1634"/>
      <c r="F15" s="1635"/>
      <c r="G15" s="1726"/>
      <c r="H15" s="1636"/>
      <c r="I15" s="1727"/>
      <c r="J15" s="1637"/>
      <c r="K15" s="1638"/>
      <c r="L15" s="1854"/>
      <c r="M15" s="1639"/>
      <c r="N15" s="1640"/>
      <c r="O15" s="1641"/>
      <c r="P15" s="1642" t="str">
        <f t="shared" ref="P15" si="0">+IF(D15=0,"",O15/H15)</f>
        <v/>
      </c>
      <c r="Q15" s="1640"/>
      <c r="R15" s="1641"/>
      <c r="S15" s="1642"/>
      <c r="T15" s="1630"/>
      <c r="U15" s="1630"/>
      <c r="V15" s="1630"/>
      <c r="W15" s="1629" t="s">
        <v>3615</v>
      </c>
      <c r="Y15" s="1643" t="e">
        <f>SUM(#REF!)</f>
        <v>#REF!</v>
      </c>
    </row>
    <row r="16" spans="2:25" s="1410" customFormat="1">
      <c r="B16" s="1725" t="s">
        <v>35</v>
      </c>
      <c r="C16" s="1721" t="s">
        <v>2892</v>
      </c>
      <c r="D16" s="1645"/>
      <c r="E16" s="1646"/>
      <c r="F16" s="1647"/>
      <c r="G16" s="1728"/>
      <c r="H16" s="1648"/>
      <c r="I16" s="1729"/>
      <c r="J16" s="1649"/>
      <c r="K16" s="1650"/>
      <c r="L16" s="1867"/>
      <c r="M16" s="1651"/>
      <c r="N16" s="1652"/>
      <c r="O16" s="1653"/>
      <c r="P16" s="1654"/>
      <c r="Q16" s="1655"/>
      <c r="R16" s="1656"/>
      <c r="S16" s="1657"/>
      <c r="T16" s="1418">
        <f>+R16+O16</f>
        <v>0</v>
      </c>
      <c r="U16" s="1418">
        <f t="shared" ref="U16:U23" si="1">+H16</f>
        <v>0</v>
      </c>
      <c r="V16" s="1418">
        <f>+U16-T16</f>
        <v>0</v>
      </c>
      <c r="W16" s="1428" t="s">
        <v>1233</v>
      </c>
      <c r="Y16" s="1419" t="e">
        <f>SUM(#REF!)</f>
        <v>#REF!</v>
      </c>
    </row>
    <row r="17" spans="1:27" s="1409" customFormat="1">
      <c r="B17" s="1632" t="s">
        <v>536</v>
      </c>
      <c r="C17" s="1644" t="s">
        <v>2893</v>
      </c>
      <c r="D17" s="1645" t="s">
        <v>40</v>
      </c>
      <c r="E17" s="1646">
        <v>4181.8100000000004</v>
      </c>
      <c r="F17" s="1647">
        <v>5.41</v>
      </c>
      <c r="G17" s="1728">
        <v>5.6</v>
      </c>
      <c r="H17" s="1648">
        <f>ROUND(E17*F17,2)</f>
        <v>22623.59</v>
      </c>
      <c r="I17" s="1648">
        <f>ROUND(E17*G17,2)</f>
        <v>23418.14</v>
      </c>
      <c r="J17" s="1649">
        <v>4181.8057599999993</v>
      </c>
      <c r="K17" s="1650">
        <v>23418.112255999993</v>
      </c>
      <c r="L17" s="1867"/>
      <c r="M17" s="1651">
        <f>+L17*G17</f>
        <v>0</v>
      </c>
      <c r="N17" s="1652">
        <f t="shared" ref="N17:N79" si="2">J17+L17</f>
        <v>4181.8057599999993</v>
      </c>
      <c r="O17" s="1653">
        <f>N17*G17</f>
        <v>23418.112255999993</v>
      </c>
      <c r="P17" s="1654">
        <f>+IF(D17=0,"",O17/I17)</f>
        <v>0.99999881527738721</v>
      </c>
      <c r="Q17" s="1655">
        <f>E17-N17</f>
        <v>4.2400000011184602E-3</v>
      </c>
      <c r="R17" s="1656">
        <f>ROUND((Q17*G17),2)</f>
        <v>0.02</v>
      </c>
      <c r="S17" s="1657">
        <f>+IF(I17=0,"",R17/I17)</f>
        <v>8.5403879215001705E-7</v>
      </c>
      <c r="T17" s="1418">
        <f t="shared" ref="T17:T23" si="3">+R17+O17</f>
        <v>23418.132255999994</v>
      </c>
      <c r="U17" s="1418">
        <f t="shared" si="1"/>
        <v>22623.59</v>
      </c>
      <c r="V17" s="1418">
        <f t="shared" ref="V17:V23" si="4">+U17-T17</f>
        <v>-794.54225599999336</v>
      </c>
      <c r="W17" s="1428" t="s">
        <v>3616</v>
      </c>
      <c r="X17" s="1410"/>
      <c r="Y17" s="1419" t="e">
        <f>SUM(#REF!)</f>
        <v>#REF!</v>
      </c>
    </row>
    <row r="18" spans="1:27" s="1409" customFormat="1">
      <c r="A18" s="1423"/>
      <c r="B18" s="1632" t="s">
        <v>537</v>
      </c>
      <c r="C18" s="1644" t="s">
        <v>2895</v>
      </c>
      <c r="D18" s="1645" t="s">
        <v>40</v>
      </c>
      <c r="E18" s="1646">
        <v>1757.44</v>
      </c>
      <c r="F18" s="1647">
        <v>46.72</v>
      </c>
      <c r="G18" s="1728">
        <v>48.65</v>
      </c>
      <c r="H18" s="1648">
        <f t="shared" ref="H18:H81" si="5">ROUND(E18*F18,2)</f>
        <v>82107.600000000006</v>
      </c>
      <c r="I18" s="1648">
        <f t="shared" ref="I18:I81" si="6">ROUND(E18*G18,2)</f>
        <v>85499.46</v>
      </c>
      <c r="J18" s="1649">
        <v>1510.7462499999999</v>
      </c>
      <c r="K18" s="1650">
        <v>73497.805062499989</v>
      </c>
      <c r="L18" s="1867"/>
      <c r="M18" s="1651">
        <f t="shared" ref="M18:M81" si="7">+L18*G18</f>
        <v>0</v>
      </c>
      <c r="N18" s="1652">
        <f t="shared" si="2"/>
        <v>1510.7462499999999</v>
      </c>
      <c r="O18" s="1653">
        <f t="shared" ref="O18:O81" si="8">N18*G18</f>
        <v>73497.805062499989</v>
      </c>
      <c r="P18" s="1654">
        <f t="shared" ref="P18:P81" si="9">+IF(D18=0,"",O18/I18)</f>
        <v>0.85962888025842488</v>
      </c>
      <c r="Q18" s="1655">
        <f t="shared" ref="Q18:Q79" si="10">E18-N18</f>
        <v>246.69375000000014</v>
      </c>
      <c r="R18" s="1656">
        <f t="shared" ref="R18:R81" si="11">ROUND((Q18*G18),2)</f>
        <v>12001.65</v>
      </c>
      <c r="S18" s="1657">
        <f t="shared" ref="S18:S81" si="12">+IF(I18=0,"",R18/I18)</f>
        <v>0.14037106199267221</v>
      </c>
      <c r="T18" s="1418">
        <f>+E18+'VAL. PRINC'!E84</f>
        <v>7356.17</v>
      </c>
      <c r="U18" s="1418">
        <f t="shared" si="1"/>
        <v>82107.600000000006</v>
      </c>
      <c r="V18" s="1418">
        <f t="shared" si="4"/>
        <v>74751.430000000008</v>
      </c>
      <c r="W18" s="1428" t="s">
        <v>3617</v>
      </c>
      <c r="X18" s="1410"/>
      <c r="Y18" s="1419" t="e">
        <f>SUM(#REF!)</f>
        <v>#REF!</v>
      </c>
    </row>
    <row r="19" spans="1:27" s="1410" customFormat="1">
      <c r="B19" s="1632" t="s">
        <v>538</v>
      </c>
      <c r="C19" s="1644" t="s">
        <v>2896</v>
      </c>
      <c r="D19" s="1645" t="s">
        <v>40</v>
      </c>
      <c r="E19" s="1646">
        <v>629.46</v>
      </c>
      <c r="F19" s="1647">
        <v>20.02</v>
      </c>
      <c r="G19" s="1728">
        <v>20.85</v>
      </c>
      <c r="H19" s="1648">
        <f t="shared" si="5"/>
        <v>12601.79</v>
      </c>
      <c r="I19" s="1648">
        <f t="shared" si="6"/>
        <v>13124.24</v>
      </c>
      <c r="J19" s="1649">
        <v>629.46</v>
      </c>
      <c r="K19" s="1650">
        <v>13124.241000000002</v>
      </c>
      <c r="L19" s="1867"/>
      <c r="M19" s="1651">
        <f t="shared" si="7"/>
        <v>0</v>
      </c>
      <c r="N19" s="1652">
        <f t="shared" si="2"/>
        <v>629.46</v>
      </c>
      <c r="O19" s="1653">
        <f t="shared" si="8"/>
        <v>13124.241000000002</v>
      </c>
      <c r="P19" s="1654">
        <f t="shared" si="9"/>
        <v>1.0000000761948884</v>
      </c>
      <c r="Q19" s="1655">
        <f t="shared" si="10"/>
        <v>0</v>
      </c>
      <c r="R19" s="1656">
        <f t="shared" si="11"/>
        <v>0</v>
      </c>
      <c r="S19" s="1657">
        <f t="shared" si="12"/>
        <v>0</v>
      </c>
      <c r="T19" s="1418">
        <f t="shared" si="3"/>
        <v>13124.241000000002</v>
      </c>
      <c r="U19" s="1418">
        <f t="shared" si="1"/>
        <v>12601.79</v>
      </c>
      <c r="V19" s="1418">
        <f t="shared" si="4"/>
        <v>-522.45100000000093</v>
      </c>
      <c r="W19" s="1428" t="s">
        <v>3618</v>
      </c>
      <c r="Y19" s="1419" t="e">
        <f>SUM(#REF!)</f>
        <v>#REF!</v>
      </c>
    </row>
    <row r="20" spans="1:27" s="1409" customFormat="1">
      <c r="B20" s="1632" t="s">
        <v>539</v>
      </c>
      <c r="C20" s="1644" t="s">
        <v>2897</v>
      </c>
      <c r="D20" s="1645" t="s">
        <v>40</v>
      </c>
      <c r="E20" s="1646">
        <v>4844.05</v>
      </c>
      <c r="F20" s="1647">
        <v>17.52</v>
      </c>
      <c r="G20" s="1728">
        <v>18.239999999999998</v>
      </c>
      <c r="H20" s="1648">
        <f t="shared" si="5"/>
        <v>84867.76</v>
      </c>
      <c r="I20" s="1648">
        <f t="shared" si="6"/>
        <v>88355.47</v>
      </c>
      <c r="J20" s="1649">
        <v>4844.05</v>
      </c>
      <c r="K20" s="1650">
        <v>88355.471999999994</v>
      </c>
      <c r="L20" s="1867"/>
      <c r="M20" s="1651">
        <f t="shared" si="7"/>
        <v>0</v>
      </c>
      <c r="N20" s="1652">
        <f t="shared" si="2"/>
        <v>4844.05</v>
      </c>
      <c r="O20" s="1653">
        <f t="shared" si="8"/>
        <v>88355.471999999994</v>
      </c>
      <c r="P20" s="1654">
        <f t="shared" si="9"/>
        <v>1.0000000226358368</v>
      </c>
      <c r="Q20" s="1655">
        <f t="shared" si="10"/>
        <v>0</v>
      </c>
      <c r="R20" s="1656">
        <f t="shared" si="11"/>
        <v>0</v>
      </c>
      <c r="S20" s="1657">
        <f t="shared" si="12"/>
        <v>0</v>
      </c>
      <c r="T20" s="1418">
        <f t="shared" si="3"/>
        <v>88355.471999999994</v>
      </c>
      <c r="U20" s="1418">
        <f t="shared" si="1"/>
        <v>84867.76</v>
      </c>
      <c r="V20" s="1418">
        <f t="shared" si="4"/>
        <v>-3487.7119999999995</v>
      </c>
      <c r="W20" s="1429"/>
    </row>
    <row r="21" spans="1:27" s="1410" customFormat="1">
      <c r="A21" s="1423"/>
      <c r="B21" s="1632" t="s">
        <v>540</v>
      </c>
      <c r="C21" s="1644" t="s">
        <v>3723</v>
      </c>
      <c r="D21" s="1645" t="s">
        <v>40</v>
      </c>
      <c r="E21" s="1646">
        <v>4844.05</v>
      </c>
      <c r="F21" s="1647">
        <v>4</v>
      </c>
      <c r="G21" s="1728">
        <v>4.05</v>
      </c>
      <c r="H21" s="1648">
        <f t="shared" si="5"/>
        <v>19376.2</v>
      </c>
      <c r="I21" s="1648">
        <f t="shared" si="6"/>
        <v>19618.400000000001</v>
      </c>
      <c r="J21" s="1649">
        <v>4844.05</v>
      </c>
      <c r="K21" s="1650">
        <v>19618.4025</v>
      </c>
      <c r="L21" s="1867"/>
      <c r="M21" s="1651">
        <f t="shared" si="7"/>
        <v>0</v>
      </c>
      <c r="N21" s="1652">
        <f t="shared" si="2"/>
        <v>4844.05</v>
      </c>
      <c r="O21" s="1653">
        <f t="shared" si="8"/>
        <v>19618.4025</v>
      </c>
      <c r="P21" s="1654">
        <f t="shared" si="9"/>
        <v>1.0000001274313908</v>
      </c>
      <c r="Q21" s="1655">
        <f t="shared" si="10"/>
        <v>0</v>
      </c>
      <c r="R21" s="1656">
        <f t="shared" si="11"/>
        <v>0</v>
      </c>
      <c r="S21" s="1657">
        <f t="shared" si="12"/>
        <v>0</v>
      </c>
      <c r="T21" s="1418">
        <f t="shared" si="3"/>
        <v>19618.4025</v>
      </c>
      <c r="U21" s="1418">
        <f t="shared" si="1"/>
        <v>19376.2</v>
      </c>
      <c r="V21" s="1418">
        <f t="shared" si="4"/>
        <v>-242.20249999999942</v>
      </c>
      <c r="W21" s="1428"/>
      <c r="X21" s="1409" t="s">
        <v>2</v>
      </c>
      <c r="Y21" s="1417" t="e">
        <f>SUM(Y14:Y20)</f>
        <v>#REF!</v>
      </c>
      <c r="Z21" s="1418">
        <f>+M258</f>
        <v>41834.359199999999</v>
      </c>
      <c r="AA21" s="1418" t="e">
        <f>+Y21-Z21</f>
        <v>#REF!</v>
      </c>
    </row>
    <row r="22" spans="1:27" s="1410" customFormat="1">
      <c r="B22" s="1632" t="s">
        <v>3724</v>
      </c>
      <c r="C22" s="1644" t="s">
        <v>2894</v>
      </c>
      <c r="D22" s="1645" t="s">
        <v>37</v>
      </c>
      <c r="E22" s="1646">
        <v>1231.8599999999999</v>
      </c>
      <c r="F22" s="1647">
        <v>7.01</v>
      </c>
      <c r="G22" s="1728">
        <v>7.27</v>
      </c>
      <c r="H22" s="1648">
        <f t="shared" si="5"/>
        <v>8635.34</v>
      </c>
      <c r="I22" s="1648">
        <f t="shared" si="6"/>
        <v>8955.6200000000008</v>
      </c>
      <c r="J22" s="1649">
        <v>1231.8599999999999</v>
      </c>
      <c r="K22" s="1650">
        <v>8955.622199999998</v>
      </c>
      <c r="L22" s="1867"/>
      <c r="M22" s="1651">
        <f t="shared" si="7"/>
        <v>0</v>
      </c>
      <c r="N22" s="1652">
        <f t="shared" si="2"/>
        <v>1231.8599999999999</v>
      </c>
      <c r="O22" s="1653">
        <f t="shared" si="8"/>
        <v>8955.622199999998</v>
      </c>
      <c r="P22" s="1654">
        <f t="shared" si="9"/>
        <v>1.0000002456558001</v>
      </c>
      <c r="Q22" s="1655">
        <f t="shared" si="10"/>
        <v>0</v>
      </c>
      <c r="R22" s="1656">
        <f t="shared" si="11"/>
        <v>0</v>
      </c>
      <c r="S22" s="1657">
        <f t="shared" si="12"/>
        <v>0</v>
      </c>
      <c r="T22" s="1418">
        <f t="shared" si="3"/>
        <v>8955.622199999998</v>
      </c>
      <c r="U22" s="1418">
        <f t="shared" si="1"/>
        <v>8635.34</v>
      </c>
      <c r="V22" s="1418">
        <f t="shared" si="4"/>
        <v>-320.28219999999783</v>
      </c>
      <c r="W22" s="1428"/>
    </row>
    <row r="23" spans="1:27" s="1410" customFormat="1">
      <c r="A23" s="1423"/>
      <c r="B23" s="1725" t="s">
        <v>39</v>
      </c>
      <c r="C23" s="1721" t="s">
        <v>3725</v>
      </c>
      <c r="D23" s="1645"/>
      <c r="E23" s="1646"/>
      <c r="F23" s="1647"/>
      <c r="G23" s="1728"/>
      <c r="H23" s="1648"/>
      <c r="I23" s="1648"/>
      <c r="J23" s="1649"/>
      <c r="K23" s="1650"/>
      <c r="L23" s="1867"/>
      <c r="M23" s="1651"/>
      <c r="N23" s="1652"/>
      <c r="O23" s="1653"/>
      <c r="P23" s="1654"/>
      <c r="Q23" s="1655"/>
      <c r="R23" s="1656"/>
      <c r="S23" s="1657" t="str">
        <f t="shared" si="12"/>
        <v/>
      </c>
      <c r="T23" s="1418">
        <f t="shared" si="3"/>
        <v>0</v>
      </c>
      <c r="U23" s="1418">
        <f t="shared" si="1"/>
        <v>0</v>
      </c>
      <c r="V23" s="1418">
        <f t="shared" si="4"/>
        <v>0</v>
      </c>
      <c r="W23" s="1428"/>
    </row>
    <row r="24" spans="1:27" s="1410" customFormat="1">
      <c r="A24" s="1423"/>
      <c r="B24" s="1725" t="s">
        <v>541</v>
      </c>
      <c r="C24" s="1721" t="s">
        <v>2900</v>
      </c>
      <c r="D24" s="1645"/>
      <c r="E24" s="1646"/>
      <c r="F24" s="1647"/>
      <c r="G24" s="1728"/>
      <c r="H24" s="1648"/>
      <c r="I24" s="1648"/>
      <c r="J24" s="1649"/>
      <c r="K24" s="1650"/>
      <c r="L24" s="1867"/>
      <c r="M24" s="1651"/>
      <c r="N24" s="1652"/>
      <c r="O24" s="1653"/>
      <c r="P24" s="1654"/>
      <c r="Q24" s="1655"/>
      <c r="R24" s="1656"/>
      <c r="S24" s="1657" t="str">
        <f t="shared" si="12"/>
        <v/>
      </c>
      <c r="T24" s="1418"/>
      <c r="U24" s="1418"/>
      <c r="V24" s="1418"/>
      <c r="W24" s="1428"/>
    </row>
    <row r="25" spans="1:27" s="1410" customFormat="1">
      <c r="B25" s="1632" t="s">
        <v>3726</v>
      </c>
      <c r="C25" s="1644" t="s">
        <v>3727</v>
      </c>
      <c r="D25" s="1645" t="s">
        <v>37</v>
      </c>
      <c r="E25" s="1646">
        <v>996.35</v>
      </c>
      <c r="F25" s="1647">
        <v>34.24</v>
      </c>
      <c r="G25" s="1728">
        <v>34.96</v>
      </c>
      <c r="H25" s="1648">
        <f t="shared" si="5"/>
        <v>34115.019999999997</v>
      </c>
      <c r="I25" s="1648">
        <f t="shared" si="6"/>
        <v>34832.400000000001</v>
      </c>
      <c r="J25" s="1649">
        <v>996.35</v>
      </c>
      <c r="K25" s="1650">
        <v>34832.396000000001</v>
      </c>
      <c r="L25" s="1867"/>
      <c r="M25" s="1651">
        <f t="shared" si="7"/>
        <v>0</v>
      </c>
      <c r="N25" s="1652">
        <f t="shared" si="2"/>
        <v>996.35</v>
      </c>
      <c r="O25" s="1653">
        <f t="shared" si="8"/>
        <v>34832.396000000001</v>
      </c>
      <c r="P25" s="1654">
        <f t="shared" si="9"/>
        <v>0.9999998851643872</v>
      </c>
      <c r="Q25" s="1655">
        <f t="shared" si="10"/>
        <v>0</v>
      </c>
      <c r="R25" s="1656">
        <f t="shared" si="11"/>
        <v>0</v>
      </c>
      <c r="S25" s="1657">
        <f t="shared" si="12"/>
        <v>0</v>
      </c>
      <c r="T25" s="1418"/>
      <c r="U25" s="1418"/>
      <c r="V25" s="1418"/>
      <c r="W25" s="1428"/>
    </row>
    <row r="26" spans="1:27" s="1410" customFormat="1">
      <c r="A26" s="1409"/>
      <c r="B26" s="1725" t="s">
        <v>542</v>
      </c>
      <c r="C26" s="1721" t="s">
        <v>2904</v>
      </c>
      <c r="D26" s="1645"/>
      <c r="E26" s="1646"/>
      <c r="F26" s="1647"/>
      <c r="G26" s="1728"/>
      <c r="H26" s="1648">
        <f t="shared" si="5"/>
        <v>0</v>
      </c>
      <c r="I26" s="1648"/>
      <c r="J26" s="1649"/>
      <c r="K26" s="1650"/>
      <c r="L26" s="1867"/>
      <c r="M26" s="1651"/>
      <c r="N26" s="1652"/>
      <c r="O26" s="1653"/>
      <c r="P26" s="1654"/>
      <c r="Q26" s="1655"/>
      <c r="R26" s="1656"/>
      <c r="S26" s="1657"/>
      <c r="T26" s="1418"/>
      <c r="U26" s="1418"/>
      <c r="V26" s="1418"/>
      <c r="W26" s="1428"/>
    </row>
    <row r="27" spans="1:27" s="1410" customFormat="1">
      <c r="A27" s="1423"/>
      <c r="B27" s="1632" t="s">
        <v>3728</v>
      </c>
      <c r="C27" s="1644" t="s">
        <v>3729</v>
      </c>
      <c r="D27" s="1645" t="s">
        <v>40</v>
      </c>
      <c r="E27" s="1646">
        <v>29.61</v>
      </c>
      <c r="F27" s="1647">
        <v>240.43</v>
      </c>
      <c r="G27" s="1728">
        <v>244.09</v>
      </c>
      <c r="H27" s="1648">
        <f t="shared" si="5"/>
        <v>7119.13</v>
      </c>
      <c r="I27" s="1648">
        <f t="shared" si="6"/>
        <v>7227.5</v>
      </c>
      <c r="J27" s="1649">
        <v>29.61</v>
      </c>
      <c r="K27" s="1650">
        <v>7227.5048999999999</v>
      </c>
      <c r="L27" s="1867"/>
      <c r="M27" s="1651">
        <f t="shared" si="7"/>
        <v>0</v>
      </c>
      <c r="N27" s="1652">
        <f t="shared" si="2"/>
        <v>29.61</v>
      </c>
      <c r="O27" s="1653">
        <f t="shared" si="8"/>
        <v>7227.5048999999999</v>
      </c>
      <c r="P27" s="1654">
        <f t="shared" si="9"/>
        <v>1.0000006779661017</v>
      </c>
      <c r="Q27" s="1655">
        <f t="shared" si="10"/>
        <v>0</v>
      </c>
      <c r="R27" s="1656">
        <f t="shared" si="11"/>
        <v>0</v>
      </c>
      <c r="S27" s="1657">
        <f t="shared" si="12"/>
        <v>0</v>
      </c>
      <c r="T27" s="1418"/>
      <c r="U27" s="1418"/>
      <c r="V27" s="1418"/>
      <c r="W27" s="1428"/>
    </row>
    <row r="28" spans="1:27" s="1410" customFormat="1">
      <c r="B28" s="1632" t="s">
        <v>3730</v>
      </c>
      <c r="C28" s="1644" t="s">
        <v>3731</v>
      </c>
      <c r="D28" s="1645" t="s">
        <v>37</v>
      </c>
      <c r="E28" s="1646">
        <v>131.97999999999999</v>
      </c>
      <c r="F28" s="1647">
        <v>87.35</v>
      </c>
      <c r="G28" s="1728">
        <v>89.51</v>
      </c>
      <c r="H28" s="1648">
        <f t="shared" si="5"/>
        <v>11528.45</v>
      </c>
      <c r="I28" s="1648">
        <f t="shared" si="6"/>
        <v>11813.53</v>
      </c>
      <c r="J28" s="1649">
        <v>131.97999999999999</v>
      </c>
      <c r="K28" s="1650">
        <v>11813.5298</v>
      </c>
      <c r="L28" s="1867"/>
      <c r="M28" s="1651">
        <f t="shared" si="7"/>
        <v>0</v>
      </c>
      <c r="N28" s="1652">
        <f t="shared" si="2"/>
        <v>131.97999999999999</v>
      </c>
      <c r="O28" s="1653">
        <f t="shared" si="8"/>
        <v>11813.5298</v>
      </c>
      <c r="P28" s="1654">
        <f t="shared" si="9"/>
        <v>0.99999998307025928</v>
      </c>
      <c r="Q28" s="1655">
        <f t="shared" si="10"/>
        <v>0</v>
      </c>
      <c r="R28" s="1656">
        <f t="shared" si="11"/>
        <v>0</v>
      </c>
      <c r="S28" s="1657">
        <f t="shared" si="12"/>
        <v>0</v>
      </c>
      <c r="T28" s="1418"/>
      <c r="U28" s="1418"/>
      <c r="V28" s="1418"/>
      <c r="W28" s="1428"/>
    </row>
    <row r="29" spans="1:27" s="1410" customFormat="1">
      <c r="A29" s="1409"/>
      <c r="B29" s="1725" t="s">
        <v>543</v>
      </c>
      <c r="C29" s="1721" t="s">
        <v>2907</v>
      </c>
      <c r="D29" s="1645"/>
      <c r="E29" s="1646"/>
      <c r="F29" s="1647"/>
      <c r="G29" s="1728"/>
      <c r="H29" s="1648">
        <f t="shared" si="5"/>
        <v>0</v>
      </c>
      <c r="I29" s="1648"/>
      <c r="J29" s="1649"/>
      <c r="K29" s="1650"/>
      <c r="L29" s="1867"/>
      <c r="M29" s="1651"/>
      <c r="N29" s="1652"/>
      <c r="O29" s="1653"/>
      <c r="P29" s="1654" t="str">
        <f t="shared" si="9"/>
        <v/>
      </c>
      <c r="Q29" s="1655"/>
      <c r="R29" s="1656">
        <f t="shared" si="11"/>
        <v>0</v>
      </c>
      <c r="S29" s="1657" t="str">
        <f t="shared" si="12"/>
        <v/>
      </c>
      <c r="T29" s="1418"/>
      <c r="U29" s="1418"/>
      <c r="V29" s="1418"/>
      <c r="W29" s="1428"/>
    </row>
    <row r="30" spans="1:27" s="1410" customFormat="1">
      <c r="A30" s="1423"/>
      <c r="B30" s="1632" t="s">
        <v>3732</v>
      </c>
      <c r="C30" s="1644" t="s">
        <v>2908</v>
      </c>
      <c r="D30" s="1645" t="s">
        <v>40</v>
      </c>
      <c r="E30" s="1646">
        <v>3.65</v>
      </c>
      <c r="F30" s="1647">
        <v>402.12</v>
      </c>
      <c r="G30" s="1728">
        <v>407.84</v>
      </c>
      <c r="H30" s="1648">
        <f t="shared" si="5"/>
        <v>1467.74</v>
      </c>
      <c r="I30" s="1648">
        <f t="shared" si="6"/>
        <v>1488.62</v>
      </c>
      <c r="J30" s="1649">
        <v>3.65</v>
      </c>
      <c r="K30" s="1650">
        <v>1488.616</v>
      </c>
      <c r="L30" s="1867"/>
      <c r="M30" s="1651">
        <f t="shared" si="7"/>
        <v>0</v>
      </c>
      <c r="N30" s="1652">
        <f t="shared" si="2"/>
        <v>3.65</v>
      </c>
      <c r="O30" s="1653">
        <f t="shared" si="8"/>
        <v>1488.616</v>
      </c>
      <c r="P30" s="1654">
        <f t="shared" si="9"/>
        <v>0.99999731294756222</v>
      </c>
      <c r="Q30" s="1655">
        <f t="shared" si="10"/>
        <v>0</v>
      </c>
      <c r="R30" s="1656">
        <f t="shared" si="11"/>
        <v>0</v>
      </c>
      <c r="S30" s="1657">
        <f t="shared" si="12"/>
        <v>0</v>
      </c>
      <c r="T30" s="1418"/>
      <c r="U30" s="1418"/>
      <c r="V30" s="1418"/>
      <c r="W30" s="1428"/>
    </row>
    <row r="31" spans="1:27" s="1410" customFormat="1">
      <c r="B31" s="1632" t="s">
        <v>3733</v>
      </c>
      <c r="C31" s="1644" t="s">
        <v>2909</v>
      </c>
      <c r="D31" s="1645" t="s">
        <v>37</v>
      </c>
      <c r="E31" s="1646">
        <v>42.34</v>
      </c>
      <c r="F31" s="1647">
        <v>60.7</v>
      </c>
      <c r="G31" s="1728">
        <v>61.92</v>
      </c>
      <c r="H31" s="1648">
        <f t="shared" si="5"/>
        <v>2570.04</v>
      </c>
      <c r="I31" s="1648">
        <f t="shared" si="6"/>
        <v>2621.69</v>
      </c>
      <c r="J31" s="1649">
        <v>42.34</v>
      </c>
      <c r="K31" s="1650">
        <v>2621.6928000000003</v>
      </c>
      <c r="L31" s="1867"/>
      <c r="M31" s="1651">
        <f t="shared" si="7"/>
        <v>0</v>
      </c>
      <c r="N31" s="1652">
        <f t="shared" si="2"/>
        <v>42.34</v>
      </c>
      <c r="O31" s="1653">
        <f t="shared" si="8"/>
        <v>2621.6928000000003</v>
      </c>
      <c r="P31" s="1654">
        <f t="shared" si="9"/>
        <v>1.0000010680133808</v>
      </c>
      <c r="Q31" s="1655">
        <f t="shared" si="10"/>
        <v>0</v>
      </c>
      <c r="R31" s="1656">
        <f t="shared" si="11"/>
        <v>0</v>
      </c>
      <c r="S31" s="1657">
        <f t="shared" si="12"/>
        <v>0</v>
      </c>
      <c r="T31" s="1418"/>
      <c r="U31" s="1418"/>
      <c r="V31" s="1418"/>
      <c r="W31" s="1428"/>
    </row>
    <row r="32" spans="1:27" s="1410" customFormat="1">
      <c r="A32" s="1423"/>
      <c r="B32" s="1725" t="s">
        <v>544</v>
      </c>
      <c r="C32" s="1721" t="s">
        <v>2928</v>
      </c>
      <c r="D32" s="1645"/>
      <c r="E32" s="1646"/>
      <c r="F32" s="1647"/>
      <c r="G32" s="1728"/>
      <c r="H32" s="1648">
        <f t="shared" si="5"/>
        <v>0</v>
      </c>
      <c r="I32" s="1648"/>
      <c r="J32" s="1649"/>
      <c r="K32" s="1650"/>
      <c r="L32" s="1867"/>
      <c r="M32" s="1651"/>
      <c r="N32" s="1652"/>
      <c r="O32" s="1653"/>
      <c r="P32" s="1654"/>
      <c r="Q32" s="1655"/>
      <c r="R32" s="1656"/>
      <c r="S32" s="1657" t="str">
        <f t="shared" si="12"/>
        <v/>
      </c>
      <c r="T32" s="1418"/>
      <c r="U32" s="1418"/>
      <c r="V32" s="1418"/>
      <c r="W32" s="1428"/>
    </row>
    <row r="33" spans="1:23" s="1410" customFormat="1">
      <c r="A33" s="1423"/>
      <c r="B33" s="1725" t="s">
        <v>545</v>
      </c>
      <c r="C33" s="1721" t="s">
        <v>2929</v>
      </c>
      <c r="D33" s="1645"/>
      <c r="E33" s="1646"/>
      <c r="F33" s="1647"/>
      <c r="G33" s="1728"/>
      <c r="H33" s="1648">
        <f t="shared" si="5"/>
        <v>0</v>
      </c>
      <c r="I33" s="1648"/>
      <c r="J33" s="1649"/>
      <c r="K33" s="1650"/>
      <c r="L33" s="1867"/>
      <c r="M33" s="1651"/>
      <c r="N33" s="1652"/>
      <c r="O33" s="1653"/>
      <c r="P33" s="1654"/>
      <c r="Q33" s="1655"/>
      <c r="R33" s="1656"/>
      <c r="S33" s="1657" t="str">
        <f t="shared" si="12"/>
        <v/>
      </c>
      <c r="T33" s="1418"/>
      <c r="U33" s="1418"/>
      <c r="V33" s="1418"/>
      <c r="W33" s="1428"/>
    </row>
    <row r="34" spans="1:23" s="1410" customFormat="1">
      <c r="B34" s="1632" t="s">
        <v>3734</v>
      </c>
      <c r="C34" s="1644" t="s">
        <v>2930</v>
      </c>
      <c r="D34" s="1645" t="s">
        <v>40</v>
      </c>
      <c r="E34" s="1646">
        <v>624.74</v>
      </c>
      <c r="F34" s="1647">
        <v>435.75</v>
      </c>
      <c r="G34" s="1728">
        <v>436.26</v>
      </c>
      <c r="H34" s="1648">
        <f t="shared" si="5"/>
        <v>272230.46000000002</v>
      </c>
      <c r="I34" s="1648">
        <f t="shared" si="6"/>
        <v>272549.07</v>
      </c>
      <c r="J34" s="1649">
        <v>512.18404999999996</v>
      </c>
      <c r="K34" s="1650">
        <v>223445.41365299997</v>
      </c>
      <c r="L34" s="1867">
        <v>2.48</v>
      </c>
      <c r="M34" s="1651">
        <f t="shared" si="7"/>
        <v>1081.9248</v>
      </c>
      <c r="N34" s="1652">
        <f t="shared" si="2"/>
        <v>514.66404999999997</v>
      </c>
      <c r="O34" s="1653">
        <f t="shared" si="8"/>
        <v>224527.33845299997</v>
      </c>
      <c r="P34" s="1654">
        <f t="shared" si="9"/>
        <v>0.82380519021033527</v>
      </c>
      <c r="Q34" s="1655">
        <f t="shared" si="10"/>
        <v>110.07595000000003</v>
      </c>
      <c r="R34" s="1656">
        <f t="shared" si="11"/>
        <v>48021.73</v>
      </c>
      <c r="S34" s="1657">
        <f t="shared" si="12"/>
        <v>0.17619480411362257</v>
      </c>
      <c r="T34" s="1418"/>
      <c r="U34" s="1418"/>
      <c r="V34" s="1418"/>
      <c r="W34" s="1428"/>
    </row>
    <row r="35" spans="1:23" s="1410" customFormat="1">
      <c r="A35" s="1409"/>
      <c r="B35" s="1632" t="s">
        <v>3735</v>
      </c>
      <c r="C35" s="1644" t="s">
        <v>2931</v>
      </c>
      <c r="D35" s="1645" t="s">
        <v>48</v>
      </c>
      <c r="E35" s="1646">
        <v>24297.87</v>
      </c>
      <c r="F35" s="1647">
        <v>5.05</v>
      </c>
      <c r="G35" s="1728">
        <v>5.1100000000000003</v>
      </c>
      <c r="H35" s="1648">
        <f t="shared" si="5"/>
        <v>122704.24</v>
      </c>
      <c r="I35" s="1648">
        <f t="shared" si="6"/>
        <v>124162.12</v>
      </c>
      <c r="J35" s="1649">
        <v>21101.911</v>
      </c>
      <c r="K35" s="1650">
        <v>107830.76521000001</v>
      </c>
      <c r="L35" s="1867">
        <v>95.67</v>
      </c>
      <c r="M35" s="1651">
        <f t="shared" si="7"/>
        <v>488.87370000000004</v>
      </c>
      <c r="N35" s="1652">
        <f t="shared" si="2"/>
        <v>21197.580999999998</v>
      </c>
      <c r="O35" s="1653">
        <f t="shared" si="8"/>
        <v>108319.63890999999</v>
      </c>
      <c r="P35" s="1654">
        <f t="shared" si="9"/>
        <v>0.87240487606042805</v>
      </c>
      <c r="Q35" s="1655">
        <f t="shared" si="10"/>
        <v>3100.2890000000007</v>
      </c>
      <c r="R35" s="1656">
        <f t="shared" si="11"/>
        <v>15842.48</v>
      </c>
      <c r="S35" s="1657">
        <f t="shared" si="12"/>
        <v>0.12759511516072697</v>
      </c>
      <c r="T35" s="1418"/>
      <c r="U35" s="1418"/>
      <c r="V35" s="1418"/>
      <c r="W35" s="1428"/>
    </row>
    <row r="36" spans="1:23" s="1410" customFormat="1">
      <c r="A36" s="1423"/>
      <c r="B36" s="1725" t="s">
        <v>546</v>
      </c>
      <c r="C36" s="1721" t="s">
        <v>2932</v>
      </c>
      <c r="D36" s="1645"/>
      <c r="E36" s="1646"/>
      <c r="F36" s="1647"/>
      <c r="G36" s="1728"/>
      <c r="H36" s="1648">
        <f t="shared" si="5"/>
        <v>0</v>
      </c>
      <c r="I36" s="1648"/>
      <c r="J36" s="1649"/>
      <c r="K36" s="1650"/>
      <c r="L36" s="1867"/>
      <c r="M36" s="1651"/>
      <c r="N36" s="1652"/>
      <c r="O36" s="1653"/>
      <c r="P36" s="1654"/>
      <c r="Q36" s="1655"/>
      <c r="R36" s="1656">
        <f t="shared" si="11"/>
        <v>0</v>
      </c>
      <c r="S36" s="1657" t="str">
        <f t="shared" si="12"/>
        <v/>
      </c>
      <c r="T36" s="1418"/>
      <c r="U36" s="1418"/>
      <c r="V36" s="1418"/>
      <c r="W36" s="1428"/>
    </row>
    <row r="37" spans="1:23" s="1410" customFormat="1">
      <c r="B37" s="1632" t="s">
        <v>3736</v>
      </c>
      <c r="C37" s="1644" t="s">
        <v>3737</v>
      </c>
      <c r="D37" s="1645" t="s">
        <v>40</v>
      </c>
      <c r="E37" s="1646">
        <v>21.03</v>
      </c>
      <c r="F37" s="1647">
        <v>438.44</v>
      </c>
      <c r="G37" s="1728">
        <v>439.07</v>
      </c>
      <c r="H37" s="1648">
        <f t="shared" si="5"/>
        <v>9220.39</v>
      </c>
      <c r="I37" s="1648">
        <f t="shared" si="6"/>
        <v>9233.64</v>
      </c>
      <c r="J37" s="1649">
        <v>0</v>
      </c>
      <c r="K37" s="1650">
        <v>0</v>
      </c>
      <c r="L37" s="1867"/>
      <c r="M37" s="1651">
        <f t="shared" si="7"/>
        <v>0</v>
      </c>
      <c r="N37" s="1652">
        <f t="shared" si="2"/>
        <v>0</v>
      </c>
      <c r="O37" s="1653">
        <f t="shared" si="8"/>
        <v>0</v>
      </c>
      <c r="P37" s="1654">
        <f t="shared" si="9"/>
        <v>0</v>
      </c>
      <c r="Q37" s="1655">
        <f t="shared" si="10"/>
        <v>21.03</v>
      </c>
      <c r="R37" s="1656">
        <f t="shared" si="11"/>
        <v>9233.64</v>
      </c>
      <c r="S37" s="1657">
        <f t="shared" si="12"/>
        <v>1</v>
      </c>
      <c r="T37" s="1418"/>
      <c r="U37" s="1418"/>
      <c r="V37" s="1418"/>
      <c r="W37" s="1428"/>
    </row>
    <row r="38" spans="1:23" s="1410" customFormat="1">
      <c r="A38" s="1409"/>
      <c r="B38" s="1632" t="s">
        <v>3738</v>
      </c>
      <c r="C38" s="1644" t="s">
        <v>2934</v>
      </c>
      <c r="D38" s="1645" t="s">
        <v>37</v>
      </c>
      <c r="E38" s="1646">
        <v>134.18</v>
      </c>
      <c r="F38" s="1647">
        <v>76.81</v>
      </c>
      <c r="G38" s="1728">
        <v>78.53</v>
      </c>
      <c r="H38" s="1648">
        <f t="shared" si="5"/>
        <v>10306.370000000001</v>
      </c>
      <c r="I38" s="1648">
        <f t="shared" si="6"/>
        <v>10537.16</v>
      </c>
      <c r="J38" s="1649">
        <v>0</v>
      </c>
      <c r="K38" s="1650">
        <v>0</v>
      </c>
      <c r="L38" s="1867"/>
      <c r="M38" s="1651">
        <f t="shared" si="7"/>
        <v>0</v>
      </c>
      <c r="N38" s="1652">
        <f t="shared" si="2"/>
        <v>0</v>
      </c>
      <c r="O38" s="1653">
        <f t="shared" si="8"/>
        <v>0</v>
      </c>
      <c r="P38" s="1654">
        <f t="shared" si="9"/>
        <v>0</v>
      </c>
      <c r="Q38" s="1655">
        <f t="shared" si="10"/>
        <v>134.18</v>
      </c>
      <c r="R38" s="1656">
        <f t="shared" si="11"/>
        <v>10537.16</v>
      </c>
      <c r="S38" s="1657">
        <f t="shared" si="12"/>
        <v>1</v>
      </c>
      <c r="T38" s="1418"/>
      <c r="U38" s="1418"/>
      <c r="V38" s="1418"/>
      <c r="W38" s="1428"/>
    </row>
    <row r="39" spans="1:23" s="1410" customFormat="1">
      <c r="A39" s="1423"/>
      <c r="B39" s="1632" t="s">
        <v>3739</v>
      </c>
      <c r="C39" s="1644" t="s">
        <v>2935</v>
      </c>
      <c r="D39" s="1645" t="s">
        <v>48</v>
      </c>
      <c r="E39" s="1646">
        <v>3117.62</v>
      </c>
      <c r="F39" s="1647">
        <v>5.05</v>
      </c>
      <c r="G39" s="1728">
        <v>5.1100000000000003</v>
      </c>
      <c r="H39" s="1648">
        <f t="shared" si="5"/>
        <v>15743.98</v>
      </c>
      <c r="I39" s="1648">
        <f t="shared" si="6"/>
        <v>15931.04</v>
      </c>
      <c r="J39" s="1649">
        <v>0</v>
      </c>
      <c r="K39" s="1650">
        <v>0</v>
      </c>
      <c r="L39" s="1867"/>
      <c r="M39" s="1651">
        <f t="shared" si="7"/>
        <v>0</v>
      </c>
      <c r="N39" s="1652">
        <f t="shared" si="2"/>
        <v>0</v>
      </c>
      <c r="O39" s="1653">
        <f t="shared" si="8"/>
        <v>0</v>
      </c>
      <c r="P39" s="1654">
        <f t="shared" si="9"/>
        <v>0</v>
      </c>
      <c r="Q39" s="1655">
        <f t="shared" si="10"/>
        <v>3117.62</v>
      </c>
      <c r="R39" s="1656">
        <f t="shared" si="11"/>
        <v>15931.04</v>
      </c>
      <c r="S39" s="1657">
        <f t="shared" si="12"/>
        <v>1</v>
      </c>
      <c r="T39" s="1418"/>
      <c r="U39" s="1418"/>
      <c r="V39" s="1418"/>
      <c r="W39" s="1428"/>
    </row>
    <row r="40" spans="1:23" s="1410" customFormat="1">
      <c r="B40" s="1725" t="s">
        <v>2243</v>
      </c>
      <c r="C40" s="1721" t="s">
        <v>2940</v>
      </c>
      <c r="D40" s="1645"/>
      <c r="E40" s="1646"/>
      <c r="F40" s="1647"/>
      <c r="G40" s="1728"/>
      <c r="H40" s="1648"/>
      <c r="I40" s="1648"/>
      <c r="J40" s="1649"/>
      <c r="K40" s="1650">
        <v>0</v>
      </c>
      <c r="L40" s="1867"/>
      <c r="M40" s="1651">
        <f t="shared" si="7"/>
        <v>0</v>
      </c>
      <c r="N40" s="1652"/>
      <c r="O40" s="1653">
        <f t="shared" si="8"/>
        <v>0</v>
      </c>
      <c r="P40" s="1654" t="str">
        <f t="shared" si="9"/>
        <v/>
      </c>
      <c r="Q40" s="1655"/>
      <c r="R40" s="1656">
        <f t="shared" si="11"/>
        <v>0</v>
      </c>
      <c r="S40" s="1657" t="str">
        <f t="shared" si="12"/>
        <v/>
      </c>
      <c r="T40" s="1418"/>
      <c r="U40" s="1418"/>
      <c r="V40" s="1418"/>
      <c r="W40" s="1428"/>
    </row>
    <row r="41" spans="1:23" s="1410" customFormat="1">
      <c r="A41" s="1423"/>
      <c r="B41" s="1632" t="s">
        <v>3740</v>
      </c>
      <c r="C41" s="1644" t="s">
        <v>3741</v>
      </c>
      <c r="D41" s="1645" t="s">
        <v>40</v>
      </c>
      <c r="E41" s="1646">
        <v>652.25</v>
      </c>
      <c r="F41" s="1647">
        <v>454.54</v>
      </c>
      <c r="G41" s="1728">
        <v>455.76</v>
      </c>
      <c r="H41" s="1648">
        <f t="shared" si="5"/>
        <v>296473.71999999997</v>
      </c>
      <c r="I41" s="1648">
        <f t="shared" si="6"/>
        <v>297269.46000000002</v>
      </c>
      <c r="J41" s="1649">
        <v>652.25</v>
      </c>
      <c r="K41" s="1650">
        <v>297269.46000000002</v>
      </c>
      <c r="L41" s="1867"/>
      <c r="M41" s="1651">
        <f t="shared" si="7"/>
        <v>0</v>
      </c>
      <c r="N41" s="1652">
        <f t="shared" si="2"/>
        <v>652.25</v>
      </c>
      <c r="O41" s="1653">
        <f t="shared" si="8"/>
        <v>297269.46000000002</v>
      </c>
      <c r="P41" s="1654">
        <f t="shared" si="9"/>
        <v>1</v>
      </c>
      <c r="Q41" s="1655">
        <f t="shared" si="10"/>
        <v>0</v>
      </c>
      <c r="R41" s="1656">
        <f t="shared" si="11"/>
        <v>0</v>
      </c>
      <c r="S41" s="1657">
        <f t="shared" si="12"/>
        <v>0</v>
      </c>
      <c r="T41" s="1418"/>
      <c r="U41" s="1418"/>
      <c r="V41" s="1418"/>
      <c r="W41" s="1428"/>
    </row>
    <row r="42" spans="1:23" s="1410" customFormat="1">
      <c r="A42" s="1423"/>
      <c r="B42" s="1632" t="s">
        <v>3742</v>
      </c>
      <c r="C42" s="1644" t="s">
        <v>2942</v>
      </c>
      <c r="D42" s="1645" t="s">
        <v>37</v>
      </c>
      <c r="E42" s="1646">
        <v>2797.5</v>
      </c>
      <c r="F42" s="1647">
        <v>61.44</v>
      </c>
      <c r="G42" s="1728">
        <v>62.87</v>
      </c>
      <c r="H42" s="1648">
        <f t="shared" si="5"/>
        <v>171878.39999999999</v>
      </c>
      <c r="I42" s="1648">
        <f t="shared" si="6"/>
        <v>175878.83</v>
      </c>
      <c r="J42" s="1649">
        <v>2797.5</v>
      </c>
      <c r="K42" s="1650">
        <v>175878.82499999998</v>
      </c>
      <c r="L42" s="1867"/>
      <c r="M42" s="1651">
        <f t="shared" si="7"/>
        <v>0</v>
      </c>
      <c r="N42" s="1652">
        <f t="shared" si="2"/>
        <v>2797.5</v>
      </c>
      <c r="O42" s="1653">
        <f t="shared" si="8"/>
        <v>175878.82499999998</v>
      </c>
      <c r="P42" s="1654">
        <f t="shared" si="9"/>
        <v>0.99999997157133691</v>
      </c>
      <c r="Q42" s="1655">
        <f t="shared" si="10"/>
        <v>0</v>
      </c>
      <c r="R42" s="1656">
        <f t="shared" si="11"/>
        <v>0</v>
      </c>
      <c r="S42" s="1657">
        <f t="shared" si="12"/>
        <v>0</v>
      </c>
      <c r="T42" s="1418"/>
      <c r="U42" s="1418"/>
      <c r="V42" s="1418"/>
      <c r="W42" s="1428"/>
    </row>
    <row r="43" spans="1:23" s="1410" customFormat="1">
      <c r="B43" s="1632" t="s">
        <v>3743</v>
      </c>
      <c r="C43" s="1644" t="s">
        <v>2943</v>
      </c>
      <c r="D43" s="1645" t="s">
        <v>48</v>
      </c>
      <c r="E43" s="1646">
        <v>32792.129999999997</v>
      </c>
      <c r="F43" s="1647">
        <v>5.05</v>
      </c>
      <c r="G43" s="1728">
        <v>5.1100000000000003</v>
      </c>
      <c r="H43" s="1648">
        <f t="shared" si="5"/>
        <v>165600.26</v>
      </c>
      <c r="I43" s="1648">
        <f t="shared" si="6"/>
        <v>167567.78</v>
      </c>
      <c r="J43" s="1649">
        <v>32792.129999999997</v>
      </c>
      <c r="K43" s="1650">
        <v>167567.7843</v>
      </c>
      <c r="L43" s="1867"/>
      <c r="M43" s="1651">
        <f t="shared" si="7"/>
        <v>0</v>
      </c>
      <c r="N43" s="1652">
        <f t="shared" si="2"/>
        <v>32792.129999999997</v>
      </c>
      <c r="O43" s="1653">
        <f t="shared" si="8"/>
        <v>167567.7843</v>
      </c>
      <c r="P43" s="1654">
        <f t="shared" si="9"/>
        <v>1.0000000256612578</v>
      </c>
      <c r="Q43" s="1655">
        <f t="shared" si="10"/>
        <v>0</v>
      </c>
      <c r="R43" s="1656">
        <f t="shared" si="11"/>
        <v>0</v>
      </c>
      <c r="S43" s="1657">
        <f t="shared" si="12"/>
        <v>0</v>
      </c>
      <c r="T43" s="1418"/>
      <c r="U43" s="1418"/>
      <c r="V43" s="1418"/>
      <c r="W43" s="1428"/>
    </row>
    <row r="44" spans="1:23" s="1410" customFormat="1">
      <c r="A44" s="1409"/>
      <c r="B44" s="1725" t="s">
        <v>2244</v>
      </c>
      <c r="C44" s="1721" t="s">
        <v>2945</v>
      </c>
      <c r="D44" s="1645"/>
      <c r="E44" s="1646"/>
      <c r="F44" s="1647"/>
      <c r="G44" s="1728"/>
      <c r="H44" s="1648">
        <f t="shared" si="5"/>
        <v>0</v>
      </c>
      <c r="I44" s="1648"/>
      <c r="J44" s="1649"/>
      <c r="K44" s="1650"/>
      <c r="L44" s="1867"/>
      <c r="M44" s="1651"/>
      <c r="N44" s="1652"/>
      <c r="O44" s="1653"/>
      <c r="P44" s="1654"/>
      <c r="Q44" s="1655"/>
      <c r="R44" s="1656"/>
      <c r="S44" s="1657"/>
      <c r="T44" s="1418"/>
      <c r="U44" s="1418"/>
      <c r="V44" s="1418"/>
      <c r="W44" s="1428"/>
    </row>
    <row r="45" spans="1:23" s="1410" customFormat="1">
      <c r="A45" s="1423"/>
      <c r="B45" s="1632" t="s">
        <v>3744</v>
      </c>
      <c r="C45" s="1644" t="s">
        <v>2946</v>
      </c>
      <c r="D45" s="1645" t="s">
        <v>40</v>
      </c>
      <c r="E45" s="1646">
        <v>52.5</v>
      </c>
      <c r="F45" s="1647">
        <v>449.17</v>
      </c>
      <c r="G45" s="1728">
        <v>450.19</v>
      </c>
      <c r="H45" s="1648">
        <f t="shared" si="5"/>
        <v>23581.43</v>
      </c>
      <c r="I45" s="1648">
        <f t="shared" si="6"/>
        <v>23634.98</v>
      </c>
      <c r="J45" s="1649">
        <v>52.5</v>
      </c>
      <c r="K45" s="1650">
        <v>23634.974999999999</v>
      </c>
      <c r="L45" s="1867"/>
      <c r="M45" s="1651">
        <f t="shared" si="7"/>
        <v>0</v>
      </c>
      <c r="N45" s="1652">
        <f t="shared" si="2"/>
        <v>52.5</v>
      </c>
      <c r="O45" s="1653">
        <f t="shared" si="8"/>
        <v>23634.974999999999</v>
      </c>
      <c r="P45" s="1654">
        <f t="shared" si="9"/>
        <v>0.9999997884491546</v>
      </c>
      <c r="Q45" s="1655">
        <f t="shared" si="10"/>
        <v>0</v>
      </c>
      <c r="R45" s="1656">
        <f t="shared" si="11"/>
        <v>0</v>
      </c>
      <c r="S45" s="1657">
        <f t="shared" si="12"/>
        <v>0</v>
      </c>
      <c r="T45" s="1418"/>
      <c r="U45" s="1418"/>
      <c r="V45" s="1418"/>
      <c r="W45" s="1428"/>
    </row>
    <row r="46" spans="1:23" s="1410" customFormat="1">
      <c r="B46" s="1632" t="s">
        <v>3745</v>
      </c>
      <c r="C46" s="1644" t="s">
        <v>2947</v>
      </c>
      <c r="D46" s="1645" t="s">
        <v>37</v>
      </c>
      <c r="E46" s="1646">
        <v>508.62</v>
      </c>
      <c r="F46" s="1647">
        <v>67.959999999999994</v>
      </c>
      <c r="G46" s="1728">
        <v>69.680000000000007</v>
      </c>
      <c r="H46" s="1648">
        <f t="shared" si="5"/>
        <v>34565.82</v>
      </c>
      <c r="I46" s="1648">
        <f t="shared" si="6"/>
        <v>35440.639999999999</v>
      </c>
      <c r="J46" s="1649">
        <v>175.54</v>
      </c>
      <c r="K46" s="1650">
        <v>12231.627200000001</v>
      </c>
      <c r="L46" s="1867"/>
      <c r="M46" s="1651">
        <f t="shared" si="7"/>
        <v>0</v>
      </c>
      <c r="N46" s="1652">
        <f t="shared" si="2"/>
        <v>175.54</v>
      </c>
      <c r="O46" s="1653">
        <f t="shared" si="8"/>
        <v>12231.627200000001</v>
      </c>
      <c r="P46" s="1654">
        <f t="shared" si="9"/>
        <v>0.34512997507945681</v>
      </c>
      <c r="Q46" s="1655">
        <f t="shared" si="10"/>
        <v>333.08000000000004</v>
      </c>
      <c r="R46" s="1656">
        <f t="shared" si="11"/>
        <v>23209.01</v>
      </c>
      <c r="S46" s="1657">
        <f t="shared" si="12"/>
        <v>0.65486994591519787</v>
      </c>
      <c r="T46" s="1418"/>
      <c r="U46" s="1418"/>
      <c r="V46" s="1418"/>
      <c r="W46" s="1428"/>
    </row>
    <row r="47" spans="1:23" s="1410" customFormat="1">
      <c r="A47" s="1409"/>
      <c r="B47" s="1632" t="s">
        <v>3746</v>
      </c>
      <c r="C47" s="1644" t="s">
        <v>2948</v>
      </c>
      <c r="D47" s="1645" t="s">
        <v>48</v>
      </c>
      <c r="E47" s="1646">
        <v>12836.96</v>
      </c>
      <c r="F47" s="1647">
        <v>5.05</v>
      </c>
      <c r="G47" s="1728">
        <v>5.1100000000000003</v>
      </c>
      <c r="H47" s="1648">
        <f t="shared" si="5"/>
        <v>64826.65</v>
      </c>
      <c r="I47" s="1648">
        <f t="shared" si="6"/>
        <v>65596.87</v>
      </c>
      <c r="J47" s="1649">
        <v>12836.96</v>
      </c>
      <c r="K47" s="1650">
        <v>65596.865600000005</v>
      </c>
      <c r="L47" s="1867"/>
      <c r="M47" s="1651">
        <f t="shared" si="7"/>
        <v>0</v>
      </c>
      <c r="N47" s="1652">
        <f t="shared" si="2"/>
        <v>12836.96</v>
      </c>
      <c r="O47" s="1653">
        <f t="shared" si="8"/>
        <v>65596.865600000005</v>
      </c>
      <c r="P47" s="1654">
        <f t="shared" si="9"/>
        <v>0.99999993292362899</v>
      </c>
      <c r="Q47" s="1655">
        <f t="shared" si="10"/>
        <v>0</v>
      </c>
      <c r="R47" s="1656">
        <f t="shared" si="11"/>
        <v>0</v>
      </c>
      <c r="S47" s="1657">
        <f t="shared" si="12"/>
        <v>0</v>
      </c>
      <c r="T47" s="1418"/>
      <c r="U47" s="1418"/>
      <c r="V47" s="1418"/>
      <c r="W47" s="1428"/>
    </row>
    <row r="48" spans="1:23" s="1410" customFormat="1">
      <c r="A48" s="1423"/>
      <c r="B48" s="1725" t="s">
        <v>3747</v>
      </c>
      <c r="C48" s="1721" t="s">
        <v>2953</v>
      </c>
      <c r="D48" s="1645"/>
      <c r="E48" s="1646"/>
      <c r="F48" s="1647"/>
      <c r="G48" s="1728"/>
      <c r="H48" s="1648"/>
      <c r="I48" s="1648"/>
      <c r="J48" s="1649"/>
      <c r="K48" s="1650"/>
      <c r="L48" s="1867"/>
      <c r="M48" s="1651"/>
      <c r="N48" s="1652"/>
      <c r="O48" s="1653"/>
      <c r="P48" s="1654"/>
      <c r="Q48" s="1655"/>
      <c r="R48" s="1656"/>
      <c r="S48" s="1657" t="str">
        <f t="shared" si="12"/>
        <v/>
      </c>
      <c r="T48" s="1418"/>
      <c r="U48" s="1418"/>
      <c r="V48" s="1418"/>
      <c r="W48" s="1428"/>
    </row>
    <row r="49" spans="1:23" s="1410" customFormat="1">
      <c r="B49" s="1632" t="s">
        <v>3748</v>
      </c>
      <c r="C49" s="1644" t="s">
        <v>3749</v>
      </c>
      <c r="D49" s="1645" t="s">
        <v>40</v>
      </c>
      <c r="E49" s="1646">
        <v>91.49</v>
      </c>
      <c r="F49" s="1647">
        <v>449.17</v>
      </c>
      <c r="G49" s="1728">
        <v>450.19</v>
      </c>
      <c r="H49" s="1648">
        <f t="shared" si="5"/>
        <v>41094.559999999998</v>
      </c>
      <c r="I49" s="1648">
        <f t="shared" si="6"/>
        <v>41187.879999999997</v>
      </c>
      <c r="J49" s="1649">
        <v>91.49</v>
      </c>
      <c r="K49" s="1650">
        <v>41187.883099999999</v>
      </c>
      <c r="L49" s="1867"/>
      <c r="M49" s="1651">
        <f t="shared" si="7"/>
        <v>0</v>
      </c>
      <c r="N49" s="1652">
        <f t="shared" si="2"/>
        <v>91.49</v>
      </c>
      <c r="O49" s="1653">
        <f t="shared" si="8"/>
        <v>41187.883099999999</v>
      </c>
      <c r="P49" s="1654">
        <f t="shared" si="9"/>
        <v>1.0000000752648595</v>
      </c>
      <c r="Q49" s="1655">
        <f t="shared" si="10"/>
        <v>0</v>
      </c>
      <c r="R49" s="1656">
        <f t="shared" si="11"/>
        <v>0</v>
      </c>
      <c r="S49" s="1657">
        <f t="shared" si="12"/>
        <v>0</v>
      </c>
      <c r="T49" s="1418"/>
      <c r="U49" s="1418"/>
      <c r="V49" s="1418"/>
      <c r="W49" s="1428"/>
    </row>
    <row r="50" spans="1:23" s="1410" customFormat="1">
      <c r="A50" s="1423"/>
      <c r="B50" s="1632" t="s">
        <v>3750</v>
      </c>
      <c r="C50" s="1644" t="s">
        <v>2955</v>
      </c>
      <c r="D50" s="1645" t="s">
        <v>37</v>
      </c>
      <c r="E50" s="1646">
        <v>1092.19</v>
      </c>
      <c r="F50" s="1647">
        <v>75.03</v>
      </c>
      <c r="G50" s="1728">
        <v>76.75</v>
      </c>
      <c r="H50" s="1648">
        <f t="shared" si="5"/>
        <v>81947.02</v>
      </c>
      <c r="I50" s="1648">
        <f t="shared" si="6"/>
        <v>83825.58</v>
      </c>
      <c r="J50" s="1649">
        <v>1092.19</v>
      </c>
      <c r="K50" s="1650">
        <v>83825.582500000004</v>
      </c>
      <c r="L50" s="1867"/>
      <c r="M50" s="1651">
        <f t="shared" si="7"/>
        <v>0</v>
      </c>
      <c r="N50" s="1652">
        <f t="shared" si="2"/>
        <v>1092.19</v>
      </c>
      <c r="O50" s="1653">
        <f t="shared" si="8"/>
        <v>83825.582500000004</v>
      </c>
      <c r="P50" s="1654">
        <f t="shared" si="9"/>
        <v>1.0000000298238318</v>
      </c>
      <c r="Q50" s="1655">
        <f t="shared" si="10"/>
        <v>0</v>
      </c>
      <c r="R50" s="1656">
        <f t="shared" si="11"/>
        <v>0</v>
      </c>
      <c r="S50" s="1657">
        <f t="shared" si="12"/>
        <v>0</v>
      </c>
      <c r="T50" s="1418"/>
      <c r="U50" s="1418"/>
      <c r="V50" s="1418"/>
      <c r="W50" s="1428"/>
    </row>
    <row r="51" spans="1:23" s="1410" customFormat="1">
      <c r="A51" s="1423"/>
      <c r="B51" s="1632" t="s">
        <v>3751</v>
      </c>
      <c r="C51" s="1644" t="s">
        <v>2956</v>
      </c>
      <c r="D51" s="1645" t="s">
        <v>48</v>
      </c>
      <c r="E51" s="1646">
        <v>20543.57</v>
      </c>
      <c r="F51" s="1647">
        <v>5.05</v>
      </c>
      <c r="G51" s="1728">
        <v>5.1100000000000003</v>
      </c>
      <c r="H51" s="1648">
        <f t="shared" si="5"/>
        <v>103745.03</v>
      </c>
      <c r="I51" s="1648">
        <f t="shared" si="6"/>
        <v>104977.64</v>
      </c>
      <c r="J51" s="1649">
        <v>20543.57</v>
      </c>
      <c r="K51" s="1650">
        <v>104977.64270000001</v>
      </c>
      <c r="L51" s="1867"/>
      <c r="M51" s="1651">
        <f t="shared" si="7"/>
        <v>0</v>
      </c>
      <c r="N51" s="1652">
        <f t="shared" si="2"/>
        <v>20543.57</v>
      </c>
      <c r="O51" s="1653">
        <f t="shared" si="8"/>
        <v>104977.64270000001</v>
      </c>
      <c r="P51" s="1654">
        <f t="shared" si="9"/>
        <v>1.000000025719763</v>
      </c>
      <c r="Q51" s="1655">
        <f t="shared" si="10"/>
        <v>0</v>
      </c>
      <c r="R51" s="1656">
        <f t="shared" si="11"/>
        <v>0</v>
      </c>
      <c r="S51" s="1657">
        <f t="shared" si="12"/>
        <v>0</v>
      </c>
      <c r="T51" s="1418"/>
      <c r="U51" s="1418"/>
      <c r="V51" s="1418"/>
      <c r="W51" s="1428"/>
    </row>
    <row r="52" spans="1:23" s="1410" customFormat="1">
      <c r="B52" s="1725" t="s">
        <v>3752</v>
      </c>
      <c r="C52" s="1721" t="s">
        <v>2957</v>
      </c>
      <c r="D52" s="1645"/>
      <c r="E52" s="1646"/>
      <c r="F52" s="1647"/>
      <c r="G52" s="1728"/>
      <c r="H52" s="1648">
        <f t="shared" si="5"/>
        <v>0</v>
      </c>
      <c r="I52" s="1648">
        <f t="shared" si="6"/>
        <v>0</v>
      </c>
      <c r="J52" s="1649"/>
      <c r="K52" s="1650">
        <v>0</v>
      </c>
      <c r="L52" s="1867"/>
      <c r="M52" s="1651">
        <f t="shared" si="7"/>
        <v>0</v>
      </c>
      <c r="N52" s="1652"/>
      <c r="O52" s="1653">
        <f t="shared" si="8"/>
        <v>0</v>
      </c>
      <c r="P52" s="1654" t="str">
        <f t="shared" si="9"/>
        <v/>
      </c>
      <c r="Q52" s="1655"/>
      <c r="R52" s="1656">
        <f t="shared" si="11"/>
        <v>0</v>
      </c>
      <c r="S52" s="1657" t="str">
        <f t="shared" si="12"/>
        <v/>
      </c>
      <c r="T52" s="1418"/>
      <c r="U52" s="1418"/>
      <c r="V52" s="1418"/>
      <c r="W52" s="1428"/>
    </row>
    <row r="53" spans="1:23" s="1410" customFormat="1">
      <c r="A53" s="1409"/>
      <c r="B53" s="1632" t="s">
        <v>3753</v>
      </c>
      <c r="C53" s="1644" t="s">
        <v>3754</v>
      </c>
      <c r="D53" s="1645" t="s">
        <v>40</v>
      </c>
      <c r="E53" s="1646">
        <v>54.07</v>
      </c>
      <c r="F53" s="1647">
        <v>435.75</v>
      </c>
      <c r="G53" s="1728">
        <v>436.26</v>
      </c>
      <c r="H53" s="1648">
        <f t="shared" si="5"/>
        <v>23561</v>
      </c>
      <c r="I53" s="1648">
        <f t="shared" si="6"/>
        <v>23588.58</v>
      </c>
      <c r="J53" s="1649">
        <v>54.069999999999993</v>
      </c>
      <c r="K53" s="1650">
        <v>23588.578199999996</v>
      </c>
      <c r="L53" s="1867"/>
      <c r="M53" s="1651">
        <f t="shared" si="7"/>
        <v>0</v>
      </c>
      <c r="N53" s="1652">
        <f t="shared" si="2"/>
        <v>54.069999999999993</v>
      </c>
      <c r="O53" s="1653">
        <f t="shared" si="8"/>
        <v>23588.578199999996</v>
      </c>
      <c r="P53" s="1654">
        <f t="shared" si="9"/>
        <v>0.99999992369188795</v>
      </c>
      <c r="Q53" s="1655">
        <f t="shared" si="10"/>
        <v>0</v>
      </c>
      <c r="R53" s="1656">
        <f t="shared" si="11"/>
        <v>0</v>
      </c>
      <c r="S53" s="1657">
        <f t="shared" si="12"/>
        <v>0</v>
      </c>
      <c r="T53" s="1418"/>
      <c r="U53" s="1418"/>
      <c r="V53" s="1418"/>
      <c r="W53" s="1428"/>
    </row>
    <row r="54" spans="1:23" s="1410" customFormat="1">
      <c r="A54" s="1423"/>
      <c r="B54" s="1632" t="s">
        <v>3755</v>
      </c>
      <c r="C54" s="1644" t="s">
        <v>2959</v>
      </c>
      <c r="D54" s="1645" t="s">
        <v>37</v>
      </c>
      <c r="E54" s="1646">
        <v>542.76</v>
      </c>
      <c r="F54" s="1647">
        <v>88.96</v>
      </c>
      <c r="G54" s="1728">
        <v>90.87</v>
      </c>
      <c r="H54" s="1648">
        <f t="shared" si="5"/>
        <v>48283.93</v>
      </c>
      <c r="I54" s="1648">
        <f t="shared" si="6"/>
        <v>49320.6</v>
      </c>
      <c r="J54" s="1649">
        <v>120.15</v>
      </c>
      <c r="K54" s="1650">
        <v>10918.030500000001</v>
      </c>
      <c r="L54" s="1867"/>
      <c r="M54" s="1651">
        <f t="shared" si="7"/>
        <v>0</v>
      </c>
      <c r="N54" s="1652">
        <f t="shared" si="2"/>
        <v>120.15</v>
      </c>
      <c r="O54" s="1653">
        <f t="shared" si="8"/>
        <v>10918.030500000001</v>
      </c>
      <c r="P54" s="1654">
        <f t="shared" si="9"/>
        <v>0.22136856607583852</v>
      </c>
      <c r="Q54" s="1655">
        <f t="shared" si="10"/>
        <v>422.61</v>
      </c>
      <c r="R54" s="1656">
        <f t="shared" si="11"/>
        <v>38402.57</v>
      </c>
      <c r="S54" s="1657">
        <f t="shared" si="12"/>
        <v>0.77863144406191331</v>
      </c>
      <c r="T54" s="1418"/>
      <c r="U54" s="1418"/>
      <c r="V54" s="1418"/>
      <c r="W54" s="1428"/>
    </row>
    <row r="55" spans="1:23" s="1410" customFormat="1">
      <c r="B55" s="1632" t="s">
        <v>3756</v>
      </c>
      <c r="C55" s="1644" t="s">
        <v>2960</v>
      </c>
      <c r="D55" s="1645" t="s">
        <v>48</v>
      </c>
      <c r="E55" s="1646">
        <v>17486.73</v>
      </c>
      <c r="F55" s="1647">
        <v>5.05</v>
      </c>
      <c r="G55" s="1728">
        <v>5.1100000000000003</v>
      </c>
      <c r="H55" s="1648">
        <f t="shared" si="5"/>
        <v>88307.99</v>
      </c>
      <c r="I55" s="1648">
        <f t="shared" si="6"/>
        <v>89357.19</v>
      </c>
      <c r="J55" s="1649">
        <v>17486.73</v>
      </c>
      <c r="K55" s="1650">
        <v>89357.190300000002</v>
      </c>
      <c r="L55" s="1867"/>
      <c r="M55" s="1651">
        <f t="shared" si="7"/>
        <v>0</v>
      </c>
      <c r="N55" s="1652">
        <f t="shared" si="2"/>
        <v>17486.73</v>
      </c>
      <c r="O55" s="1653">
        <f t="shared" si="8"/>
        <v>89357.190300000002</v>
      </c>
      <c r="P55" s="1654">
        <f t="shared" si="9"/>
        <v>1.0000000033573124</v>
      </c>
      <c r="Q55" s="1655">
        <f t="shared" si="10"/>
        <v>0</v>
      </c>
      <c r="R55" s="1656">
        <f t="shared" si="11"/>
        <v>0</v>
      </c>
      <c r="S55" s="1657">
        <f t="shared" si="12"/>
        <v>0</v>
      </c>
      <c r="T55" s="1418"/>
      <c r="U55" s="1418"/>
      <c r="V55" s="1418"/>
      <c r="W55" s="1428"/>
    </row>
    <row r="56" spans="1:23" s="1410" customFormat="1">
      <c r="A56" s="1409"/>
      <c r="B56" s="1725" t="s">
        <v>3757</v>
      </c>
      <c r="C56" s="1721" t="s">
        <v>3758</v>
      </c>
      <c r="D56" s="1645"/>
      <c r="E56" s="1646"/>
      <c r="F56" s="1647"/>
      <c r="G56" s="1728"/>
      <c r="H56" s="1648">
        <f t="shared" si="5"/>
        <v>0</v>
      </c>
      <c r="I56" s="1648">
        <f t="shared" si="6"/>
        <v>0</v>
      </c>
      <c r="J56" s="1649"/>
      <c r="K56" s="1650">
        <v>0</v>
      </c>
      <c r="L56" s="1867"/>
      <c r="M56" s="1651">
        <f t="shared" si="7"/>
        <v>0</v>
      </c>
      <c r="N56" s="1652"/>
      <c r="O56" s="1653">
        <f t="shared" si="8"/>
        <v>0</v>
      </c>
      <c r="P56" s="1654" t="str">
        <f t="shared" si="9"/>
        <v/>
      </c>
      <c r="Q56" s="1655"/>
      <c r="R56" s="1656">
        <f t="shared" si="11"/>
        <v>0</v>
      </c>
      <c r="S56" s="1657" t="str">
        <f t="shared" si="12"/>
        <v/>
      </c>
      <c r="T56" s="1418"/>
      <c r="U56" s="1418"/>
      <c r="V56" s="1418"/>
      <c r="W56" s="1428"/>
    </row>
    <row r="57" spans="1:23" s="1410" customFormat="1" ht="16.149999999999999" customHeight="1">
      <c r="A57" s="1423"/>
      <c r="B57" s="1632" t="s">
        <v>3759</v>
      </c>
      <c r="C57" s="1644" t="s">
        <v>2962</v>
      </c>
      <c r="D57" s="1645" t="s">
        <v>40</v>
      </c>
      <c r="E57" s="1646">
        <v>2.57</v>
      </c>
      <c r="F57" s="1647">
        <v>442.22</v>
      </c>
      <c r="G57" s="1728">
        <v>442.98</v>
      </c>
      <c r="H57" s="1648">
        <f t="shared" si="5"/>
        <v>1136.51</v>
      </c>
      <c r="I57" s="1648">
        <f t="shared" si="6"/>
        <v>1138.46</v>
      </c>
      <c r="J57" s="1649">
        <v>0</v>
      </c>
      <c r="K57" s="1650">
        <v>0</v>
      </c>
      <c r="L57" s="1867"/>
      <c r="M57" s="1651">
        <f t="shared" si="7"/>
        <v>0</v>
      </c>
      <c r="N57" s="1652">
        <f t="shared" si="2"/>
        <v>0</v>
      </c>
      <c r="O57" s="1653">
        <f t="shared" si="8"/>
        <v>0</v>
      </c>
      <c r="P57" s="1654">
        <f t="shared" si="9"/>
        <v>0</v>
      </c>
      <c r="Q57" s="1655">
        <f t="shared" si="10"/>
        <v>2.57</v>
      </c>
      <c r="R57" s="1656">
        <f t="shared" si="11"/>
        <v>1138.46</v>
      </c>
      <c r="S57" s="1657">
        <f t="shared" si="12"/>
        <v>1</v>
      </c>
      <c r="T57" s="1418"/>
      <c r="U57" s="1418"/>
      <c r="V57" s="1418"/>
      <c r="W57" s="1428"/>
    </row>
    <row r="58" spans="1:23" s="1410" customFormat="1">
      <c r="B58" s="1632" t="s">
        <v>3760</v>
      </c>
      <c r="C58" s="1644" t="s">
        <v>2963</v>
      </c>
      <c r="D58" s="1645" t="s">
        <v>37</v>
      </c>
      <c r="E58" s="1646">
        <v>32.06</v>
      </c>
      <c r="F58" s="1647">
        <v>59.89</v>
      </c>
      <c r="G58" s="1728">
        <v>61.03</v>
      </c>
      <c r="H58" s="1648">
        <f t="shared" si="5"/>
        <v>1920.07</v>
      </c>
      <c r="I58" s="1648">
        <f t="shared" si="6"/>
        <v>1956.62</v>
      </c>
      <c r="J58" s="1649">
        <v>0</v>
      </c>
      <c r="K58" s="1650">
        <v>0</v>
      </c>
      <c r="L58" s="1867"/>
      <c r="M58" s="1651">
        <f t="shared" si="7"/>
        <v>0</v>
      </c>
      <c r="N58" s="1652">
        <f t="shared" si="2"/>
        <v>0</v>
      </c>
      <c r="O58" s="1653">
        <f t="shared" si="8"/>
        <v>0</v>
      </c>
      <c r="P58" s="1654">
        <f t="shared" si="9"/>
        <v>0</v>
      </c>
      <c r="Q58" s="1655">
        <f t="shared" si="10"/>
        <v>32.06</v>
      </c>
      <c r="R58" s="1656">
        <f t="shared" si="11"/>
        <v>1956.62</v>
      </c>
      <c r="S58" s="1657">
        <f t="shared" si="12"/>
        <v>1</v>
      </c>
      <c r="T58" s="1418"/>
      <c r="U58" s="1418"/>
      <c r="V58" s="1418"/>
      <c r="W58" s="1428"/>
    </row>
    <row r="59" spans="1:23" s="1410" customFormat="1">
      <c r="A59" s="1423"/>
      <c r="B59" s="1632" t="s">
        <v>3761</v>
      </c>
      <c r="C59" s="1644" t="s">
        <v>2964</v>
      </c>
      <c r="D59" s="1645" t="s">
        <v>48</v>
      </c>
      <c r="E59" s="1646">
        <v>227.36</v>
      </c>
      <c r="F59" s="1647">
        <v>5.05</v>
      </c>
      <c r="G59" s="1728">
        <v>5.1100000000000003</v>
      </c>
      <c r="H59" s="1648">
        <f t="shared" si="5"/>
        <v>1148.17</v>
      </c>
      <c r="I59" s="1648">
        <f t="shared" si="6"/>
        <v>1161.81</v>
      </c>
      <c r="J59" s="1649">
        <v>0</v>
      </c>
      <c r="K59" s="1650">
        <v>0</v>
      </c>
      <c r="L59" s="1867"/>
      <c r="M59" s="1651">
        <f t="shared" si="7"/>
        <v>0</v>
      </c>
      <c r="N59" s="1652">
        <f t="shared" si="2"/>
        <v>0</v>
      </c>
      <c r="O59" s="1653">
        <f t="shared" si="8"/>
        <v>0</v>
      </c>
      <c r="P59" s="1654">
        <f t="shared" si="9"/>
        <v>0</v>
      </c>
      <c r="Q59" s="1655">
        <f t="shared" si="10"/>
        <v>227.36</v>
      </c>
      <c r="R59" s="1656">
        <f t="shared" si="11"/>
        <v>1161.81</v>
      </c>
      <c r="S59" s="1657">
        <f t="shared" si="12"/>
        <v>1</v>
      </c>
      <c r="T59" s="1418"/>
      <c r="U59" s="1418"/>
      <c r="V59" s="1418"/>
      <c r="W59" s="1428"/>
    </row>
    <row r="60" spans="1:23" s="1410" customFormat="1" ht="25.5">
      <c r="A60" s="1423"/>
      <c r="B60" s="1632" t="s">
        <v>3762</v>
      </c>
      <c r="C60" s="1644" t="s">
        <v>2965</v>
      </c>
      <c r="D60" s="1645" t="s">
        <v>36</v>
      </c>
      <c r="E60" s="1646">
        <v>262.14999999999998</v>
      </c>
      <c r="F60" s="1647">
        <v>5.18</v>
      </c>
      <c r="G60" s="1728">
        <v>5.22</v>
      </c>
      <c r="H60" s="1648">
        <f t="shared" si="5"/>
        <v>1357.94</v>
      </c>
      <c r="I60" s="1648">
        <f t="shared" si="6"/>
        <v>1368.42</v>
      </c>
      <c r="J60" s="1649">
        <v>0</v>
      </c>
      <c r="K60" s="1650">
        <v>0</v>
      </c>
      <c r="L60" s="1867"/>
      <c r="M60" s="1651">
        <f t="shared" si="7"/>
        <v>0</v>
      </c>
      <c r="N60" s="1652">
        <f t="shared" si="2"/>
        <v>0</v>
      </c>
      <c r="O60" s="1653">
        <f t="shared" si="8"/>
        <v>0</v>
      </c>
      <c r="P60" s="1654">
        <f t="shared" si="9"/>
        <v>0</v>
      </c>
      <c r="Q60" s="1655">
        <f t="shared" si="10"/>
        <v>262.14999999999998</v>
      </c>
      <c r="R60" s="1656">
        <f t="shared" si="11"/>
        <v>1368.42</v>
      </c>
      <c r="S60" s="1657">
        <f t="shared" si="12"/>
        <v>1</v>
      </c>
      <c r="T60" s="1418"/>
      <c r="U60" s="1418"/>
      <c r="V60" s="1418"/>
      <c r="W60" s="1428"/>
    </row>
    <row r="61" spans="1:23" s="1410" customFormat="1">
      <c r="B61" s="1725" t="s">
        <v>3763</v>
      </c>
      <c r="C61" s="1721" t="s">
        <v>2966</v>
      </c>
      <c r="D61" s="1645"/>
      <c r="E61" s="1646"/>
      <c r="F61" s="1647"/>
      <c r="G61" s="1728"/>
      <c r="H61" s="1648">
        <f t="shared" si="5"/>
        <v>0</v>
      </c>
      <c r="I61" s="1648">
        <f t="shared" si="6"/>
        <v>0</v>
      </c>
      <c r="J61" s="1649"/>
      <c r="K61" s="1650">
        <v>0</v>
      </c>
      <c r="L61" s="1867"/>
      <c r="M61" s="1651">
        <f t="shared" si="7"/>
        <v>0</v>
      </c>
      <c r="N61" s="1652"/>
      <c r="O61" s="1653">
        <f t="shared" si="8"/>
        <v>0</v>
      </c>
      <c r="P61" s="1654" t="str">
        <f t="shared" si="9"/>
        <v/>
      </c>
      <c r="Q61" s="1655"/>
      <c r="R61" s="1656">
        <f t="shared" si="11"/>
        <v>0</v>
      </c>
      <c r="S61" s="1657" t="str">
        <f t="shared" si="12"/>
        <v/>
      </c>
      <c r="T61" s="1418"/>
      <c r="U61" s="1418"/>
      <c r="V61" s="1418"/>
      <c r="W61" s="1428"/>
    </row>
    <row r="62" spans="1:23" s="1410" customFormat="1" ht="25.5">
      <c r="A62" s="1409"/>
      <c r="B62" s="1632" t="s">
        <v>3764</v>
      </c>
      <c r="C62" s="1644" t="s">
        <v>2962</v>
      </c>
      <c r="D62" s="1645" t="s">
        <v>40</v>
      </c>
      <c r="E62" s="1646">
        <v>9.58</v>
      </c>
      <c r="F62" s="1647">
        <v>442.22</v>
      </c>
      <c r="G62" s="1728">
        <v>442.98</v>
      </c>
      <c r="H62" s="1648">
        <f t="shared" si="5"/>
        <v>4236.47</v>
      </c>
      <c r="I62" s="1648">
        <f t="shared" si="6"/>
        <v>4243.75</v>
      </c>
      <c r="J62" s="1649">
        <v>9.58</v>
      </c>
      <c r="K62" s="1650">
        <v>4243.7484000000004</v>
      </c>
      <c r="L62" s="1867"/>
      <c r="M62" s="1651">
        <f t="shared" si="7"/>
        <v>0</v>
      </c>
      <c r="N62" s="1652">
        <f t="shared" si="2"/>
        <v>9.58</v>
      </c>
      <c r="O62" s="1653">
        <f t="shared" si="8"/>
        <v>4243.7484000000004</v>
      </c>
      <c r="P62" s="1654">
        <f t="shared" si="9"/>
        <v>0.99999962297496325</v>
      </c>
      <c r="Q62" s="1655">
        <f t="shared" si="10"/>
        <v>0</v>
      </c>
      <c r="R62" s="1656">
        <f t="shared" si="11"/>
        <v>0</v>
      </c>
      <c r="S62" s="1657">
        <f t="shared" si="12"/>
        <v>0</v>
      </c>
      <c r="T62" s="1418"/>
      <c r="U62" s="1418"/>
      <c r="V62" s="1418"/>
      <c r="W62" s="1428"/>
    </row>
    <row r="63" spans="1:23" s="1410" customFormat="1">
      <c r="A63" s="1423"/>
      <c r="B63" s="1632" t="s">
        <v>3765</v>
      </c>
      <c r="C63" s="1644" t="s">
        <v>2963</v>
      </c>
      <c r="D63" s="1645" t="s">
        <v>37</v>
      </c>
      <c r="E63" s="1646">
        <v>63.84</v>
      </c>
      <c r="F63" s="1647">
        <v>59.89</v>
      </c>
      <c r="G63" s="1728">
        <v>61.03</v>
      </c>
      <c r="H63" s="1648">
        <f t="shared" si="5"/>
        <v>3823.38</v>
      </c>
      <c r="I63" s="1648">
        <f t="shared" si="6"/>
        <v>3896.16</v>
      </c>
      <c r="J63" s="1649">
        <v>63.84</v>
      </c>
      <c r="K63" s="1650">
        <v>3896.1552000000001</v>
      </c>
      <c r="L63" s="1867"/>
      <c r="M63" s="1651">
        <f t="shared" si="7"/>
        <v>0</v>
      </c>
      <c r="N63" s="1652">
        <f t="shared" si="2"/>
        <v>63.84</v>
      </c>
      <c r="O63" s="1653">
        <f t="shared" si="8"/>
        <v>3896.1552000000001</v>
      </c>
      <c r="P63" s="1654">
        <f t="shared" si="9"/>
        <v>0.99999876801774057</v>
      </c>
      <c r="Q63" s="1655">
        <f t="shared" si="10"/>
        <v>0</v>
      </c>
      <c r="R63" s="1656">
        <f t="shared" si="11"/>
        <v>0</v>
      </c>
      <c r="S63" s="1657">
        <f t="shared" si="12"/>
        <v>0</v>
      </c>
      <c r="T63" s="1418"/>
      <c r="U63" s="1418"/>
      <c r="V63" s="1418"/>
      <c r="W63" s="1428"/>
    </row>
    <row r="64" spans="1:23" s="1410" customFormat="1">
      <c r="B64" s="1632" t="s">
        <v>3766</v>
      </c>
      <c r="C64" s="1644" t="s">
        <v>2964</v>
      </c>
      <c r="D64" s="1645" t="s">
        <v>48</v>
      </c>
      <c r="E64" s="1646">
        <v>1130.06</v>
      </c>
      <c r="F64" s="1647">
        <v>5.05</v>
      </c>
      <c r="G64" s="1728">
        <v>5.1100000000000003</v>
      </c>
      <c r="H64" s="1648">
        <f t="shared" si="5"/>
        <v>5706.8</v>
      </c>
      <c r="I64" s="1648">
        <f t="shared" si="6"/>
        <v>5774.61</v>
      </c>
      <c r="J64" s="1649">
        <v>679.07688000000076</v>
      </c>
      <c r="K64" s="1650">
        <v>3470.0828568000043</v>
      </c>
      <c r="L64" s="1867"/>
      <c r="M64" s="1651">
        <f t="shared" si="7"/>
        <v>0</v>
      </c>
      <c r="N64" s="1652">
        <f t="shared" si="2"/>
        <v>679.07688000000076</v>
      </c>
      <c r="O64" s="1653">
        <f t="shared" si="8"/>
        <v>3470.0828568000043</v>
      </c>
      <c r="P64" s="1654">
        <f t="shared" si="9"/>
        <v>0.60092073002332702</v>
      </c>
      <c r="Q64" s="1655">
        <f t="shared" si="10"/>
        <v>450.98311999999919</v>
      </c>
      <c r="R64" s="1656">
        <f t="shared" si="11"/>
        <v>2304.52</v>
      </c>
      <c r="S64" s="1657">
        <f t="shared" si="12"/>
        <v>0.39907803297538708</v>
      </c>
      <c r="T64" s="1418"/>
      <c r="U64" s="1418"/>
      <c r="V64" s="1418"/>
      <c r="W64" s="1428"/>
    </row>
    <row r="65" spans="1:23" s="1410" customFormat="1" ht="25.5">
      <c r="A65" s="1409"/>
      <c r="B65" s="1632" t="s">
        <v>3767</v>
      </c>
      <c r="C65" s="1644" t="s">
        <v>2967</v>
      </c>
      <c r="D65" s="1645" t="s">
        <v>36</v>
      </c>
      <c r="E65" s="1646">
        <v>1241</v>
      </c>
      <c r="F65" s="1647">
        <v>5.52</v>
      </c>
      <c r="G65" s="1728">
        <v>5.56</v>
      </c>
      <c r="H65" s="1648">
        <f t="shared" si="5"/>
        <v>6850.32</v>
      </c>
      <c r="I65" s="1648">
        <f t="shared" si="6"/>
        <v>6899.96</v>
      </c>
      <c r="J65" s="1649">
        <v>1241</v>
      </c>
      <c r="K65" s="1650">
        <v>6899.9599999999991</v>
      </c>
      <c r="L65" s="1867"/>
      <c r="M65" s="1651">
        <f t="shared" si="7"/>
        <v>0</v>
      </c>
      <c r="N65" s="1652">
        <f t="shared" si="2"/>
        <v>1241</v>
      </c>
      <c r="O65" s="1653">
        <f t="shared" si="8"/>
        <v>6899.9599999999991</v>
      </c>
      <c r="P65" s="1654">
        <f t="shared" si="9"/>
        <v>0.99999999999999989</v>
      </c>
      <c r="Q65" s="1655">
        <f t="shared" si="10"/>
        <v>0</v>
      </c>
      <c r="R65" s="1656">
        <f t="shared" si="11"/>
        <v>0</v>
      </c>
      <c r="S65" s="1657">
        <f t="shared" si="12"/>
        <v>0</v>
      </c>
      <c r="T65" s="1418"/>
      <c r="U65" s="1418"/>
      <c r="V65" s="1418"/>
      <c r="W65" s="1428"/>
    </row>
    <row r="66" spans="1:23" s="1410" customFormat="1">
      <c r="A66" s="1423"/>
      <c r="B66" s="1725" t="s">
        <v>3768</v>
      </c>
      <c r="C66" s="1721" t="s">
        <v>2970</v>
      </c>
      <c r="D66" s="1645"/>
      <c r="E66" s="1646"/>
      <c r="F66" s="1647"/>
      <c r="G66" s="1728"/>
      <c r="H66" s="1648">
        <f t="shared" si="5"/>
        <v>0</v>
      </c>
      <c r="I66" s="1648">
        <f t="shared" si="6"/>
        <v>0</v>
      </c>
      <c r="J66" s="1649"/>
      <c r="K66" s="1650">
        <v>0</v>
      </c>
      <c r="L66" s="1867"/>
      <c r="M66" s="1651">
        <f t="shared" si="7"/>
        <v>0</v>
      </c>
      <c r="N66" s="1652"/>
      <c r="O66" s="1653">
        <f t="shared" si="8"/>
        <v>0</v>
      </c>
      <c r="P66" s="1654" t="str">
        <f t="shared" si="9"/>
        <v/>
      </c>
      <c r="Q66" s="1655"/>
      <c r="R66" s="1656">
        <f t="shared" si="11"/>
        <v>0</v>
      </c>
      <c r="S66" s="1657" t="str">
        <f t="shared" si="12"/>
        <v/>
      </c>
      <c r="T66" s="1418"/>
      <c r="U66" s="1418"/>
      <c r="V66" s="1418"/>
      <c r="W66" s="1428"/>
    </row>
    <row r="67" spans="1:23" s="1410" customFormat="1">
      <c r="B67" s="1632" t="s">
        <v>3769</v>
      </c>
      <c r="C67" s="1644" t="s">
        <v>3770</v>
      </c>
      <c r="D67" s="1645" t="s">
        <v>40</v>
      </c>
      <c r="E67" s="1646">
        <v>1.18</v>
      </c>
      <c r="F67" s="1647">
        <v>442.22</v>
      </c>
      <c r="G67" s="1728">
        <v>442.98</v>
      </c>
      <c r="H67" s="1648">
        <f t="shared" si="5"/>
        <v>521.82000000000005</v>
      </c>
      <c r="I67" s="1648">
        <f t="shared" si="6"/>
        <v>522.72</v>
      </c>
      <c r="J67" s="1649">
        <v>1.18</v>
      </c>
      <c r="K67" s="1650">
        <v>522.71640000000002</v>
      </c>
      <c r="L67" s="1867"/>
      <c r="M67" s="1651">
        <f t="shared" si="7"/>
        <v>0</v>
      </c>
      <c r="N67" s="1652">
        <f t="shared" si="2"/>
        <v>1.18</v>
      </c>
      <c r="O67" s="1653">
        <f t="shared" si="8"/>
        <v>522.71640000000002</v>
      </c>
      <c r="P67" s="1654">
        <f t="shared" si="9"/>
        <v>0.99999311294765836</v>
      </c>
      <c r="Q67" s="1655">
        <f t="shared" si="10"/>
        <v>0</v>
      </c>
      <c r="R67" s="1656">
        <f t="shared" si="11"/>
        <v>0</v>
      </c>
      <c r="S67" s="1657">
        <f t="shared" si="12"/>
        <v>0</v>
      </c>
      <c r="T67" s="1418"/>
      <c r="U67" s="1418"/>
      <c r="V67" s="1418"/>
      <c r="W67" s="1428"/>
    </row>
    <row r="68" spans="1:23" s="1410" customFormat="1">
      <c r="A68" s="1423"/>
      <c r="B68" s="1632" t="s">
        <v>3771</v>
      </c>
      <c r="C68" s="1644" t="s">
        <v>2972</v>
      </c>
      <c r="D68" s="1645" t="s">
        <v>37</v>
      </c>
      <c r="E68" s="1646">
        <v>10.47</v>
      </c>
      <c r="F68" s="1647">
        <v>59.89</v>
      </c>
      <c r="G68" s="1728">
        <v>61.03</v>
      </c>
      <c r="H68" s="1648">
        <f t="shared" si="5"/>
        <v>627.04999999999995</v>
      </c>
      <c r="I68" s="1648">
        <f t="shared" si="6"/>
        <v>638.98</v>
      </c>
      <c r="J68" s="1649">
        <v>10.47</v>
      </c>
      <c r="K68" s="1650">
        <v>638.98410000000001</v>
      </c>
      <c r="L68" s="1867"/>
      <c r="M68" s="1651">
        <f t="shared" si="7"/>
        <v>0</v>
      </c>
      <c r="N68" s="1652">
        <f t="shared" si="2"/>
        <v>10.47</v>
      </c>
      <c r="O68" s="1653">
        <f t="shared" si="8"/>
        <v>638.98410000000001</v>
      </c>
      <c r="P68" s="1654">
        <f t="shared" si="9"/>
        <v>1.000006416476259</v>
      </c>
      <c r="Q68" s="1655">
        <f t="shared" si="10"/>
        <v>0</v>
      </c>
      <c r="R68" s="1656">
        <f t="shared" si="11"/>
        <v>0</v>
      </c>
      <c r="S68" s="1657">
        <f t="shared" si="12"/>
        <v>0</v>
      </c>
      <c r="T68" s="1418"/>
      <c r="U68" s="1418"/>
      <c r="V68" s="1418"/>
      <c r="W68" s="1428"/>
    </row>
    <row r="69" spans="1:23" s="1410" customFormat="1">
      <c r="A69" s="1423"/>
      <c r="B69" s="1632" t="s">
        <v>3772</v>
      </c>
      <c r="C69" s="1644" t="s">
        <v>2973</v>
      </c>
      <c r="D69" s="1645" t="s">
        <v>48</v>
      </c>
      <c r="E69" s="1646">
        <v>104.87</v>
      </c>
      <c r="F69" s="1647">
        <v>5.05</v>
      </c>
      <c r="G69" s="1728">
        <v>5.1100000000000003</v>
      </c>
      <c r="H69" s="1648">
        <f t="shared" si="5"/>
        <v>529.59</v>
      </c>
      <c r="I69" s="1648">
        <f t="shared" si="6"/>
        <v>535.89</v>
      </c>
      <c r="J69" s="1649">
        <v>104.87</v>
      </c>
      <c r="K69" s="1650">
        <v>535.88570000000004</v>
      </c>
      <c r="L69" s="1867"/>
      <c r="M69" s="1651">
        <f t="shared" si="7"/>
        <v>0</v>
      </c>
      <c r="N69" s="1652">
        <f t="shared" si="2"/>
        <v>104.87</v>
      </c>
      <c r="O69" s="1653">
        <f t="shared" si="8"/>
        <v>535.88570000000004</v>
      </c>
      <c r="P69" s="1654">
        <f t="shared" si="9"/>
        <v>0.99999197596521683</v>
      </c>
      <c r="Q69" s="1655">
        <f t="shared" si="10"/>
        <v>0</v>
      </c>
      <c r="R69" s="1656">
        <f t="shared" si="11"/>
        <v>0</v>
      </c>
      <c r="S69" s="1657">
        <f t="shared" si="12"/>
        <v>0</v>
      </c>
      <c r="T69" s="1418"/>
      <c r="U69" s="1418"/>
      <c r="V69" s="1418"/>
      <c r="W69" s="1428"/>
    </row>
    <row r="70" spans="1:23" s="1410" customFormat="1" ht="25.5">
      <c r="B70" s="1632" t="s">
        <v>3773</v>
      </c>
      <c r="C70" s="1644" t="s">
        <v>2974</v>
      </c>
      <c r="D70" s="1645" t="s">
        <v>36</v>
      </c>
      <c r="E70" s="1646">
        <v>87</v>
      </c>
      <c r="F70" s="1647">
        <v>6.26</v>
      </c>
      <c r="G70" s="1728">
        <v>6.3</v>
      </c>
      <c r="H70" s="1648">
        <f t="shared" si="5"/>
        <v>544.62</v>
      </c>
      <c r="I70" s="1648">
        <f t="shared" si="6"/>
        <v>548.1</v>
      </c>
      <c r="J70" s="1649">
        <v>87</v>
      </c>
      <c r="K70" s="1650">
        <v>548.1</v>
      </c>
      <c r="L70" s="1867"/>
      <c r="M70" s="1651">
        <f t="shared" si="7"/>
        <v>0</v>
      </c>
      <c r="N70" s="1652">
        <f t="shared" si="2"/>
        <v>87</v>
      </c>
      <c r="O70" s="1653">
        <f t="shared" si="8"/>
        <v>548.1</v>
      </c>
      <c r="P70" s="1654">
        <f t="shared" si="9"/>
        <v>1</v>
      </c>
      <c r="Q70" s="1655">
        <f t="shared" si="10"/>
        <v>0</v>
      </c>
      <c r="R70" s="1656">
        <f t="shared" si="11"/>
        <v>0</v>
      </c>
      <c r="S70" s="1657">
        <f t="shared" si="12"/>
        <v>0</v>
      </c>
      <c r="T70" s="1418"/>
      <c r="U70" s="1418"/>
      <c r="V70" s="1418"/>
      <c r="W70" s="1428"/>
    </row>
    <row r="71" spans="1:23" s="1410" customFormat="1">
      <c r="A71" s="1409"/>
      <c r="B71" s="1725" t="s">
        <v>3774</v>
      </c>
      <c r="C71" s="1721" t="s">
        <v>2975</v>
      </c>
      <c r="D71" s="1645"/>
      <c r="E71" s="1646"/>
      <c r="F71" s="1647"/>
      <c r="G71" s="1728"/>
      <c r="H71" s="1648">
        <f t="shared" si="5"/>
        <v>0</v>
      </c>
      <c r="I71" s="1648">
        <f t="shared" si="6"/>
        <v>0</v>
      </c>
      <c r="J71" s="1649"/>
      <c r="K71" s="1650">
        <v>0</v>
      </c>
      <c r="L71" s="1867"/>
      <c r="M71" s="1651">
        <f t="shared" si="7"/>
        <v>0</v>
      </c>
      <c r="N71" s="1652"/>
      <c r="O71" s="1653">
        <f t="shared" si="8"/>
        <v>0</v>
      </c>
      <c r="P71" s="1654" t="str">
        <f t="shared" si="9"/>
        <v/>
      </c>
      <c r="Q71" s="1655"/>
      <c r="R71" s="1656">
        <f t="shared" si="11"/>
        <v>0</v>
      </c>
      <c r="S71" s="1657" t="str">
        <f t="shared" si="12"/>
        <v/>
      </c>
      <c r="T71" s="1418"/>
      <c r="U71" s="1418"/>
      <c r="V71" s="1418"/>
      <c r="W71" s="1428"/>
    </row>
    <row r="72" spans="1:23" s="1410" customFormat="1">
      <c r="A72" s="1423"/>
      <c r="B72" s="1632" t="s">
        <v>3775</v>
      </c>
      <c r="C72" s="1644" t="s">
        <v>3770</v>
      </c>
      <c r="D72" s="1645" t="s">
        <v>40</v>
      </c>
      <c r="E72" s="1646">
        <v>76.52</v>
      </c>
      <c r="F72" s="1647">
        <v>442.22</v>
      </c>
      <c r="G72" s="1728">
        <v>442.98</v>
      </c>
      <c r="H72" s="1648">
        <f t="shared" si="5"/>
        <v>33838.67</v>
      </c>
      <c r="I72" s="1648">
        <f t="shared" si="6"/>
        <v>33896.83</v>
      </c>
      <c r="J72" s="1649">
        <v>76.52</v>
      </c>
      <c r="K72" s="1650">
        <v>33896.829599999997</v>
      </c>
      <c r="L72" s="1867"/>
      <c r="M72" s="1651">
        <f t="shared" si="7"/>
        <v>0</v>
      </c>
      <c r="N72" s="1652">
        <f t="shared" si="2"/>
        <v>76.52</v>
      </c>
      <c r="O72" s="1653">
        <f t="shared" si="8"/>
        <v>33896.829599999997</v>
      </c>
      <c r="P72" s="1654">
        <f t="shared" si="9"/>
        <v>0.99999998819948632</v>
      </c>
      <c r="Q72" s="1655">
        <f t="shared" si="10"/>
        <v>0</v>
      </c>
      <c r="R72" s="1656">
        <f t="shared" si="11"/>
        <v>0</v>
      </c>
      <c r="S72" s="1657">
        <f t="shared" si="12"/>
        <v>0</v>
      </c>
      <c r="T72" s="1418"/>
      <c r="U72" s="1418"/>
      <c r="V72" s="1418"/>
      <c r="W72" s="1428"/>
    </row>
    <row r="73" spans="1:23" s="1410" customFormat="1">
      <c r="B73" s="1632" t="s">
        <v>3776</v>
      </c>
      <c r="C73" s="1644" t="s">
        <v>2972</v>
      </c>
      <c r="D73" s="1645" t="s">
        <v>37</v>
      </c>
      <c r="E73" s="1646">
        <v>517</v>
      </c>
      <c r="F73" s="1647">
        <v>59.89</v>
      </c>
      <c r="G73" s="1728">
        <v>61.03</v>
      </c>
      <c r="H73" s="1648">
        <f t="shared" si="5"/>
        <v>30963.13</v>
      </c>
      <c r="I73" s="1648">
        <f t="shared" si="6"/>
        <v>31552.51</v>
      </c>
      <c r="J73" s="1649">
        <v>517</v>
      </c>
      <c r="K73" s="1650">
        <v>31552.510000000002</v>
      </c>
      <c r="L73" s="1867"/>
      <c r="M73" s="1651">
        <f t="shared" si="7"/>
        <v>0</v>
      </c>
      <c r="N73" s="1652">
        <f t="shared" si="2"/>
        <v>517</v>
      </c>
      <c r="O73" s="1653">
        <f t="shared" si="8"/>
        <v>31552.510000000002</v>
      </c>
      <c r="P73" s="1654">
        <f t="shared" si="9"/>
        <v>1.0000000000000002</v>
      </c>
      <c r="Q73" s="1655">
        <f t="shared" si="10"/>
        <v>0</v>
      </c>
      <c r="R73" s="1656">
        <f t="shared" si="11"/>
        <v>0</v>
      </c>
      <c r="S73" s="1657">
        <f t="shared" si="12"/>
        <v>0</v>
      </c>
      <c r="T73" s="1418"/>
      <c r="U73" s="1418"/>
      <c r="V73" s="1418"/>
      <c r="W73" s="1428"/>
    </row>
    <row r="74" spans="1:23" s="1410" customFormat="1">
      <c r="A74" s="1409"/>
      <c r="B74" s="1632" t="s">
        <v>3777</v>
      </c>
      <c r="C74" s="1644" t="s">
        <v>2973</v>
      </c>
      <c r="D74" s="1645" t="s">
        <v>48</v>
      </c>
      <c r="E74" s="1646">
        <v>4438.08</v>
      </c>
      <c r="F74" s="1647">
        <v>5.05</v>
      </c>
      <c r="G74" s="1728">
        <v>5.1100000000000003</v>
      </c>
      <c r="H74" s="1648">
        <f t="shared" si="5"/>
        <v>22412.3</v>
      </c>
      <c r="I74" s="1648">
        <f t="shared" si="6"/>
        <v>22678.59</v>
      </c>
      <c r="J74" s="1649">
        <v>4438.08</v>
      </c>
      <c r="K74" s="1650">
        <v>22678.588800000001</v>
      </c>
      <c r="L74" s="1867"/>
      <c r="M74" s="1651">
        <f t="shared" si="7"/>
        <v>0</v>
      </c>
      <c r="N74" s="1652">
        <f t="shared" si="2"/>
        <v>4438.08</v>
      </c>
      <c r="O74" s="1653">
        <f t="shared" si="8"/>
        <v>22678.588800000001</v>
      </c>
      <c r="P74" s="1654">
        <f t="shared" si="9"/>
        <v>0.99999994708665751</v>
      </c>
      <c r="Q74" s="1655">
        <f t="shared" si="10"/>
        <v>0</v>
      </c>
      <c r="R74" s="1656">
        <f t="shared" si="11"/>
        <v>0</v>
      </c>
      <c r="S74" s="1657">
        <f t="shared" si="12"/>
        <v>0</v>
      </c>
      <c r="T74" s="1418"/>
      <c r="U74" s="1418"/>
      <c r="V74" s="1418"/>
      <c r="W74" s="1428"/>
    </row>
    <row r="75" spans="1:23" s="1410" customFormat="1" ht="25.5">
      <c r="A75" s="1423"/>
      <c r="B75" s="1632" t="s">
        <v>3778</v>
      </c>
      <c r="C75" s="1644" t="s">
        <v>3779</v>
      </c>
      <c r="D75" s="1645" t="s">
        <v>36</v>
      </c>
      <c r="E75" s="1646">
        <v>4136</v>
      </c>
      <c r="F75" s="1647">
        <v>24.11</v>
      </c>
      <c r="G75" s="1728">
        <v>24.15</v>
      </c>
      <c r="H75" s="1648">
        <f t="shared" si="5"/>
        <v>99718.96</v>
      </c>
      <c r="I75" s="1648">
        <f t="shared" si="6"/>
        <v>99884.4</v>
      </c>
      <c r="J75" s="1649">
        <v>1520</v>
      </c>
      <c r="K75" s="1650">
        <v>36708</v>
      </c>
      <c r="L75" s="1867"/>
      <c r="M75" s="1651">
        <f t="shared" si="7"/>
        <v>0</v>
      </c>
      <c r="N75" s="1652">
        <f t="shared" si="2"/>
        <v>1520</v>
      </c>
      <c r="O75" s="1653">
        <f t="shared" si="8"/>
        <v>36708</v>
      </c>
      <c r="P75" s="1654">
        <f t="shared" si="9"/>
        <v>0.36750483558994201</v>
      </c>
      <c r="Q75" s="1655">
        <f t="shared" si="10"/>
        <v>2616</v>
      </c>
      <c r="R75" s="1656">
        <f t="shared" si="11"/>
        <v>63176.4</v>
      </c>
      <c r="S75" s="1657">
        <f t="shared" si="12"/>
        <v>0.63249516441005804</v>
      </c>
      <c r="T75" s="1418"/>
      <c r="U75" s="1418"/>
      <c r="V75" s="1418"/>
      <c r="W75" s="1428"/>
    </row>
    <row r="76" spans="1:23" s="1410" customFormat="1">
      <c r="B76" s="1725" t="s">
        <v>3780</v>
      </c>
      <c r="C76" s="1721" t="s">
        <v>2978</v>
      </c>
      <c r="D76" s="1645"/>
      <c r="E76" s="1646"/>
      <c r="F76" s="1647"/>
      <c r="G76" s="1728"/>
      <c r="H76" s="1648">
        <f t="shared" si="5"/>
        <v>0</v>
      </c>
      <c r="I76" s="1648">
        <f t="shared" si="6"/>
        <v>0</v>
      </c>
      <c r="J76" s="1649"/>
      <c r="K76" s="1650">
        <v>0</v>
      </c>
      <c r="L76" s="1867"/>
      <c r="M76" s="1651">
        <f t="shared" si="7"/>
        <v>0</v>
      </c>
      <c r="N76" s="1652"/>
      <c r="O76" s="1653">
        <f t="shared" si="8"/>
        <v>0</v>
      </c>
      <c r="P76" s="1654" t="str">
        <f t="shared" si="9"/>
        <v/>
      </c>
      <c r="Q76" s="1655"/>
      <c r="R76" s="1656">
        <f t="shared" si="11"/>
        <v>0</v>
      </c>
      <c r="S76" s="1657" t="str">
        <f t="shared" si="12"/>
        <v/>
      </c>
      <c r="T76" s="1418"/>
      <c r="U76" s="1418"/>
      <c r="V76" s="1418"/>
      <c r="W76" s="1428"/>
    </row>
    <row r="77" spans="1:23" s="1410" customFormat="1">
      <c r="A77" s="1423"/>
      <c r="B77" s="1632" t="s">
        <v>3781</v>
      </c>
      <c r="C77" s="1644" t="s">
        <v>2979</v>
      </c>
      <c r="D77" s="1645" t="s">
        <v>40</v>
      </c>
      <c r="E77" s="1646">
        <v>47.96</v>
      </c>
      <c r="F77" s="1647">
        <v>442.22</v>
      </c>
      <c r="G77" s="1728">
        <v>442.98</v>
      </c>
      <c r="H77" s="1648">
        <f t="shared" si="5"/>
        <v>21208.87</v>
      </c>
      <c r="I77" s="1648">
        <f t="shared" si="6"/>
        <v>21245.32</v>
      </c>
      <c r="J77" s="1649">
        <v>42.77</v>
      </c>
      <c r="K77" s="1650">
        <v>18946.254600000004</v>
      </c>
      <c r="L77" s="1867"/>
      <c r="M77" s="1651">
        <f t="shared" si="7"/>
        <v>0</v>
      </c>
      <c r="N77" s="1652">
        <f t="shared" si="2"/>
        <v>42.77</v>
      </c>
      <c r="O77" s="1653">
        <f t="shared" si="8"/>
        <v>18946.254600000004</v>
      </c>
      <c r="P77" s="1654">
        <f t="shared" si="9"/>
        <v>0.8917848542643747</v>
      </c>
      <c r="Q77" s="1655">
        <f t="shared" si="10"/>
        <v>5.1899999999999977</v>
      </c>
      <c r="R77" s="1656">
        <f t="shared" si="11"/>
        <v>2299.0700000000002</v>
      </c>
      <c r="S77" s="1657">
        <f t="shared" si="12"/>
        <v>0.10821536225389874</v>
      </c>
      <c r="T77" s="1418"/>
      <c r="U77" s="1418"/>
      <c r="V77" s="1418"/>
      <c r="W77" s="1428"/>
    </row>
    <row r="78" spans="1:23" s="1410" customFormat="1">
      <c r="A78" s="1423"/>
      <c r="B78" s="1632" t="s">
        <v>3782</v>
      </c>
      <c r="C78" s="1644" t="s">
        <v>2980</v>
      </c>
      <c r="D78" s="1645" t="s">
        <v>37</v>
      </c>
      <c r="E78" s="1646">
        <v>242.21</v>
      </c>
      <c r="F78" s="1647">
        <v>71.72</v>
      </c>
      <c r="G78" s="1728">
        <v>73.150000000000006</v>
      </c>
      <c r="H78" s="1648">
        <f t="shared" si="5"/>
        <v>17371.3</v>
      </c>
      <c r="I78" s="1648">
        <f t="shared" si="6"/>
        <v>17717.66</v>
      </c>
      <c r="J78" s="1649">
        <v>169.45</v>
      </c>
      <c r="K78" s="1650">
        <v>12395.2675</v>
      </c>
      <c r="L78" s="1867"/>
      <c r="M78" s="1651">
        <f t="shared" si="7"/>
        <v>0</v>
      </c>
      <c r="N78" s="1652">
        <f t="shared" si="2"/>
        <v>169.45</v>
      </c>
      <c r="O78" s="1653">
        <f t="shared" si="8"/>
        <v>12395.2675</v>
      </c>
      <c r="P78" s="1654">
        <f t="shared" si="9"/>
        <v>0.69959958030575142</v>
      </c>
      <c r="Q78" s="1655">
        <f t="shared" si="10"/>
        <v>72.760000000000019</v>
      </c>
      <c r="R78" s="1656">
        <f t="shared" si="11"/>
        <v>5322.39</v>
      </c>
      <c r="S78" s="1657">
        <f t="shared" si="12"/>
        <v>0.30040027859209401</v>
      </c>
      <c r="T78" s="1418"/>
      <c r="U78" s="1418"/>
      <c r="V78" s="1418"/>
      <c r="W78" s="1428"/>
    </row>
    <row r="79" spans="1:23" s="1410" customFormat="1">
      <c r="B79" s="1632" t="s">
        <v>3783</v>
      </c>
      <c r="C79" s="1644" t="s">
        <v>2981</v>
      </c>
      <c r="D79" s="1645" t="s">
        <v>48</v>
      </c>
      <c r="E79" s="1646">
        <v>5502.15</v>
      </c>
      <c r="F79" s="1647">
        <v>5.05</v>
      </c>
      <c r="G79" s="1728">
        <v>5.1100000000000003</v>
      </c>
      <c r="H79" s="1648">
        <f t="shared" si="5"/>
        <v>27785.86</v>
      </c>
      <c r="I79" s="1648">
        <f t="shared" si="6"/>
        <v>28115.99</v>
      </c>
      <c r="J79" s="1649">
        <v>3078.3244</v>
      </c>
      <c r="K79" s="1650">
        <v>15730.237684000002</v>
      </c>
      <c r="L79" s="1867"/>
      <c r="M79" s="1651">
        <f t="shared" si="7"/>
        <v>0</v>
      </c>
      <c r="N79" s="1652">
        <f t="shared" si="2"/>
        <v>3078.3244</v>
      </c>
      <c r="O79" s="1653">
        <f t="shared" si="8"/>
        <v>15730.237684000002</v>
      </c>
      <c r="P79" s="1654">
        <f t="shared" si="9"/>
        <v>0.5594765713033758</v>
      </c>
      <c r="Q79" s="1655">
        <f t="shared" si="10"/>
        <v>2423.8255999999997</v>
      </c>
      <c r="R79" s="1656">
        <f t="shared" si="11"/>
        <v>12385.75</v>
      </c>
      <c r="S79" s="1657">
        <f t="shared" si="12"/>
        <v>0.44052334632356888</v>
      </c>
      <c r="T79" s="1418"/>
      <c r="U79" s="1418"/>
      <c r="V79" s="1418"/>
      <c r="W79" s="1428"/>
    </row>
    <row r="80" spans="1:23" s="1410" customFormat="1">
      <c r="A80" s="1409"/>
      <c r="B80" s="1725" t="s">
        <v>3784</v>
      </c>
      <c r="C80" s="1721" t="s">
        <v>2986</v>
      </c>
      <c r="D80" s="1645"/>
      <c r="E80" s="1646"/>
      <c r="F80" s="1647"/>
      <c r="G80" s="1728"/>
      <c r="H80" s="1648">
        <f t="shared" si="5"/>
        <v>0</v>
      </c>
      <c r="I80" s="1648">
        <f t="shared" si="6"/>
        <v>0</v>
      </c>
      <c r="J80" s="1649"/>
      <c r="K80" s="1650">
        <v>0</v>
      </c>
      <c r="L80" s="1867"/>
      <c r="M80" s="1651">
        <f t="shared" si="7"/>
        <v>0</v>
      </c>
      <c r="N80" s="1652"/>
      <c r="O80" s="1653">
        <f t="shared" si="8"/>
        <v>0</v>
      </c>
      <c r="P80" s="1654" t="str">
        <f t="shared" si="9"/>
        <v/>
      </c>
      <c r="Q80" s="1655"/>
      <c r="R80" s="1656">
        <f t="shared" si="11"/>
        <v>0</v>
      </c>
      <c r="S80" s="1657" t="str">
        <f t="shared" si="12"/>
        <v/>
      </c>
      <c r="T80" s="1418"/>
      <c r="U80" s="1418"/>
      <c r="V80" s="1418"/>
      <c r="W80" s="1428"/>
    </row>
    <row r="81" spans="1:23" s="1410" customFormat="1">
      <c r="A81" s="1423"/>
      <c r="B81" s="1632" t="s">
        <v>3785</v>
      </c>
      <c r="C81" s="1644" t="s">
        <v>2987</v>
      </c>
      <c r="D81" s="1645" t="s">
        <v>40</v>
      </c>
      <c r="E81" s="1646">
        <v>5.5</v>
      </c>
      <c r="F81" s="1647">
        <v>563.97</v>
      </c>
      <c r="G81" s="1728">
        <v>575.34</v>
      </c>
      <c r="H81" s="1648">
        <f t="shared" si="5"/>
        <v>3101.84</v>
      </c>
      <c r="I81" s="1648">
        <f t="shared" si="6"/>
        <v>3164.37</v>
      </c>
      <c r="J81" s="1649">
        <v>5.5</v>
      </c>
      <c r="K81" s="1650">
        <v>3164.3700000000003</v>
      </c>
      <c r="L81" s="1867"/>
      <c r="M81" s="1651">
        <f t="shared" si="7"/>
        <v>0</v>
      </c>
      <c r="N81" s="1652">
        <f t="shared" ref="N81:N143" si="13">J81+L81</f>
        <v>5.5</v>
      </c>
      <c r="O81" s="1653">
        <f t="shared" si="8"/>
        <v>3164.3700000000003</v>
      </c>
      <c r="P81" s="1654">
        <f t="shared" si="9"/>
        <v>1.0000000000000002</v>
      </c>
      <c r="Q81" s="1655">
        <f t="shared" ref="Q81:Q143" si="14">E81-N81</f>
        <v>0</v>
      </c>
      <c r="R81" s="1656">
        <f t="shared" si="11"/>
        <v>0</v>
      </c>
      <c r="S81" s="1657">
        <f t="shared" si="12"/>
        <v>0</v>
      </c>
      <c r="T81" s="1418"/>
      <c r="U81" s="1418"/>
      <c r="V81" s="1418"/>
      <c r="W81" s="1428"/>
    </row>
    <row r="82" spans="1:23" s="1410" customFormat="1">
      <c r="B82" s="1632" t="s">
        <v>3786</v>
      </c>
      <c r="C82" s="1644" t="s">
        <v>2988</v>
      </c>
      <c r="D82" s="1645" t="s">
        <v>37</v>
      </c>
      <c r="E82" s="1646">
        <v>139.63999999999999</v>
      </c>
      <c r="F82" s="1647">
        <v>75.03</v>
      </c>
      <c r="G82" s="1728">
        <v>76.75</v>
      </c>
      <c r="H82" s="1648">
        <f t="shared" ref="H82:H145" si="15">ROUND(E82*F82,2)</f>
        <v>10477.19</v>
      </c>
      <c r="I82" s="1648">
        <f t="shared" ref="I82:I145" si="16">ROUND(E82*G82,2)</f>
        <v>10717.37</v>
      </c>
      <c r="J82" s="1649">
        <v>46.83</v>
      </c>
      <c r="K82" s="1650">
        <v>3594.2024999999999</v>
      </c>
      <c r="L82" s="1867"/>
      <c r="M82" s="1651">
        <f t="shared" ref="M82:M145" si="17">+L82*G82</f>
        <v>0</v>
      </c>
      <c r="N82" s="1652">
        <f t="shared" si="13"/>
        <v>46.83</v>
      </c>
      <c r="O82" s="1653">
        <f t="shared" ref="O82:O145" si="18">N82*G82</f>
        <v>3594.2024999999999</v>
      </c>
      <c r="P82" s="1654">
        <f t="shared" ref="P82:P145" si="19">+IF(D82=0,"",O82/I82)</f>
        <v>0.33536236035519906</v>
      </c>
      <c r="Q82" s="1655">
        <f t="shared" si="14"/>
        <v>92.809999999999988</v>
      </c>
      <c r="R82" s="1656">
        <f t="shared" ref="R82:R145" si="20">ROUND((Q82*G82),2)</f>
        <v>7123.17</v>
      </c>
      <c r="S82" s="1657">
        <f t="shared" ref="S82:S145" si="21">+IF(I82=0,"",R82/I82)</f>
        <v>0.66463787291098464</v>
      </c>
      <c r="T82" s="1418"/>
      <c r="U82" s="1418"/>
      <c r="V82" s="1418"/>
      <c r="W82" s="1428"/>
    </row>
    <row r="83" spans="1:23" s="1410" customFormat="1">
      <c r="A83" s="1409"/>
      <c r="B83" s="1632" t="s">
        <v>3787</v>
      </c>
      <c r="C83" s="1644" t="s">
        <v>2989</v>
      </c>
      <c r="D83" s="1645" t="s">
        <v>48</v>
      </c>
      <c r="E83" s="1646">
        <v>562.04</v>
      </c>
      <c r="F83" s="1647">
        <v>5.05</v>
      </c>
      <c r="G83" s="1728">
        <v>5.1100000000000003</v>
      </c>
      <c r="H83" s="1648">
        <f t="shared" si="15"/>
        <v>2838.3</v>
      </c>
      <c r="I83" s="1648">
        <f t="shared" si="16"/>
        <v>2872.02</v>
      </c>
      <c r="J83" s="1649">
        <v>562.04</v>
      </c>
      <c r="K83" s="1650">
        <v>2872.0243999999998</v>
      </c>
      <c r="L83" s="1867"/>
      <c r="M83" s="1651">
        <f t="shared" si="17"/>
        <v>0</v>
      </c>
      <c r="N83" s="1652">
        <f t="shared" si="13"/>
        <v>562.04</v>
      </c>
      <c r="O83" s="1653">
        <f t="shared" si="18"/>
        <v>2872.0243999999998</v>
      </c>
      <c r="P83" s="1654">
        <f t="shared" si="19"/>
        <v>1.0000015320227575</v>
      </c>
      <c r="Q83" s="1655">
        <f t="shared" si="14"/>
        <v>0</v>
      </c>
      <c r="R83" s="1656">
        <f t="shared" si="20"/>
        <v>0</v>
      </c>
      <c r="S83" s="1657">
        <f t="shared" si="21"/>
        <v>0</v>
      </c>
      <c r="T83" s="1418"/>
      <c r="U83" s="1418"/>
      <c r="V83" s="1418"/>
      <c r="W83" s="1428"/>
    </row>
    <row r="84" spans="1:23" s="1410" customFormat="1">
      <c r="A84" s="1423"/>
      <c r="B84" s="1725" t="s">
        <v>3788</v>
      </c>
      <c r="C84" s="1721" t="s">
        <v>2990</v>
      </c>
      <c r="D84" s="1645"/>
      <c r="E84" s="1646"/>
      <c r="F84" s="1647"/>
      <c r="G84" s="1728"/>
      <c r="H84" s="1648">
        <f t="shared" si="15"/>
        <v>0</v>
      </c>
      <c r="I84" s="1648">
        <f t="shared" si="16"/>
        <v>0</v>
      </c>
      <c r="J84" s="1649"/>
      <c r="K84" s="1650">
        <v>0</v>
      </c>
      <c r="L84" s="1867"/>
      <c r="M84" s="1651">
        <f t="shared" si="17"/>
        <v>0</v>
      </c>
      <c r="N84" s="1652"/>
      <c r="O84" s="1653">
        <f t="shared" si="18"/>
        <v>0</v>
      </c>
      <c r="P84" s="1654" t="str">
        <f t="shared" si="19"/>
        <v/>
      </c>
      <c r="Q84" s="1655"/>
      <c r="R84" s="1656">
        <f t="shared" si="20"/>
        <v>0</v>
      </c>
      <c r="S84" s="1657" t="str">
        <f t="shared" si="21"/>
        <v/>
      </c>
      <c r="T84" s="1418"/>
      <c r="U84" s="1418"/>
      <c r="V84" s="1418"/>
      <c r="W84" s="1428"/>
    </row>
    <row r="85" spans="1:23" s="1410" customFormat="1">
      <c r="B85" s="1632" t="s">
        <v>3789</v>
      </c>
      <c r="C85" s="1644" t="s">
        <v>3790</v>
      </c>
      <c r="D85" s="1645" t="s">
        <v>40</v>
      </c>
      <c r="E85" s="1646">
        <v>1.38</v>
      </c>
      <c r="F85" s="1647">
        <v>411.38</v>
      </c>
      <c r="G85" s="1728">
        <v>417.07</v>
      </c>
      <c r="H85" s="1648">
        <f t="shared" si="15"/>
        <v>567.70000000000005</v>
      </c>
      <c r="I85" s="1648">
        <f t="shared" si="16"/>
        <v>575.55999999999995</v>
      </c>
      <c r="J85" s="1649">
        <v>1.38</v>
      </c>
      <c r="K85" s="1650">
        <v>575.55659999999989</v>
      </c>
      <c r="L85" s="1867"/>
      <c r="M85" s="1651">
        <f t="shared" si="17"/>
        <v>0</v>
      </c>
      <c r="N85" s="1652">
        <f t="shared" si="13"/>
        <v>1.38</v>
      </c>
      <c r="O85" s="1653">
        <f t="shared" si="18"/>
        <v>575.55659999999989</v>
      </c>
      <c r="P85" s="1654">
        <f t="shared" si="19"/>
        <v>0.99999409270970874</v>
      </c>
      <c r="Q85" s="1655">
        <f t="shared" si="14"/>
        <v>0</v>
      </c>
      <c r="R85" s="1656">
        <f t="shared" si="20"/>
        <v>0</v>
      </c>
      <c r="S85" s="1657">
        <f t="shared" si="21"/>
        <v>0</v>
      </c>
      <c r="T85" s="1418"/>
      <c r="U85" s="1418"/>
      <c r="V85" s="1418"/>
      <c r="W85" s="1428"/>
    </row>
    <row r="86" spans="1:23" s="1410" customFormat="1">
      <c r="A86" s="1423"/>
      <c r="B86" s="1632" t="s">
        <v>3791</v>
      </c>
      <c r="C86" s="1644" t="s">
        <v>2991</v>
      </c>
      <c r="D86" s="1645" t="s">
        <v>37</v>
      </c>
      <c r="E86" s="1646">
        <v>17.66</v>
      </c>
      <c r="F86" s="1647">
        <v>88.92</v>
      </c>
      <c r="G86" s="1728">
        <v>90.83</v>
      </c>
      <c r="H86" s="1648">
        <f t="shared" si="15"/>
        <v>1570.33</v>
      </c>
      <c r="I86" s="1648">
        <f t="shared" si="16"/>
        <v>1604.06</v>
      </c>
      <c r="J86" s="1649">
        <v>17.66</v>
      </c>
      <c r="K86" s="1650">
        <v>1604.0578</v>
      </c>
      <c r="L86" s="1867"/>
      <c r="M86" s="1651">
        <f t="shared" si="17"/>
        <v>0</v>
      </c>
      <c r="N86" s="1652">
        <f t="shared" si="13"/>
        <v>17.66</v>
      </c>
      <c r="O86" s="1653">
        <f t="shared" si="18"/>
        <v>1604.0578</v>
      </c>
      <c r="P86" s="1654">
        <f t="shared" si="19"/>
        <v>0.99999862848023147</v>
      </c>
      <c r="Q86" s="1655">
        <f t="shared" si="14"/>
        <v>0</v>
      </c>
      <c r="R86" s="1656">
        <f t="shared" si="20"/>
        <v>0</v>
      </c>
      <c r="S86" s="1657">
        <f t="shared" si="21"/>
        <v>0</v>
      </c>
      <c r="T86" s="1418"/>
      <c r="U86" s="1418"/>
      <c r="V86" s="1418"/>
      <c r="W86" s="1428"/>
    </row>
    <row r="87" spans="1:23" s="1410" customFormat="1">
      <c r="A87" s="1423"/>
      <c r="B87" s="1632" t="s">
        <v>3792</v>
      </c>
      <c r="C87" s="1644" t="s">
        <v>2992</v>
      </c>
      <c r="D87" s="1645" t="s">
        <v>48</v>
      </c>
      <c r="E87" s="1646">
        <v>358.85</v>
      </c>
      <c r="F87" s="1647">
        <v>5.05</v>
      </c>
      <c r="G87" s="1728">
        <v>5.1100000000000003</v>
      </c>
      <c r="H87" s="1648">
        <f t="shared" si="15"/>
        <v>1812.19</v>
      </c>
      <c r="I87" s="1648">
        <f t="shared" si="16"/>
        <v>1833.72</v>
      </c>
      <c r="J87" s="1649">
        <v>358.85</v>
      </c>
      <c r="K87" s="1650">
        <v>1833.7235000000003</v>
      </c>
      <c r="L87" s="1867"/>
      <c r="M87" s="1651">
        <f t="shared" si="17"/>
        <v>0</v>
      </c>
      <c r="N87" s="1652">
        <f t="shared" si="13"/>
        <v>358.85</v>
      </c>
      <c r="O87" s="1653">
        <f t="shared" si="18"/>
        <v>1833.7235000000003</v>
      </c>
      <c r="P87" s="1654">
        <f t="shared" si="19"/>
        <v>1.0000019086883496</v>
      </c>
      <c r="Q87" s="1655">
        <f t="shared" si="14"/>
        <v>0</v>
      </c>
      <c r="R87" s="1656">
        <f t="shared" si="20"/>
        <v>0</v>
      </c>
      <c r="S87" s="1657">
        <f t="shared" si="21"/>
        <v>0</v>
      </c>
      <c r="T87" s="1418"/>
      <c r="U87" s="1418"/>
      <c r="V87" s="1418"/>
      <c r="W87" s="1428"/>
    </row>
    <row r="88" spans="1:23" s="1410" customFormat="1">
      <c r="B88" s="1725" t="s">
        <v>3793</v>
      </c>
      <c r="C88" s="1721" t="s">
        <v>3016</v>
      </c>
      <c r="D88" s="1645"/>
      <c r="E88" s="1646"/>
      <c r="F88" s="1647"/>
      <c r="G88" s="1728"/>
      <c r="H88" s="1648"/>
      <c r="I88" s="1648"/>
      <c r="J88" s="1649"/>
      <c r="K88" s="1650"/>
      <c r="L88" s="1867"/>
      <c r="M88" s="1651"/>
      <c r="N88" s="1652"/>
      <c r="O88" s="1653"/>
      <c r="P88" s="1654"/>
      <c r="Q88" s="1655"/>
      <c r="R88" s="1656"/>
      <c r="S88" s="1657"/>
      <c r="T88" s="1418"/>
      <c r="U88" s="1418"/>
      <c r="V88" s="1418"/>
      <c r="W88" s="1428"/>
    </row>
    <row r="89" spans="1:23" s="1410" customFormat="1" ht="25.5">
      <c r="A89" s="1409"/>
      <c r="B89" s="1632" t="s">
        <v>3794</v>
      </c>
      <c r="C89" s="1644" t="s">
        <v>3017</v>
      </c>
      <c r="D89" s="1645" t="s">
        <v>2821</v>
      </c>
      <c r="E89" s="1646">
        <v>5</v>
      </c>
      <c r="F89" s="1647">
        <v>998.14</v>
      </c>
      <c r="G89" s="1728">
        <v>1003.91</v>
      </c>
      <c r="H89" s="1648">
        <f t="shared" si="15"/>
        <v>4990.7</v>
      </c>
      <c r="I89" s="1648">
        <f t="shared" si="16"/>
        <v>5019.55</v>
      </c>
      <c r="J89" s="1649">
        <v>5</v>
      </c>
      <c r="K89" s="1650">
        <v>5019.55</v>
      </c>
      <c r="L89" s="1867"/>
      <c r="M89" s="1651">
        <f t="shared" si="17"/>
        <v>0</v>
      </c>
      <c r="N89" s="1652">
        <f t="shared" si="13"/>
        <v>5</v>
      </c>
      <c r="O89" s="1653">
        <f t="shared" si="18"/>
        <v>5019.55</v>
      </c>
      <c r="P89" s="1654">
        <f t="shared" si="19"/>
        <v>1</v>
      </c>
      <c r="Q89" s="1655">
        <f t="shared" si="14"/>
        <v>0</v>
      </c>
      <c r="R89" s="1656">
        <f t="shared" si="20"/>
        <v>0</v>
      </c>
      <c r="S89" s="1657">
        <f t="shared" si="21"/>
        <v>0</v>
      </c>
      <c r="T89" s="1418"/>
      <c r="U89" s="1418"/>
      <c r="V89" s="1418"/>
      <c r="W89" s="1428"/>
    </row>
    <row r="90" spans="1:23" s="1410" customFormat="1">
      <c r="A90" s="1423"/>
      <c r="B90" s="2088" t="s">
        <v>42</v>
      </c>
      <c r="C90" s="2090" t="s">
        <v>1233</v>
      </c>
      <c r="D90" s="1645"/>
      <c r="E90" s="1646"/>
      <c r="F90" s="1647"/>
      <c r="G90" s="1728"/>
      <c r="H90" s="1648">
        <f t="shared" si="15"/>
        <v>0</v>
      </c>
      <c r="I90" s="1648"/>
      <c r="J90" s="1649"/>
      <c r="K90" s="1650"/>
      <c r="L90" s="1867"/>
      <c r="M90" s="1651"/>
      <c r="N90" s="1652"/>
      <c r="O90" s="1653"/>
      <c r="P90" s="1654"/>
      <c r="Q90" s="1655"/>
      <c r="R90" s="1656"/>
      <c r="S90" s="1657"/>
      <c r="T90" s="1418"/>
      <c r="U90" s="1418"/>
      <c r="V90" s="1418"/>
      <c r="W90" s="1428"/>
    </row>
    <row r="91" spans="1:23" s="1410" customFormat="1">
      <c r="B91" s="1725" t="s">
        <v>43</v>
      </c>
      <c r="C91" s="1721" t="s">
        <v>3066</v>
      </c>
      <c r="D91" s="1645"/>
      <c r="E91" s="1646"/>
      <c r="F91" s="1647"/>
      <c r="G91" s="1728"/>
      <c r="H91" s="1648">
        <f t="shared" si="15"/>
        <v>0</v>
      </c>
      <c r="I91" s="1648"/>
      <c r="J91" s="1649"/>
      <c r="K91" s="1650"/>
      <c r="L91" s="1867"/>
      <c r="M91" s="1651"/>
      <c r="N91" s="1652"/>
      <c r="O91" s="1653"/>
      <c r="P91" s="1654"/>
      <c r="Q91" s="1655"/>
      <c r="R91" s="1656"/>
      <c r="S91" s="1657"/>
      <c r="T91" s="1418"/>
      <c r="U91" s="1418"/>
      <c r="V91" s="1418"/>
      <c r="W91" s="1428"/>
    </row>
    <row r="92" spans="1:23" s="1410" customFormat="1">
      <c r="A92" s="1409"/>
      <c r="B92" s="1632" t="s">
        <v>53</v>
      </c>
      <c r="C92" s="1644" t="s">
        <v>3795</v>
      </c>
      <c r="D92" s="1645" t="s">
        <v>37</v>
      </c>
      <c r="E92" s="1646">
        <v>315.95999999999998</v>
      </c>
      <c r="F92" s="1647">
        <v>168.84</v>
      </c>
      <c r="G92" s="1728">
        <v>170.54</v>
      </c>
      <c r="H92" s="1648">
        <f t="shared" si="15"/>
        <v>53346.69</v>
      </c>
      <c r="I92" s="1648">
        <f t="shared" si="16"/>
        <v>53883.82</v>
      </c>
      <c r="J92" s="1649">
        <v>89.858000000000004</v>
      </c>
      <c r="K92" s="1650">
        <v>15324.383320000001</v>
      </c>
      <c r="L92" s="1867"/>
      <c r="M92" s="1651">
        <f t="shared" si="17"/>
        <v>0</v>
      </c>
      <c r="N92" s="1652">
        <f t="shared" si="13"/>
        <v>89.858000000000004</v>
      </c>
      <c r="O92" s="1653">
        <f t="shared" si="18"/>
        <v>15324.383320000001</v>
      </c>
      <c r="P92" s="1654">
        <f t="shared" si="19"/>
        <v>0.28439675063868897</v>
      </c>
      <c r="Q92" s="1655">
        <f t="shared" si="14"/>
        <v>226.10199999999998</v>
      </c>
      <c r="R92" s="1656">
        <f t="shared" si="20"/>
        <v>38559.440000000002</v>
      </c>
      <c r="S92" s="1657">
        <f t="shared" si="21"/>
        <v>0.71560331097535401</v>
      </c>
      <c r="T92" s="1418"/>
      <c r="U92" s="1418"/>
      <c r="V92" s="1418"/>
      <c r="W92" s="1428"/>
    </row>
    <row r="93" spans="1:23" s="1410" customFormat="1">
      <c r="A93" s="1423"/>
      <c r="B93" s="1632" t="s">
        <v>563</v>
      </c>
      <c r="C93" s="1644" t="s">
        <v>3796</v>
      </c>
      <c r="D93" s="1645" t="s">
        <v>37</v>
      </c>
      <c r="E93" s="1646">
        <v>153.54</v>
      </c>
      <c r="F93" s="1647">
        <v>99.19</v>
      </c>
      <c r="G93" s="1728">
        <v>100.36</v>
      </c>
      <c r="H93" s="1648">
        <f t="shared" si="15"/>
        <v>15229.63</v>
      </c>
      <c r="I93" s="1648">
        <f t="shared" si="16"/>
        <v>15409.27</v>
      </c>
      <c r="J93" s="1649">
        <v>153.54</v>
      </c>
      <c r="K93" s="1650">
        <v>15409.274399999998</v>
      </c>
      <c r="L93" s="1867"/>
      <c r="M93" s="1651">
        <f t="shared" si="17"/>
        <v>0</v>
      </c>
      <c r="N93" s="1652">
        <f t="shared" si="13"/>
        <v>153.54</v>
      </c>
      <c r="O93" s="1653">
        <f t="shared" si="18"/>
        <v>15409.274399999998</v>
      </c>
      <c r="P93" s="1654">
        <f t="shared" si="19"/>
        <v>1.0000002855424039</v>
      </c>
      <c r="Q93" s="1655">
        <f t="shared" si="14"/>
        <v>0</v>
      </c>
      <c r="R93" s="1656">
        <f t="shared" si="20"/>
        <v>0</v>
      </c>
      <c r="S93" s="1657">
        <f t="shared" si="21"/>
        <v>0</v>
      </c>
      <c r="T93" s="1418"/>
      <c r="U93" s="1418"/>
      <c r="V93" s="1418"/>
      <c r="W93" s="1428"/>
    </row>
    <row r="94" spans="1:23" s="1410" customFormat="1">
      <c r="B94" s="1632" t="s">
        <v>570</v>
      </c>
      <c r="C94" s="1644" t="s">
        <v>3797</v>
      </c>
      <c r="D94" s="1645" t="s">
        <v>37</v>
      </c>
      <c r="E94" s="1646">
        <v>69.52</v>
      </c>
      <c r="F94" s="1647">
        <v>87.22</v>
      </c>
      <c r="G94" s="1728">
        <v>88.75</v>
      </c>
      <c r="H94" s="1648">
        <f t="shared" si="15"/>
        <v>6063.53</v>
      </c>
      <c r="I94" s="1648">
        <f t="shared" si="16"/>
        <v>6169.9</v>
      </c>
      <c r="J94" s="1649">
        <v>0</v>
      </c>
      <c r="K94" s="1650">
        <v>0</v>
      </c>
      <c r="L94" s="1867"/>
      <c r="M94" s="1651">
        <f t="shared" si="17"/>
        <v>0</v>
      </c>
      <c r="N94" s="1652">
        <f t="shared" si="13"/>
        <v>0</v>
      </c>
      <c r="O94" s="1653">
        <f t="shared" si="18"/>
        <v>0</v>
      </c>
      <c r="P94" s="1654">
        <f t="shared" si="19"/>
        <v>0</v>
      </c>
      <c r="Q94" s="1655">
        <f t="shared" si="14"/>
        <v>69.52</v>
      </c>
      <c r="R94" s="1656">
        <f t="shared" si="20"/>
        <v>6169.9</v>
      </c>
      <c r="S94" s="1657">
        <f t="shared" si="21"/>
        <v>1</v>
      </c>
      <c r="T94" s="1418"/>
      <c r="U94" s="1418"/>
      <c r="V94" s="1418"/>
      <c r="W94" s="1428"/>
    </row>
    <row r="95" spans="1:23" s="1410" customFormat="1">
      <c r="A95" s="1423"/>
      <c r="B95" s="1725" t="s">
        <v>44</v>
      </c>
      <c r="C95" s="1721" t="s">
        <v>3074</v>
      </c>
      <c r="D95" s="1645"/>
      <c r="E95" s="1646"/>
      <c r="F95" s="1647"/>
      <c r="G95" s="1728"/>
      <c r="H95" s="1648">
        <f t="shared" si="15"/>
        <v>0</v>
      </c>
      <c r="I95" s="1648">
        <f t="shared" si="16"/>
        <v>0</v>
      </c>
      <c r="J95" s="1649"/>
      <c r="K95" s="1650">
        <v>0</v>
      </c>
      <c r="L95" s="1867"/>
      <c r="M95" s="1651">
        <f t="shared" si="17"/>
        <v>0</v>
      </c>
      <c r="N95" s="1652"/>
      <c r="O95" s="1653">
        <f t="shared" si="18"/>
        <v>0</v>
      </c>
      <c r="P95" s="1654" t="str">
        <f t="shared" si="19"/>
        <v/>
      </c>
      <c r="Q95" s="1655"/>
      <c r="R95" s="1656">
        <f t="shared" si="20"/>
        <v>0</v>
      </c>
      <c r="S95" s="1657" t="str">
        <f t="shared" si="21"/>
        <v/>
      </c>
      <c r="T95" s="1418"/>
      <c r="U95" s="1418"/>
      <c r="V95" s="1418"/>
      <c r="W95" s="1428"/>
    </row>
    <row r="96" spans="1:23" s="1410" customFormat="1">
      <c r="A96" s="1423"/>
      <c r="B96" s="1632" t="s">
        <v>54</v>
      </c>
      <c r="C96" s="1644" t="s">
        <v>3075</v>
      </c>
      <c r="D96" s="1645" t="s">
        <v>37</v>
      </c>
      <c r="E96" s="1646">
        <v>126.71</v>
      </c>
      <c r="F96" s="1647">
        <v>22.42</v>
      </c>
      <c r="G96" s="1728">
        <v>23.12</v>
      </c>
      <c r="H96" s="1648">
        <f t="shared" si="15"/>
        <v>2840.84</v>
      </c>
      <c r="I96" s="1648">
        <f t="shared" si="16"/>
        <v>2929.54</v>
      </c>
      <c r="J96" s="1649">
        <v>29.417899999999996</v>
      </c>
      <c r="K96" s="1650">
        <v>680.14184799999998</v>
      </c>
      <c r="L96" s="1867"/>
      <c r="M96" s="1651">
        <f t="shared" si="17"/>
        <v>0</v>
      </c>
      <c r="N96" s="1652">
        <f t="shared" si="13"/>
        <v>29.417899999999996</v>
      </c>
      <c r="O96" s="1653">
        <f t="shared" si="18"/>
        <v>680.14184799999998</v>
      </c>
      <c r="P96" s="1654">
        <f t="shared" si="19"/>
        <v>0.23216677294046165</v>
      </c>
      <c r="Q96" s="1655">
        <f t="shared" si="14"/>
        <v>97.292100000000005</v>
      </c>
      <c r="R96" s="1656">
        <f t="shared" si="20"/>
        <v>2249.39</v>
      </c>
      <c r="S96" s="1657">
        <f t="shared" si="21"/>
        <v>0.76783044437010584</v>
      </c>
      <c r="T96" s="1418"/>
      <c r="U96" s="1418"/>
      <c r="V96" s="1418"/>
      <c r="W96" s="1428"/>
    </row>
    <row r="97" spans="1:23" s="1410" customFormat="1" ht="25.5">
      <c r="B97" s="1632" t="s">
        <v>55</v>
      </c>
      <c r="C97" s="1644" t="s">
        <v>3798</v>
      </c>
      <c r="D97" s="1645" t="s">
        <v>37</v>
      </c>
      <c r="E97" s="1646">
        <v>793.88</v>
      </c>
      <c r="F97" s="1647">
        <v>23.79</v>
      </c>
      <c r="G97" s="1728">
        <v>24.52</v>
      </c>
      <c r="H97" s="1648">
        <f t="shared" si="15"/>
        <v>18886.41</v>
      </c>
      <c r="I97" s="1648">
        <f t="shared" si="16"/>
        <v>19465.939999999999</v>
      </c>
      <c r="J97" s="1649">
        <v>674.56529999999975</v>
      </c>
      <c r="K97" s="1650">
        <v>16540.341155999995</v>
      </c>
      <c r="L97" s="1867"/>
      <c r="M97" s="1651">
        <f t="shared" si="17"/>
        <v>0</v>
      </c>
      <c r="N97" s="1652">
        <f t="shared" si="13"/>
        <v>674.56529999999975</v>
      </c>
      <c r="O97" s="1653">
        <f t="shared" si="18"/>
        <v>16540.341155999995</v>
      </c>
      <c r="P97" s="1654">
        <f t="shared" si="19"/>
        <v>0.84970677788999638</v>
      </c>
      <c r="Q97" s="1655">
        <f t="shared" si="14"/>
        <v>119.31470000000024</v>
      </c>
      <c r="R97" s="1656">
        <f t="shared" si="20"/>
        <v>2925.6</v>
      </c>
      <c r="S97" s="1657">
        <f t="shared" si="21"/>
        <v>0.15029328149578186</v>
      </c>
      <c r="T97" s="1418"/>
      <c r="U97" s="1418"/>
      <c r="V97" s="1418"/>
      <c r="W97" s="1428"/>
    </row>
    <row r="98" spans="1:23" s="1410" customFormat="1" ht="25.5">
      <c r="A98" s="1409"/>
      <c r="B98" s="1632" t="s">
        <v>615</v>
      </c>
      <c r="C98" s="1644" t="s">
        <v>3799</v>
      </c>
      <c r="D98" s="1645" t="s">
        <v>37</v>
      </c>
      <c r="E98" s="1646">
        <v>677.13</v>
      </c>
      <c r="F98" s="1647">
        <v>26.7</v>
      </c>
      <c r="G98" s="1728">
        <v>27.55</v>
      </c>
      <c r="H98" s="1648">
        <f t="shared" si="15"/>
        <v>18079.37</v>
      </c>
      <c r="I98" s="1648">
        <f t="shared" si="16"/>
        <v>18654.93</v>
      </c>
      <c r="J98" s="1649">
        <v>274.30729999999994</v>
      </c>
      <c r="K98" s="1650">
        <v>7557.1661149999982</v>
      </c>
      <c r="L98" s="1867"/>
      <c r="M98" s="1651">
        <f t="shared" si="17"/>
        <v>0</v>
      </c>
      <c r="N98" s="1652">
        <f t="shared" si="13"/>
        <v>274.30729999999994</v>
      </c>
      <c r="O98" s="1653">
        <f t="shared" si="18"/>
        <v>7557.1661149999982</v>
      </c>
      <c r="P98" s="1654">
        <f t="shared" si="19"/>
        <v>0.40510289317622733</v>
      </c>
      <c r="Q98" s="1655">
        <f t="shared" si="14"/>
        <v>402.82270000000005</v>
      </c>
      <c r="R98" s="1656">
        <f t="shared" si="20"/>
        <v>11097.77</v>
      </c>
      <c r="S98" s="1657">
        <f t="shared" si="21"/>
        <v>0.59489743461915967</v>
      </c>
      <c r="T98" s="1418"/>
      <c r="U98" s="1418"/>
      <c r="V98" s="1418"/>
      <c r="W98" s="1428"/>
    </row>
    <row r="99" spans="1:23" s="1410" customFormat="1" ht="25.5">
      <c r="A99" s="1423"/>
      <c r="B99" s="1632" t="s">
        <v>644</v>
      </c>
      <c r="C99" s="1644" t="s">
        <v>3800</v>
      </c>
      <c r="D99" s="1645" t="s">
        <v>37</v>
      </c>
      <c r="E99" s="1646">
        <v>717.55</v>
      </c>
      <c r="F99" s="1647">
        <v>37.56</v>
      </c>
      <c r="G99" s="1728">
        <v>38.869999999999997</v>
      </c>
      <c r="H99" s="1648">
        <f t="shared" si="15"/>
        <v>26951.18</v>
      </c>
      <c r="I99" s="1648">
        <f t="shared" si="16"/>
        <v>27891.17</v>
      </c>
      <c r="J99" s="1649">
        <v>717.55</v>
      </c>
      <c r="K99" s="1650">
        <v>27891.168499999996</v>
      </c>
      <c r="L99" s="1867"/>
      <c r="M99" s="1651">
        <f t="shared" si="17"/>
        <v>0</v>
      </c>
      <c r="N99" s="1652">
        <f t="shared" si="13"/>
        <v>717.55</v>
      </c>
      <c r="O99" s="1653">
        <f t="shared" si="18"/>
        <v>27891.168499999996</v>
      </c>
      <c r="P99" s="1654">
        <f t="shared" si="19"/>
        <v>0.99999994621953825</v>
      </c>
      <c r="Q99" s="1655">
        <f t="shared" si="14"/>
        <v>0</v>
      </c>
      <c r="R99" s="1656">
        <f t="shared" si="20"/>
        <v>0</v>
      </c>
      <c r="S99" s="1657">
        <f t="shared" si="21"/>
        <v>0</v>
      </c>
      <c r="T99" s="1418" t="s">
        <v>4270</v>
      </c>
      <c r="U99" s="1418"/>
      <c r="V99" s="1418"/>
      <c r="W99" s="1428"/>
    </row>
    <row r="100" spans="1:23" s="1410" customFormat="1" ht="25.5">
      <c r="B100" s="1632" t="s">
        <v>646</v>
      </c>
      <c r="C100" s="1644" t="s">
        <v>3801</v>
      </c>
      <c r="D100" s="1645" t="s">
        <v>37</v>
      </c>
      <c r="E100" s="1646">
        <v>217.77</v>
      </c>
      <c r="F100" s="1647">
        <v>44.92</v>
      </c>
      <c r="G100" s="1728">
        <v>46.54</v>
      </c>
      <c r="H100" s="1648">
        <f t="shared" si="15"/>
        <v>9782.23</v>
      </c>
      <c r="I100" s="1648">
        <f t="shared" si="16"/>
        <v>10135.02</v>
      </c>
      <c r="J100" s="1649">
        <v>0</v>
      </c>
      <c r="K100" s="1650">
        <v>0</v>
      </c>
      <c r="L100" s="1867"/>
      <c r="M100" s="1651">
        <f t="shared" si="17"/>
        <v>0</v>
      </c>
      <c r="N100" s="1652">
        <f t="shared" si="13"/>
        <v>0</v>
      </c>
      <c r="O100" s="1653">
        <f t="shared" si="18"/>
        <v>0</v>
      </c>
      <c r="P100" s="1654">
        <f t="shared" si="19"/>
        <v>0</v>
      </c>
      <c r="Q100" s="1655">
        <f t="shared" si="14"/>
        <v>217.77</v>
      </c>
      <c r="R100" s="1656">
        <f t="shared" si="20"/>
        <v>10135.02</v>
      </c>
      <c r="S100" s="1657">
        <f t="shared" si="21"/>
        <v>1</v>
      </c>
      <c r="T100" s="1418"/>
      <c r="U100" s="1418"/>
      <c r="V100" s="1418"/>
      <c r="W100" s="1428"/>
    </row>
    <row r="101" spans="1:23" s="1410" customFormat="1" ht="25.5">
      <c r="A101" s="1409"/>
      <c r="B101" s="1632" t="s">
        <v>275</v>
      </c>
      <c r="C101" s="1644" t="s">
        <v>3802</v>
      </c>
      <c r="D101" s="1645" t="s">
        <v>37</v>
      </c>
      <c r="E101" s="1646">
        <v>645.05999999999995</v>
      </c>
      <c r="F101" s="1647">
        <v>28.23</v>
      </c>
      <c r="G101" s="1728">
        <v>29.14</v>
      </c>
      <c r="H101" s="1648">
        <f t="shared" si="15"/>
        <v>18210.04</v>
      </c>
      <c r="I101" s="1648">
        <f t="shared" si="16"/>
        <v>18797.05</v>
      </c>
      <c r="J101" s="1649">
        <v>645.05999999999995</v>
      </c>
      <c r="K101" s="1650">
        <v>18797.0484</v>
      </c>
      <c r="L101" s="1867"/>
      <c r="M101" s="1651">
        <f t="shared" si="17"/>
        <v>0</v>
      </c>
      <c r="N101" s="1652">
        <f t="shared" si="13"/>
        <v>645.05999999999995</v>
      </c>
      <c r="O101" s="1653">
        <f t="shared" si="18"/>
        <v>18797.0484</v>
      </c>
      <c r="P101" s="1654">
        <f t="shared" si="19"/>
        <v>0.99999991488026052</v>
      </c>
      <c r="Q101" s="1655">
        <f t="shared" si="14"/>
        <v>0</v>
      </c>
      <c r="R101" s="1656">
        <f t="shared" si="20"/>
        <v>0</v>
      </c>
      <c r="S101" s="1657">
        <f t="shared" si="21"/>
        <v>0</v>
      </c>
      <c r="T101" s="1418"/>
      <c r="U101" s="1418"/>
      <c r="V101" s="1418"/>
      <c r="W101" s="1428"/>
    </row>
    <row r="102" spans="1:23" s="1410" customFormat="1" ht="25.5">
      <c r="A102" s="1423"/>
      <c r="B102" s="1632" t="s">
        <v>321</v>
      </c>
      <c r="C102" s="1644" t="s">
        <v>3803</v>
      </c>
      <c r="D102" s="1645" t="s">
        <v>37</v>
      </c>
      <c r="E102" s="1646">
        <v>207.1</v>
      </c>
      <c r="F102" s="1647">
        <v>28.23</v>
      </c>
      <c r="G102" s="1728">
        <v>29.14</v>
      </c>
      <c r="H102" s="1648">
        <f t="shared" si="15"/>
        <v>5846.43</v>
      </c>
      <c r="I102" s="1648">
        <f t="shared" si="16"/>
        <v>6034.89</v>
      </c>
      <c r="J102" s="1649">
        <v>0</v>
      </c>
      <c r="K102" s="1650">
        <v>0</v>
      </c>
      <c r="L102" s="1867"/>
      <c r="M102" s="1651">
        <f t="shared" si="17"/>
        <v>0</v>
      </c>
      <c r="N102" s="1652">
        <f t="shared" si="13"/>
        <v>0</v>
      </c>
      <c r="O102" s="1653">
        <f t="shared" si="18"/>
        <v>0</v>
      </c>
      <c r="P102" s="1654">
        <f t="shared" si="19"/>
        <v>0</v>
      </c>
      <c r="Q102" s="1655">
        <f t="shared" si="14"/>
        <v>207.1</v>
      </c>
      <c r="R102" s="1656">
        <f t="shared" si="20"/>
        <v>6034.89</v>
      </c>
      <c r="S102" s="1657">
        <f t="shared" si="21"/>
        <v>1</v>
      </c>
      <c r="T102" s="1418">
        <v>185.05</v>
      </c>
      <c r="U102" s="1418">
        <v>203.42999999999992</v>
      </c>
      <c r="V102" s="1418">
        <f>+U102-T102</f>
        <v>18.37999999999991</v>
      </c>
      <c r="W102" s="1428"/>
    </row>
    <row r="103" spans="1:23" s="1410" customFormat="1" ht="25.5">
      <c r="B103" s="1632" t="s">
        <v>3804</v>
      </c>
      <c r="C103" s="1644" t="s">
        <v>3805</v>
      </c>
      <c r="D103" s="1645" t="s">
        <v>37</v>
      </c>
      <c r="E103" s="1646">
        <v>44.75</v>
      </c>
      <c r="F103" s="1647">
        <v>39.25</v>
      </c>
      <c r="G103" s="1728">
        <v>40.630000000000003</v>
      </c>
      <c r="H103" s="1648">
        <f t="shared" si="15"/>
        <v>1756.44</v>
      </c>
      <c r="I103" s="1648">
        <f t="shared" si="16"/>
        <v>1818.19</v>
      </c>
      <c r="J103" s="1649">
        <v>0</v>
      </c>
      <c r="K103" s="1650">
        <v>0</v>
      </c>
      <c r="L103" s="1867"/>
      <c r="M103" s="1651">
        <f t="shared" si="17"/>
        <v>0</v>
      </c>
      <c r="N103" s="1652">
        <f t="shared" si="13"/>
        <v>0</v>
      </c>
      <c r="O103" s="1653">
        <f t="shared" si="18"/>
        <v>0</v>
      </c>
      <c r="P103" s="1654">
        <f t="shared" si="19"/>
        <v>0</v>
      </c>
      <c r="Q103" s="1655">
        <f t="shared" si="14"/>
        <v>44.75</v>
      </c>
      <c r="R103" s="1656">
        <f t="shared" si="20"/>
        <v>1818.19</v>
      </c>
      <c r="S103" s="1657">
        <f t="shared" si="21"/>
        <v>1</v>
      </c>
      <c r="T103" s="1418"/>
      <c r="U103" s="1418"/>
      <c r="V103" s="1418"/>
      <c r="W103" s="1428"/>
    </row>
    <row r="104" spans="1:23" s="1410" customFormat="1" ht="25.5">
      <c r="A104" s="1423"/>
      <c r="B104" s="1632" t="s">
        <v>2296</v>
      </c>
      <c r="C104" s="1644" t="s">
        <v>3084</v>
      </c>
      <c r="D104" s="1645" t="s">
        <v>37</v>
      </c>
      <c r="E104" s="1646">
        <v>186</v>
      </c>
      <c r="F104" s="1647">
        <v>39.25</v>
      </c>
      <c r="G104" s="1728">
        <v>40.630000000000003</v>
      </c>
      <c r="H104" s="1648">
        <f t="shared" si="15"/>
        <v>7300.5</v>
      </c>
      <c r="I104" s="1648">
        <f t="shared" si="16"/>
        <v>7557.18</v>
      </c>
      <c r="J104" s="1649">
        <v>176.06</v>
      </c>
      <c r="K104" s="1650">
        <v>7153.3178000000007</v>
      </c>
      <c r="L104" s="1867"/>
      <c r="M104" s="1651">
        <f t="shared" si="17"/>
        <v>0</v>
      </c>
      <c r="N104" s="1652">
        <f t="shared" si="13"/>
        <v>176.06</v>
      </c>
      <c r="O104" s="1653">
        <f t="shared" si="18"/>
        <v>7153.3178000000007</v>
      </c>
      <c r="P104" s="1654">
        <f t="shared" si="19"/>
        <v>0.94655913978494632</v>
      </c>
      <c r="Q104" s="1655">
        <f t="shared" si="14"/>
        <v>9.9399999999999977</v>
      </c>
      <c r="R104" s="1656">
        <f t="shared" si="20"/>
        <v>403.86</v>
      </c>
      <c r="S104" s="1657">
        <f t="shared" si="21"/>
        <v>5.3440569101172661E-2</v>
      </c>
      <c r="T104" s="1418"/>
      <c r="U104" s="1418"/>
      <c r="V104" s="1418"/>
      <c r="W104" s="1428"/>
    </row>
    <row r="105" spans="1:23" s="1410" customFormat="1" ht="25.5">
      <c r="A105" s="1423"/>
      <c r="B105" s="1632" t="s">
        <v>2299</v>
      </c>
      <c r="C105" s="1644" t="s">
        <v>3806</v>
      </c>
      <c r="D105" s="1645" t="s">
        <v>37</v>
      </c>
      <c r="E105" s="1646">
        <v>8.81</v>
      </c>
      <c r="F105" s="1647">
        <v>468.16</v>
      </c>
      <c r="G105" s="1728">
        <v>478.93</v>
      </c>
      <c r="H105" s="1648">
        <f t="shared" si="15"/>
        <v>4124.49</v>
      </c>
      <c r="I105" s="1648">
        <f t="shared" si="16"/>
        <v>4219.37</v>
      </c>
      <c r="J105" s="1649">
        <v>8.81</v>
      </c>
      <c r="K105" s="1650">
        <v>4219.3733000000002</v>
      </c>
      <c r="L105" s="1867"/>
      <c r="M105" s="1651">
        <f t="shared" si="17"/>
        <v>0</v>
      </c>
      <c r="N105" s="1652">
        <f t="shared" si="13"/>
        <v>8.81</v>
      </c>
      <c r="O105" s="1653">
        <f t="shared" si="18"/>
        <v>4219.3733000000002</v>
      </c>
      <c r="P105" s="1654">
        <f t="shared" si="19"/>
        <v>1.0000007821072814</v>
      </c>
      <c r="Q105" s="1655">
        <f t="shared" si="14"/>
        <v>0</v>
      </c>
      <c r="R105" s="1656">
        <f t="shared" si="20"/>
        <v>0</v>
      </c>
      <c r="S105" s="1657">
        <f t="shared" si="21"/>
        <v>0</v>
      </c>
      <c r="T105" s="1418"/>
      <c r="U105" s="1418"/>
      <c r="V105" s="1418"/>
      <c r="W105" s="1428"/>
    </row>
    <row r="106" spans="1:23" s="1410" customFormat="1">
      <c r="B106" s="1632" t="s">
        <v>3807</v>
      </c>
      <c r="C106" s="1644" t="s">
        <v>3092</v>
      </c>
      <c r="D106" s="1645" t="s">
        <v>37</v>
      </c>
      <c r="E106" s="1646">
        <v>4.78</v>
      </c>
      <c r="F106" s="1647">
        <v>517.4</v>
      </c>
      <c r="G106" s="1728">
        <v>528.16999999999996</v>
      </c>
      <c r="H106" s="1648">
        <f t="shared" si="15"/>
        <v>2473.17</v>
      </c>
      <c r="I106" s="1648">
        <f t="shared" si="16"/>
        <v>2524.65</v>
      </c>
      <c r="J106" s="1649">
        <v>4.68</v>
      </c>
      <c r="K106" s="1650">
        <v>2471.8355999999994</v>
      </c>
      <c r="L106" s="1867"/>
      <c r="M106" s="1651">
        <f t="shared" si="17"/>
        <v>0</v>
      </c>
      <c r="N106" s="1652">
        <f t="shared" si="13"/>
        <v>4.68</v>
      </c>
      <c r="O106" s="1653">
        <f t="shared" si="18"/>
        <v>2471.8355999999994</v>
      </c>
      <c r="P106" s="1654">
        <f t="shared" si="19"/>
        <v>0.97908050620878118</v>
      </c>
      <c r="Q106" s="1655">
        <f t="shared" si="14"/>
        <v>0.10000000000000053</v>
      </c>
      <c r="R106" s="1656">
        <f t="shared" si="20"/>
        <v>52.82</v>
      </c>
      <c r="S106" s="1657">
        <f t="shared" si="21"/>
        <v>2.0921711920464221E-2</v>
      </c>
      <c r="T106" s="1418"/>
      <c r="U106" s="1418"/>
      <c r="V106" s="1418"/>
      <c r="W106" s="1428"/>
    </row>
    <row r="107" spans="1:23" s="1410" customFormat="1">
      <c r="A107" s="1409"/>
      <c r="B107" s="1632" t="s">
        <v>3808</v>
      </c>
      <c r="C107" s="1644" t="s">
        <v>3809</v>
      </c>
      <c r="D107" s="1645" t="s">
        <v>38</v>
      </c>
      <c r="E107" s="1646">
        <v>437.78</v>
      </c>
      <c r="F107" s="1647">
        <v>14.13</v>
      </c>
      <c r="G107" s="1728">
        <v>14.67</v>
      </c>
      <c r="H107" s="1648">
        <f t="shared" si="15"/>
        <v>6185.83</v>
      </c>
      <c r="I107" s="1648">
        <f t="shared" si="16"/>
        <v>6422.23</v>
      </c>
      <c r="J107" s="1649">
        <v>252.7</v>
      </c>
      <c r="K107" s="1650">
        <v>3707.1089999999999</v>
      </c>
      <c r="L107" s="1867"/>
      <c r="M107" s="1651">
        <f t="shared" si="17"/>
        <v>0</v>
      </c>
      <c r="N107" s="1652">
        <f t="shared" si="13"/>
        <v>252.7</v>
      </c>
      <c r="O107" s="1653">
        <f t="shared" si="18"/>
        <v>3707.1089999999999</v>
      </c>
      <c r="P107" s="1654">
        <f t="shared" si="19"/>
        <v>0.57723080612186117</v>
      </c>
      <c r="Q107" s="1655">
        <f t="shared" si="14"/>
        <v>185.07999999999998</v>
      </c>
      <c r="R107" s="1656">
        <f t="shared" si="20"/>
        <v>2715.12</v>
      </c>
      <c r="S107" s="1657">
        <f t="shared" si="21"/>
        <v>0.42276903816898492</v>
      </c>
      <c r="T107" s="1418"/>
      <c r="U107" s="1418"/>
      <c r="V107" s="1418"/>
      <c r="W107" s="1428"/>
    </row>
    <row r="108" spans="1:23" s="1410" customFormat="1">
      <c r="A108" s="1423"/>
      <c r="B108" s="1632" t="s">
        <v>3810</v>
      </c>
      <c r="C108" s="1644" t="s">
        <v>3811</v>
      </c>
      <c r="D108" s="1645" t="s">
        <v>38</v>
      </c>
      <c r="E108" s="1646">
        <v>265</v>
      </c>
      <c r="F108" s="1647">
        <v>9.5299999999999994</v>
      </c>
      <c r="G108" s="1728">
        <v>9.92</v>
      </c>
      <c r="H108" s="1648">
        <f t="shared" si="15"/>
        <v>2525.4499999999998</v>
      </c>
      <c r="I108" s="1648">
        <f t="shared" si="16"/>
        <v>2628.8</v>
      </c>
      <c r="J108" s="1649">
        <v>265</v>
      </c>
      <c r="K108" s="1650">
        <v>2628.8</v>
      </c>
      <c r="L108" s="1867"/>
      <c r="M108" s="1651">
        <f t="shared" si="17"/>
        <v>0</v>
      </c>
      <c r="N108" s="1652">
        <f t="shared" si="13"/>
        <v>265</v>
      </c>
      <c r="O108" s="1653">
        <f t="shared" si="18"/>
        <v>2628.8</v>
      </c>
      <c r="P108" s="1654">
        <f t="shared" si="19"/>
        <v>1</v>
      </c>
      <c r="Q108" s="1655">
        <f t="shared" si="14"/>
        <v>0</v>
      </c>
      <c r="R108" s="1656">
        <f t="shared" si="20"/>
        <v>0</v>
      </c>
      <c r="S108" s="1657">
        <f t="shared" si="21"/>
        <v>0</v>
      </c>
      <c r="T108" s="1418"/>
      <c r="U108" s="1418"/>
      <c r="V108" s="1418"/>
      <c r="W108" s="1428"/>
    </row>
    <row r="109" spans="1:23" s="1410" customFormat="1">
      <c r="B109" s="1725" t="s">
        <v>52</v>
      </c>
      <c r="C109" s="1721" t="s">
        <v>3097</v>
      </c>
      <c r="D109" s="1645"/>
      <c r="E109" s="1646"/>
      <c r="F109" s="1647"/>
      <c r="G109" s="1728"/>
      <c r="H109" s="1648">
        <f t="shared" si="15"/>
        <v>0</v>
      </c>
      <c r="I109" s="1648">
        <f t="shared" si="16"/>
        <v>0</v>
      </c>
      <c r="J109" s="1649"/>
      <c r="K109" s="1650">
        <v>0</v>
      </c>
      <c r="L109" s="1867"/>
      <c r="M109" s="1651">
        <f t="shared" si="17"/>
        <v>0</v>
      </c>
      <c r="N109" s="1652"/>
      <c r="O109" s="1653">
        <f t="shared" si="18"/>
        <v>0</v>
      </c>
      <c r="P109" s="1654" t="str">
        <f t="shared" si="19"/>
        <v/>
      </c>
      <c r="Q109" s="1655"/>
      <c r="R109" s="1656">
        <f t="shared" si="20"/>
        <v>0</v>
      </c>
      <c r="S109" s="1657" t="str">
        <f t="shared" si="21"/>
        <v/>
      </c>
      <c r="T109" s="1418"/>
      <c r="U109" s="1418"/>
      <c r="V109" s="1418"/>
      <c r="W109" s="1428"/>
    </row>
    <row r="110" spans="1:23" s="1410" customFormat="1">
      <c r="A110" s="1409"/>
      <c r="B110" s="1632" t="s">
        <v>56</v>
      </c>
      <c r="C110" s="1644" t="s">
        <v>3812</v>
      </c>
      <c r="D110" s="1645" t="s">
        <v>37</v>
      </c>
      <c r="E110" s="1646">
        <v>723.7</v>
      </c>
      <c r="F110" s="1647">
        <v>32.53</v>
      </c>
      <c r="G110" s="1728">
        <v>33.630000000000003</v>
      </c>
      <c r="H110" s="1648">
        <f t="shared" si="15"/>
        <v>23541.96</v>
      </c>
      <c r="I110" s="1648">
        <f t="shared" si="16"/>
        <v>24338.03</v>
      </c>
      <c r="J110" s="1649">
        <v>0</v>
      </c>
      <c r="K110" s="1650">
        <v>0</v>
      </c>
      <c r="L110" s="1867"/>
      <c r="M110" s="1651">
        <f t="shared" si="17"/>
        <v>0</v>
      </c>
      <c r="N110" s="1652">
        <f t="shared" si="13"/>
        <v>0</v>
      </c>
      <c r="O110" s="1653">
        <f t="shared" si="18"/>
        <v>0</v>
      </c>
      <c r="P110" s="1654">
        <f t="shared" si="19"/>
        <v>0</v>
      </c>
      <c r="Q110" s="1655">
        <f t="shared" si="14"/>
        <v>723.7</v>
      </c>
      <c r="R110" s="1656">
        <f t="shared" si="20"/>
        <v>24338.03</v>
      </c>
      <c r="S110" s="1657">
        <f t="shared" si="21"/>
        <v>1</v>
      </c>
      <c r="T110" s="1418"/>
      <c r="U110" s="1418"/>
      <c r="V110" s="1418"/>
      <c r="W110" s="1428"/>
    </row>
    <row r="111" spans="1:23" s="1410" customFormat="1">
      <c r="A111" s="1423"/>
      <c r="B111" s="1725" t="s">
        <v>515</v>
      </c>
      <c r="C111" s="1721" t="s">
        <v>3100</v>
      </c>
      <c r="D111" s="1645"/>
      <c r="E111" s="1646"/>
      <c r="F111" s="1647"/>
      <c r="G111" s="1728"/>
      <c r="H111" s="1648">
        <f t="shared" si="15"/>
        <v>0</v>
      </c>
      <c r="I111" s="1648"/>
      <c r="J111" s="1649"/>
      <c r="K111" s="1650"/>
      <c r="L111" s="1867"/>
      <c r="M111" s="1651"/>
      <c r="N111" s="1652"/>
      <c r="O111" s="1653"/>
      <c r="P111" s="1654"/>
      <c r="Q111" s="1655"/>
      <c r="R111" s="1656"/>
      <c r="S111" s="1657" t="str">
        <f t="shared" si="21"/>
        <v/>
      </c>
      <c r="T111" s="1418"/>
      <c r="U111" s="1418"/>
      <c r="V111" s="1418"/>
      <c r="W111" s="1428"/>
    </row>
    <row r="112" spans="1:23" s="1410" customFormat="1">
      <c r="B112" s="1725" t="s">
        <v>516</v>
      </c>
      <c r="C112" s="1721" t="s">
        <v>3101</v>
      </c>
      <c r="D112" s="1645"/>
      <c r="E112" s="1646"/>
      <c r="F112" s="1647"/>
      <c r="G112" s="1728"/>
      <c r="H112" s="1648">
        <f t="shared" si="15"/>
        <v>0</v>
      </c>
      <c r="I112" s="1648"/>
      <c r="J112" s="1649"/>
      <c r="K112" s="1650"/>
      <c r="L112" s="1867"/>
      <c r="M112" s="1651"/>
      <c r="N112" s="1652"/>
      <c r="O112" s="1653"/>
      <c r="P112" s="1654"/>
      <c r="Q112" s="1655"/>
      <c r="R112" s="1656"/>
      <c r="S112" s="1657" t="str">
        <f t="shared" si="21"/>
        <v/>
      </c>
      <c r="T112" s="1418"/>
      <c r="U112" s="1418"/>
      <c r="V112" s="1418"/>
      <c r="W112" s="1428"/>
    </row>
    <row r="113" spans="1:23" s="1410" customFormat="1">
      <c r="A113" s="1423"/>
      <c r="B113" s="1632" t="s">
        <v>694</v>
      </c>
      <c r="C113" s="1644" t="s">
        <v>3813</v>
      </c>
      <c r="D113" s="1645" t="s">
        <v>37</v>
      </c>
      <c r="E113" s="1646">
        <v>1560.67</v>
      </c>
      <c r="F113" s="1647">
        <v>39.130000000000003</v>
      </c>
      <c r="G113" s="1728">
        <v>40.06</v>
      </c>
      <c r="H113" s="1648">
        <f t="shared" si="15"/>
        <v>61069.02</v>
      </c>
      <c r="I113" s="1648">
        <f t="shared" si="16"/>
        <v>62520.44</v>
      </c>
      <c r="J113" s="1649">
        <v>1074.776000000001</v>
      </c>
      <c r="K113" s="1650">
        <v>43055.526560000042</v>
      </c>
      <c r="L113" s="1867">
        <v>88.01</v>
      </c>
      <c r="M113" s="1651">
        <f t="shared" si="17"/>
        <v>3525.6806000000006</v>
      </c>
      <c r="N113" s="1652">
        <f t="shared" si="13"/>
        <v>1162.786000000001</v>
      </c>
      <c r="O113" s="1653">
        <f t="shared" si="18"/>
        <v>46581.207160000042</v>
      </c>
      <c r="P113" s="1654">
        <f t="shared" si="19"/>
        <v>0.74505565155971454</v>
      </c>
      <c r="Q113" s="1655">
        <f t="shared" si="14"/>
        <v>397.88399999999911</v>
      </c>
      <c r="R113" s="1656">
        <f t="shared" si="20"/>
        <v>15939.23</v>
      </c>
      <c r="S113" s="1657">
        <f t="shared" si="21"/>
        <v>0.25494430301514193</v>
      </c>
      <c r="T113" s="1418"/>
      <c r="U113" s="1418"/>
      <c r="V113" s="1418"/>
      <c r="W113" s="1428"/>
    </row>
    <row r="114" spans="1:23" s="1410" customFormat="1">
      <c r="A114" s="1423"/>
      <c r="B114" s="1725" t="s">
        <v>700</v>
      </c>
      <c r="C114" s="1721" t="s">
        <v>3103</v>
      </c>
      <c r="D114" s="1645"/>
      <c r="E114" s="1646"/>
      <c r="F114" s="1647"/>
      <c r="G114" s="1728"/>
      <c r="H114" s="1648">
        <f t="shared" si="15"/>
        <v>0</v>
      </c>
      <c r="I114" s="1648">
        <f t="shared" si="16"/>
        <v>0</v>
      </c>
      <c r="J114" s="1649"/>
      <c r="K114" s="1650">
        <v>0</v>
      </c>
      <c r="L114" s="1867"/>
      <c r="M114" s="1651">
        <f t="shared" si="17"/>
        <v>0</v>
      </c>
      <c r="N114" s="1652"/>
      <c r="O114" s="1653">
        <f t="shared" si="18"/>
        <v>0</v>
      </c>
      <c r="P114" s="1654" t="str">
        <f t="shared" si="19"/>
        <v/>
      </c>
      <c r="Q114" s="1655"/>
      <c r="R114" s="1656">
        <f t="shared" si="20"/>
        <v>0</v>
      </c>
      <c r="S114" s="1657" t="str">
        <f t="shared" si="21"/>
        <v/>
      </c>
      <c r="T114" s="1418"/>
      <c r="U114" s="1418"/>
      <c r="V114" s="1418"/>
      <c r="W114" s="1428"/>
    </row>
    <row r="115" spans="1:23" s="1410" customFormat="1">
      <c r="B115" s="1632" t="s">
        <v>701</v>
      </c>
      <c r="C115" s="1644" t="s">
        <v>3112</v>
      </c>
      <c r="D115" s="1645" t="s">
        <v>37</v>
      </c>
      <c r="E115" s="1646">
        <v>606.48</v>
      </c>
      <c r="F115" s="1647">
        <v>38.880000000000003</v>
      </c>
      <c r="G115" s="1728">
        <v>39.56</v>
      </c>
      <c r="H115" s="1648">
        <f t="shared" si="15"/>
        <v>23579.94</v>
      </c>
      <c r="I115" s="1648">
        <f t="shared" si="16"/>
        <v>23992.35</v>
      </c>
      <c r="J115" s="1649">
        <v>0</v>
      </c>
      <c r="K115" s="1650">
        <v>0</v>
      </c>
      <c r="L115" s="1867"/>
      <c r="M115" s="1651">
        <f t="shared" si="17"/>
        <v>0</v>
      </c>
      <c r="N115" s="1652">
        <f t="shared" si="13"/>
        <v>0</v>
      </c>
      <c r="O115" s="1653">
        <f t="shared" si="18"/>
        <v>0</v>
      </c>
      <c r="P115" s="1654">
        <f t="shared" si="19"/>
        <v>0</v>
      </c>
      <c r="Q115" s="1655">
        <f t="shared" si="14"/>
        <v>606.48</v>
      </c>
      <c r="R115" s="1656">
        <f t="shared" si="20"/>
        <v>23992.35</v>
      </c>
      <c r="S115" s="1657">
        <f t="shared" si="21"/>
        <v>1</v>
      </c>
      <c r="T115" s="1418"/>
      <c r="U115" s="1418"/>
      <c r="V115" s="1418"/>
      <c r="W115" s="1428"/>
    </row>
    <row r="116" spans="1:23" s="1410" customFormat="1">
      <c r="A116" s="1409"/>
      <c r="B116" s="1632" t="s">
        <v>702</v>
      </c>
      <c r="C116" s="1644" t="s">
        <v>3113</v>
      </c>
      <c r="D116" s="1645" t="s">
        <v>37</v>
      </c>
      <c r="E116" s="1646">
        <v>518.78</v>
      </c>
      <c r="F116" s="1647">
        <v>52.43</v>
      </c>
      <c r="G116" s="1728">
        <v>53.05</v>
      </c>
      <c r="H116" s="1648">
        <f t="shared" si="15"/>
        <v>27199.64</v>
      </c>
      <c r="I116" s="1648">
        <f t="shared" si="16"/>
        <v>27521.279999999999</v>
      </c>
      <c r="J116" s="1649">
        <v>0</v>
      </c>
      <c r="K116" s="1650">
        <v>0</v>
      </c>
      <c r="L116" s="1867"/>
      <c r="M116" s="1651">
        <f t="shared" si="17"/>
        <v>0</v>
      </c>
      <c r="N116" s="1652">
        <f t="shared" si="13"/>
        <v>0</v>
      </c>
      <c r="O116" s="1653">
        <f t="shared" si="18"/>
        <v>0</v>
      </c>
      <c r="P116" s="1654">
        <f t="shared" si="19"/>
        <v>0</v>
      </c>
      <c r="Q116" s="1655">
        <f t="shared" si="14"/>
        <v>518.78</v>
      </c>
      <c r="R116" s="1656">
        <f t="shared" si="20"/>
        <v>27521.279999999999</v>
      </c>
      <c r="S116" s="1657">
        <f t="shared" si="21"/>
        <v>1</v>
      </c>
      <c r="T116" s="1418"/>
      <c r="U116" s="1418"/>
      <c r="V116" s="1418"/>
      <c r="W116" s="1428"/>
    </row>
    <row r="117" spans="1:23" s="1410" customFormat="1">
      <c r="A117" s="1423"/>
      <c r="B117" s="1632" t="s">
        <v>703</v>
      </c>
      <c r="C117" s="1644" t="s">
        <v>3116</v>
      </c>
      <c r="D117" s="1645" t="s">
        <v>37</v>
      </c>
      <c r="E117" s="1646">
        <v>268.88</v>
      </c>
      <c r="F117" s="1647">
        <v>62.63</v>
      </c>
      <c r="G117" s="1728">
        <v>63.77</v>
      </c>
      <c r="H117" s="1648">
        <f t="shared" si="15"/>
        <v>16839.95</v>
      </c>
      <c r="I117" s="1648">
        <f t="shared" si="16"/>
        <v>17146.48</v>
      </c>
      <c r="J117" s="1649">
        <v>32.96</v>
      </c>
      <c r="K117" s="1650">
        <v>2101.8592000000003</v>
      </c>
      <c r="L117" s="1867">
        <v>171.08</v>
      </c>
      <c r="M117" s="1651">
        <f t="shared" si="17"/>
        <v>10909.771600000002</v>
      </c>
      <c r="N117" s="1652">
        <f t="shared" si="13"/>
        <v>204.04000000000002</v>
      </c>
      <c r="O117" s="1653">
        <f t="shared" si="18"/>
        <v>13011.630800000003</v>
      </c>
      <c r="P117" s="1654">
        <f t="shared" si="19"/>
        <v>0.75885142606529166</v>
      </c>
      <c r="Q117" s="1655">
        <f t="shared" si="14"/>
        <v>64.839999999999975</v>
      </c>
      <c r="R117" s="1656">
        <f t="shared" si="20"/>
        <v>4134.8500000000004</v>
      </c>
      <c r="S117" s="1657">
        <f t="shared" si="21"/>
        <v>0.24114862059151501</v>
      </c>
      <c r="T117" s="1418"/>
      <c r="U117" s="1418"/>
      <c r="V117" s="1418"/>
      <c r="W117" s="1428"/>
    </row>
    <row r="118" spans="1:23" s="1410" customFormat="1">
      <c r="B118" s="1725" t="s">
        <v>741</v>
      </c>
      <c r="C118" s="1721" t="s">
        <v>3122</v>
      </c>
      <c r="D118" s="1645"/>
      <c r="E118" s="1646"/>
      <c r="F118" s="1647"/>
      <c r="G118" s="1728"/>
      <c r="H118" s="1648">
        <f t="shared" si="15"/>
        <v>0</v>
      </c>
      <c r="I118" s="1648">
        <f t="shared" si="16"/>
        <v>0</v>
      </c>
      <c r="J118" s="1649"/>
      <c r="K118" s="1650">
        <v>0</v>
      </c>
      <c r="L118" s="1867"/>
      <c r="M118" s="1651">
        <f t="shared" si="17"/>
        <v>0</v>
      </c>
      <c r="N118" s="1652"/>
      <c r="O118" s="1653">
        <f t="shared" si="18"/>
        <v>0</v>
      </c>
      <c r="P118" s="1654" t="str">
        <f t="shared" si="19"/>
        <v/>
      </c>
      <c r="Q118" s="1655"/>
      <c r="R118" s="1656">
        <f t="shared" si="20"/>
        <v>0</v>
      </c>
      <c r="S118" s="1657" t="str">
        <f t="shared" si="21"/>
        <v/>
      </c>
      <c r="T118" s="1418"/>
      <c r="U118" s="1418"/>
      <c r="V118" s="1418"/>
      <c r="W118" s="1428"/>
    </row>
    <row r="119" spans="1:23" s="1410" customFormat="1">
      <c r="A119" s="1409"/>
      <c r="B119" s="1725" t="s">
        <v>742</v>
      </c>
      <c r="C119" s="1721" t="s">
        <v>3123</v>
      </c>
      <c r="D119" s="1645"/>
      <c r="E119" s="1646"/>
      <c r="F119" s="1647"/>
      <c r="G119" s="1728"/>
      <c r="H119" s="1648">
        <f t="shared" si="15"/>
        <v>0</v>
      </c>
      <c r="I119" s="1648">
        <f t="shared" si="16"/>
        <v>0</v>
      </c>
      <c r="J119" s="1649"/>
      <c r="K119" s="1650">
        <v>0</v>
      </c>
      <c r="L119" s="1867"/>
      <c r="M119" s="1651">
        <f t="shared" si="17"/>
        <v>0</v>
      </c>
      <c r="N119" s="1652"/>
      <c r="O119" s="1653">
        <f t="shared" si="18"/>
        <v>0</v>
      </c>
      <c r="P119" s="1654" t="str">
        <f t="shared" si="19"/>
        <v/>
      </c>
      <c r="Q119" s="1655"/>
      <c r="R119" s="1656">
        <f t="shared" si="20"/>
        <v>0</v>
      </c>
      <c r="S119" s="1657" t="str">
        <f t="shared" si="21"/>
        <v/>
      </c>
      <c r="T119" s="1418"/>
      <c r="U119" s="1418"/>
      <c r="V119" s="1418"/>
      <c r="W119" s="1428"/>
    </row>
    <row r="120" spans="1:23" s="1410" customFormat="1">
      <c r="A120" s="1423"/>
      <c r="B120" s="1632" t="s">
        <v>743</v>
      </c>
      <c r="C120" s="1644" t="s">
        <v>3814</v>
      </c>
      <c r="D120" s="1645" t="s">
        <v>37</v>
      </c>
      <c r="E120" s="1646">
        <v>1990.29</v>
      </c>
      <c r="F120" s="1647">
        <v>80.709999999999994</v>
      </c>
      <c r="G120" s="1728">
        <v>81.81</v>
      </c>
      <c r="H120" s="1648">
        <f t="shared" si="15"/>
        <v>160636.31</v>
      </c>
      <c r="I120" s="1648">
        <f t="shared" si="16"/>
        <v>162825.62</v>
      </c>
      <c r="J120" s="1649">
        <v>0</v>
      </c>
      <c r="K120" s="1650">
        <v>0</v>
      </c>
      <c r="L120" s="1867"/>
      <c r="M120" s="1651">
        <f t="shared" si="17"/>
        <v>0</v>
      </c>
      <c r="N120" s="1652">
        <f t="shared" si="13"/>
        <v>0</v>
      </c>
      <c r="O120" s="1653">
        <f t="shared" si="18"/>
        <v>0</v>
      </c>
      <c r="P120" s="1654">
        <f t="shared" si="19"/>
        <v>0</v>
      </c>
      <c r="Q120" s="1655">
        <f t="shared" si="14"/>
        <v>1990.29</v>
      </c>
      <c r="R120" s="1656">
        <f t="shared" si="20"/>
        <v>162825.62</v>
      </c>
      <c r="S120" s="1657">
        <f t="shared" si="21"/>
        <v>1</v>
      </c>
      <c r="T120" s="1418"/>
      <c r="U120" s="1418"/>
      <c r="V120" s="1418"/>
      <c r="W120" s="1428"/>
    </row>
    <row r="121" spans="1:23" s="1410" customFormat="1">
      <c r="B121" s="1725" t="s">
        <v>762</v>
      </c>
      <c r="C121" s="1721" t="s">
        <v>3132</v>
      </c>
      <c r="D121" s="1645"/>
      <c r="E121" s="1646"/>
      <c r="F121" s="1647"/>
      <c r="G121" s="1728"/>
      <c r="H121" s="1648">
        <f t="shared" si="15"/>
        <v>0</v>
      </c>
      <c r="I121" s="1648">
        <f t="shared" si="16"/>
        <v>0</v>
      </c>
      <c r="J121" s="1649"/>
      <c r="K121" s="1650">
        <v>0</v>
      </c>
      <c r="L121" s="1867"/>
      <c r="M121" s="1651">
        <f t="shared" si="17"/>
        <v>0</v>
      </c>
      <c r="N121" s="1652"/>
      <c r="O121" s="1653">
        <f t="shared" si="18"/>
        <v>0</v>
      </c>
      <c r="P121" s="1654" t="str">
        <f t="shared" si="19"/>
        <v/>
      </c>
      <c r="Q121" s="1655"/>
      <c r="R121" s="1656">
        <f t="shared" si="20"/>
        <v>0</v>
      </c>
      <c r="S121" s="1657" t="str">
        <f t="shared" si="21"/>
        <v/>
      </c>
      <c r="T121" s="1418"/>
      <c r="U121" s="1418"/>
      <c r="V121" s="1418"/>
      <c r="W121" s="1428"/>
    </row>
    <row r="122" spans="1:23" s="1410" customFormat="1">
      <c r="A122" s="1423"/>
      <c r="B122" s="1632" t="s">
        <v>763</v>
      </c>
      <c r="C122" s="1644" t="s">
        <v>3133</v>
      </c>
      <c r="D122" s="1645" t="s">
        <v>37</v>
      </c>
      <c r="E122" s="1646">
        <v>39.020000000000003</v>
      </c>
      <c r="F122" s="1647">
        <v>434</v>
      </c>
      <c r="G122" s="1728">
        <v>444.73</v>
      </c>
      <c r="H122" s="1648">
        <f t="shared" si="15"/>
        <v>16934.68</v>
      </c>
      <c r="I122" s="1648">
        <f t="shared" si="16"/>
        <v>17353.36</v>
      </c>
      <c r="J122" s="1649">
        <v>29.822000000000024</v>
      </c>
      <c r="K122" s="1650">
        <v>13262.738060000011</v>
      </c>
      <c r="L122" s="1867"/>
      <c r="M122" s="1651">
        <f t="shared" si="17"/>
        <v>0</v>
      </c>
      <c r="N122" s="1652">
        <f t="shared" si="13"/>
        <v>29.822000000000024</v>
      </c>
      <c r="O122" s="1653">
        <f t="shared" si="18"/>
        <v>13262.738060000011</v>
      </c>
      <c r="P122" s="1654">
        <f t="shared" si="19"/>
        <v>0.76427493349991071</v>
      </c>
      <c r="Q122" s="1655">
        <f t="shared" si="14"/>
        <v>9.1979999999999791</v>
      </c>
      <c r="R122" s="1656">
        <f t="shared" si="20"/>
        <v>4090.63</v>
      </c>
      <c r="S122" s="1657">
        <f t="shared" si="21"/>
        <v>0.23572553096345605</v>
      </c>
      <c r="T122" s="1418"/>
      <c r="U122" s="1418"/>
      <c r="V122" s="1418"/>
      <c r="W122" s="1428"/>
    </row>
    <row r="123" spans="1:23" s="1410" customFormat="1" ht="25.5">
      <c r="A123" s="1423"/>
      <c r="B123" s="1632" t="s">
        <v>766</v>
      </c>
      <c r="C123" s="1644" t="s">
        <v>3134</v>
      </c>
      <c r="D123" s="1645" t="s">
        <v>37</v>
      </c>
      <c r="E123" s="1646">
        <v>4.3499999999999996</v>
      </c>
      <c r="F123" s="1647">
        <v>420.24</v>
      </c>
      <c r="G123" s="1728">
        <v>430.97</v>
      </c>
      <c r="H123" s="1648">
        <f t="shared" si="15"/>
        <v>1828.04</v>
      </c>
      <c r="I123" s="1648">
        <f t="shared" si="16"/>
        <v>1874.72</v>
      </c>
      <c r="J123" s="1649">
        <v>0</v>
      </c>
      <c r="K123" s="1650">
        <v>0</v>
      </c>
      <c r="L123" s="1867"/>
      <c r="M123" s="1651">
        <f t="shared" si="17"/>
        <v>0</v>
      </c>
      <c r="N123" s="1652">
        <f t="shared" si="13"/>
        <v>0</v>
      </c>
      <c r="O123" s="1653">
        <f t="shared" si="18"/>
        <v>0</v>
      </c>
      <c r="P123" s="1654">
        <f t="shared" si="19"/>
        <v>0</v>
      </c>
      <c r="Q123" s="1655">
        <f t="shared" si="14"/>
        <v>4.3499999999999996</v>
      </c>
      <c r="R123" s="1656">
        <f t="shared" si="20"/>
        <v>1874.72</v>
      </c>
      <c r="S123" s="1657">
        <f t="shared" si="21"/>
        <v>1</v>
      </c>
      <c r="T123" s="1418"/>
      <c r="U123" s="1418"/>
      <c r="V123" s="1418"/>
      <c r="W123" s="1428"/>
    </row>
    <row r="124" spans="1:23" s="1410" customFormat="1" ht="25.5">
      <c r="B124" s="1632" t="s">
        <v>770</v>
      </c>
      <c r="C124" s="1644" t="s">
        <v>3136</v>
      </c>
      <c r="D124" s="1645" t="s">
        <v>37</v>
      </c>
      <c r="E124" s="1646">
        <v>35.58</v>
      </c>
      <c r="F124" s="1647">
        <v>359.34</v>
      </c>
      <c r="G124" s="1728">
        <v>370.07</v>
      </c>
      <c r="H124" s="1648">
        <f t="shared" si="15"/>
        <v>12785.32</v>
      </c>
      <c r="I124" s="1648">
        <f t="shared" si="16"/>
        <v>13167.09</v>
      </c>
      <c r="J124" s="1649">
        <v>33.399999999999984</v>
      </c>
      <c r="K124" s="1650">
        <v>12360.337999999994</v>
      </c>
      <c r="L124" s="1867"/>
      <c r="M124" s="1651">
        <f t="shared" si="17"/>
        <v>0</v>
      </c>
      <c r="N124" s="1652">
        <f t="shared" si="13"/>
        <v>33.399999999999984</v>
      </c>
      <c r="O124" s="1653">
        <f t="shared" si="18"/>
        <v>12360.337999999994</v>
      </c>
      <c r="P124" s="1654">
        <f t="shared" si="19"/>
        <v>0.93872966616010023</v>
      </c>
      <c r="Q124" s="1655">
        <f t="shared" si="14"/>
        <v>2.1800000000000139</v>
      </c>
      <c r="R124" s="1656">
        <f t="shared" si="20"/>
        <v>806.75</v>
      </c>
      <c r="S124" s="1657">
        <f t="shared" si="21"/>
        <v>6.1270181946048823E-2</v>
      </c>
      <c r="T124" s="1418"/>
      <c r="U124" s="1418"/>
      <c r="V124" s="1418"/>
      <c r="W124" s="1428"/>
    </row>
    <row r="125" spans="1:23" s="1410" customFormat="1" ht="25.5">
      <c r="A125" s="1409"/>
      <c r="B125" s="1632" t="s">
        <v>3815</v>
      </c>
      <c r="C125" s="1644" t="s">
        <v>3816</v>
      </c>
      <c r="D125" s="1645" t="s">
        <v>37</v>
      </c>
      <c r="E125" s="1646">
        <v>2.4700000000000002</v>
      </c>
      <c r="F125" s="1647">
        <v>359.34</v>
      </c>
      <c r="G125" s="1728">
        <v>370.07</v>
      </c>
      <c r="H125" s="1648">
        <f t="shared" si="15"/>
        <v>887.57</v>
      </c>
      <c r="I125" s="1648">
        <f t="shared" si="16"/>
        <v>914.07</v>
      </c>
      <c r="J125" s="1649">
        <v>0</v>
      </c>
      <c r="K125" s="1650">
        <v>0</v>
      </c>
      <c r="L125" s="1867"/>
      <c r="M125" s="1651">
        <f t="shared" si="17"/>
        <v>0</v>
      </c>
      <c r="N125" s="1652">
        <f t="shared" si="13"/>
        <v>0</v>
      </c>
      <c r="O125" s="1653">
        <f t="shared" si="18"/>
        <v>0</v>
      </c>
      <c r="P125" s="1654">
        <f t="shared" si="19"/>
        <v>0</v>
      </c>
      <c r="Q125" s="1655">
        <f t="shared" si="14"/>
        <v>2.4700000000000002</v>
      </c>
      <c r="R125" s="1656">
        <f t="shared" si="20"/>
        <v>914.07</v>
      </c>
      <c r="S125" s="1657">
        <f t="shared" si="21"/>
        <v>1</v>
      </c>
      <c r="T125" s="1418"/>
      <c r="U125" s="1418"/>
      <c r="V125" s="1418"/>
      <c r="W125" s="1428"/>
    </row>
    <row r="126" spans="1:23" s="1410" customFormat="1">
      <c r="A126" s="1423"/>
      <c r="B126" s="1725" t="s">
        <v>773</v>
      </c>
      <c r="C126" s="1721" t="s">
        <v>3817</v>
      </c>
      <c r="D126" s="1645"/>
      <c r="E126" s="1646"/>
      <c r="F126" s="1647"/>
      <c r="G126" s="1728"/>
      <c r="H126" s="1648">
        <f t="shared" si="15"/>
        <v>0</v>
      </c>
      <c r="I126" s="1648">
        <f t="shared" si="16"/>
        <v>0</v>
      </c>
      <c r="J126" s="1649"/>
      <c r="K126" s="1650">
        <v>0</v>
      </c>
      <c r="L126" s="1867"/>
      <c r="M126" s="1651">
        <f t="shared" si="17"/>
        <v>0</v>
      </c>
      <c r="N126" s="1652"/>
      <c r="O126" s="1653">
        <f t="shared" si="18"/>
        <v>0</v>
      </c>
      <c r="P126" s="1654" t="str">
        <f t="shared" si="19"/>
        <v/>
      </c>
      <c r="Q126" s="1655"/>
      <c r="R126" s="1656">
        <f t="shared" si="20"/>
        <v>0</v>
      </c>
      <c r="S126" s="1657" t="str">
        <f t="shared" si="21"/>
        <v/>
      </c>
      <c r="T126" s="1418"/>
      <c r="U126" s="1418"/>
      <c r="V126" s="1418"/>
      <c r="W126" s="1428"/>
    </row>
    <row r="127" spans="1:23" s="1410" customFormat="1">
      <c r="B127" s="1725" t="s">
        <v>774</v>
      </c>
      <c r="C127" s="1721" t="s">
        <v>3818</v>
      </c>
      <c r="D127" s="1645"/>
      <c r="E127" s="1646"/>
      <c r="F127" s="1647"/>
      <c r="G127" s="1728"/>
      <c r="H127" s="1648">
        <f t="shared" si="15"/>
        <v>0</v>
      </c>
      <c r="I127" s="1648">
        <f t="shared" si="16"/>
        <v>0</v>
      </c>
      <c r="J127" s="1649"/>
      <c r="K127" s="1650">
        <v>0</v>
      </c>
      <c r="L127" s="1867"/>
      <c r="M127" s="1651">
        <f t="shared" si="17"/>
        <v>0</v>
      </c>
      <c r="N127" s="1652"/>
      <c r="O127" s="1653">
        <f t="shared" si="18"/>
        <v>0</v>
      </c>
      <c r="P127" s="1654" t="str">
        <f t="shared" si="19"/>
        <v/>
      </c>
      <c r="Q127" s="1655"/>
      <c r="R127" s="1656">
        <f t="shared" si="20"/>
        <v>0</v>
      </c>
      <c r="S127" s="1657" t="str">
        <f t="shared" si="21"/>
        <v/>
      </c>
      <c r="T127" s="1418"/>
      <c r="U127" s="1418"/>
      <c r="V127" s="1418"/>
      <c r="W127" s="1428"/>
    </row>
    <row r="128" spans="1:23" s="1410" customFormat="1">
      <c r="A128" s="1409"/>
      <c r="B128" s="1632" t="s">
        <v>775</v>
      </c>
      <c r="C128" s="1644" t="s">
        <v>3143</v>
      </c>
      <c r="D128" s="1645" t="s">
        <v>36</v>
      </c>
      <c r="E128" s="1646">
        <v>6</v>
      </c>
      <c r="F128" s="1647">
        <v>658.81</v>
      </c>
      <c r="G128" s="1728">
        <v>664.7</v>
      </c>
      <c r="H128" s="1648">
        <f t="shared" si="15"/>
        <v>3952.86</v>
      </c>
      <c r="I128" s="1648">
        <f t="shared" si="16"/>
        <v>3988.2</v>
      </c>
      <c r="J128" s="1649">
        <v>0</v>
      </c>
      <c r="K128" s="1650">
        <v>0</v>
      </c>
      <c r="L128" s="1867"/>
      <c r="M128" s="1651">
        <f t="shared" si="17"/>
        <v>0</v>
      </c>
      <c r="N128" s="1652">
        <f t="shared" si="13"/>
        <v>0</v>
      </c>
      <c r="O128" s="1653">
        <f t="shared" si="18"/>
        <v>0</v>
      </c>
      <c r="P128" s="1654">
        <f t="shared" si="19"/>
        <v>0</v>
      </c>
      <c r="Q128" s="1655">
        <f t="shared" si="14"/>
        <v>6</v>
      </c>
      <c r="R128" s="1656">
        <f t="shared" si="20"/>
        <v>3988.2</v>
      </c>
      <c r="S128" s="1657">
        <f t="shared" si="21"/>
        <v>1</v>
      </c>
      <c r="T128" s="1418"/>
      <c r="U128" s="1418"/>
      <c r="V128" s="1418"/>
      <c r="W128" s="1428"/>
    </row>
    <row r="129" spans="1:23" s="1410" customFormat="1">
      <c r="A129" s="1423"/>
      <c r="B129" s="1725" t="s">
        <v>777</v>
      </c>
      <c r="C129" s="1721" t="s">
        <v>3145</v>
      </c>
      <c r="D129" s="1645"/>
      <c r="E129" s="1646"/>
      <c r="F129" s="1647"/>
      <c r="G129" s="1728"/>
      <c r="H129" s="1648">
        <f t="shared" si="15"/>
        <v>0</v>
      </c>
      <c r="I129" s="1648">
        <f t="shared" si="16"/>
        <v>0</v>
      </c>
      <c r="J129" s="1649"/>
      <c r="K129" s="1650">
        <v>0</v>
      </c>
      <c r="L129" s="1867"/>
      <c r="M129" s="1651">
        <f t="shared" si="17"/>
        <v>0</v>
      </c>
      <c r="N129" s="1652"/>
      <c r="O129" s="1653">
        <f t="shared" si="18"/>
        <v>0</v>
      </c>
      <c r="P129" s="1654" t="str">
        <f t="shared" si="19"/>
        <v/>
      </c>
      <c r="Q129" s="1655"/>
      <c r="R129" s="1656">
        <f t="shared" si="20"/>
        <v>0</v>
      </c>
      <c r="S129" s="1657" t="str">
        <f t="shared" si="21"/>
        <v/>
      </c>
      <c r="T129" s="1418"/>
      <c r="U129" s="1418"/>
      <c r="V129" s="1418"/>
      <c r="W129" s="1428"/>
    </row>
    <row r="130" spans="1:23" s="1410" customFormat="1" ht="25.5">
      <c r="B130" s="1632" t="s">
        <v>778</v>
      </c>
      <c r="C130" s="1644" t="s">
        <v>3146</v>
      </c>
      <c r="D130" s="1645" t="s">
        <v>37</v>
      </c>
      <c r="E130" s="1646">
        <v>22.01</v>
      </c>
      <c r="F130" s="1647">
        <v>180.4</v>
      </c>
      <c r="G130" s="1728">
        <v>180.4</v>
      </c>
      <c r="H130" s="1648">
        <f t="shared" si="15"/>
        <v>3970.6</v>
      </c>
      <c r="I130" s="1648">
        <f t="shared" si="16"/>
        <v>3970.6</v>
      </c>
      <c r="J130" s="1649">
        <v>0</v>
      </c>
      <c r="K130" s="1650">
        <v>0</v>
      </c>
      <c r="L130" s="1867"/>
      <c r="M130" s="1651">
        <f t="shared" si="17"/>
        <v>0</v>
      </c>
      <c r="N130" s="1652">
        <f t="shared" si="13"/>
        <v>0</v>
      </c>
      <c r="O130" s="1653">
        <f t="shared" si="18"/>
        <v>0</v>
      </c>
      <c r="P130" s="1654">
        <f t="shared" si="19"/>
        <v>0</v>
      </c>
      <c r="Q130" s="1655">
        <f t="shared" si="14"/>
        <v>22.01</v>
      </c>
      <c r="R130" s="1656">
        <f t="shared" si="20"/>
        <v>3970.6</v>
      </c>
      <c r="S130" s="1657">
        <f t="shared" si="21"/>
        <v>1</v>
      </c>
      <c r="T130" s="1418"/>
      <c r="U130" s="1418"/>
      <c r="V130" s="1418"/>
      <c r="W130" s="1428"/>
    </row>
    <row r="131" spans="1:23" s="1410" customFormat="1">
      <c r="A131" s="1423"/>
      <c r="B131" s="1725" t="s">
        <v>3819</v>
      </c>
      <c r="C131" s="1721" t="s">
        <v>3150</v>
      </c>
      <c r="D131" s="1645"/>
      <c r="E131" s="1646"/>
      <c r="F131" s="1647"/>
      <c r="G131" s="1728"/>
      <c r="H131" s="1648">
        <f t="shared" si="15"/>
        <v>0</v>
      </c>
      <c r="I131" s="1648">
        <f t="shared" si="16"/>
        <v>0</v>
      </c>
      <c r="J131" s="1649"/>
      <c r="K131" s="1650">
        <v>0</v>
      </c>
      <c r="L131" s="1867"/>
      <c r="M131" s="1651">
        <f t="shared" si="17"/>
        <v>0</v>
      </c>
      <c r="N131" s="1652"/>
      <c r="O131" s="1653">
        <f t="shared" si="18"/>
        <v>0</v>
      </c>
      <c r="P131" s="1654" t="str">
        <f t="shared" si="19"/>
        <v/>
      </c>
      <c r="Q131" s="1655"/>
      <c r="R131" s="1656">
        <f t="shared" si="20"/>
        <v>0</v>
      </c>
      <c r="S131" s="1657" t="str">
        <f t="shared" si="21"/>
        <v/>
      </c>
      <c r="T131" s="1418"/>
      <c r="U131" s="1418"/>
      <c r="V131" s="1418"/>
      <c r="W131" s="1428"/>
    </row>
    <row r="132" spans="1:23" s="1410" customFormat="1">
      <c r="A132" s="1423"/>
      <c r="B132" s="1632" t="s">
        <v>3820</v>
      </c>
      <c r="C132" s="1644" t="s">
        <v>3152</v>
      </c>
      <c r="D132" s="1645" t="s">
        <v>38</v>
      </c>
      <c r="E132" s="1646">
        <v>207.49</v>
      </c>
      <c r="F132" s="1647">
        <v>393.88</v>
      </c>
      <c r="G132" s="1728">
        <v>396.74</v>
      </c>
      <c r="H132" s="1648">
        <f t="shared" si="15"/>
        <v>81726.16</v>
      </c>
      <c r="I132" s="1648">
        <f t="shared" si="16"/>
        <v>82319.58</v>
      </c>
      <c r="J132" s="1649">
        <v>0</v>
      </c>
      <c r="K132" s="1650">
        <v>0</v>
      </c>
      <c r="L132" s="1867"/>
      <c r="M132" s="1651">
        <f t="shared" si="17"/>
        <v>0</v>
      </c>
      <c r="N132" s="1652">
        <f t="shared" si="13"/>
        <v>0</v>
      </c>
      <c r="O132" s="1653">
        <f t="shared" si="18"/>
        <v>0</v>
      </c>
      <c r="P132" s="1654">
        <f t="shared" si="19"/>
        <v>0</v>
      </c>
      <c r="Q132" s="1655">
        <f t="shared" si="14"/>
        <v>207.49</v>
      </c>
      <c r="R132" s="1656">
        <f t="shared" si="20"/>
        <v>82319.58</v>
      </c>
      <c r="S132" s="1657">
        <f t="shared" si="21"/>
        <v>1</v>
      </c>
      <c r="T132" s="1418"/>
      <c r="U132" s="1418"/>
      <c r="V132" s="1418"/>
      <c r="W132" s="1428"/>
    </row>
    <row r="133" spans="1:23" s="1410" customFormat="1">
      <c r="B133" s="1632" t="s">
        <v>3821</v>
      </c>
      <c r="C133" s="1644" t="s">
        <v>3822</v>
      </c>
      <c r="D133" s="1645" t="s">
        <v>38</v>
      </c>
      <c r="E133" s="1646">
        <v>783.79</v>
      </c>
      <c r="F133" s="1647">
        <v>276.77999999999997</v>
      </c>
      <c r="G133" s="1728">
        <v>279.17</v>
      </c>
      <c r="H133" s="1648">
        <f t="shared" si="15"/>
        <v>216937.4</v>
      </c>
      <c r="I133" s="1648">
        <f t="shared" si="16"/>
        <v>218810.65</v>
      </c>
      <c r="J133" s="1649">
        <v>0</v>
      </c>
      <c r="K133" s="1650">
        <v>0</v>
      </c>
      <c r="L133" s="1867">
        <v>67.05</v>
      </c>
      <c r="M133" s="1651">
        <f t="shared" si="17"/>
        <v>18718.3485</v>
      </c>
      <c r="N133" s="1652">
        <f t="shared" si="13"/>
        <v>67.05</v>
      </c>
      <c r="O133" s="1653">
        <f t="shared" si="18"/>
        <v>18718.3485</v>
      </c>
      <c r="P133" s="1654">
        <f t="shared" si="19"/>
        <v>8.5545874937988625E-2</v>
      </c>
      <c r="Q133" s="1655">
        <f t="shared" si="14"/>
        <v>716.74</v>
      </c>
      <c r="R133" s="1656">
        <f t="shared" si="20"/>
        <v>200092.31</v>
      </c>
      <c r="S133" s="1657">
        <f t="shared" si="21"/>
        <v>0.91445416390838385</v>
      </c>
      <c r="T133" s="1418"/>
      <c r="U133" s="1418"/>
      <c r="V133" s="1418"/>
      <c r="W133" s="1428"/>
    </row>
    <row r="134" spans="1:23" s="1410" customFormat="1">
      <c r="A134" s="1409"/>
      <c r="B134" s="1725" t="s">
        <v>780</v>
      </c>
      <c r="C134" s="1721" t="s">
        <v>3169</v>
      </c>
      <c r="D134" s="1645"/>
      <c r="E134" s="1646"/>
      <c r="F134" s="1647"/>
      <c r="G134" s="1728"/>
      <c r="H134" s="1648">
        <f t="shared" si="15"/>
        <v>0</v>
      </c>
      <c r="I134" s="1648">
        <f t="shared" si="16"/>
        <v>0</v>
      </c>
      <c r="J134" s="1649"/>
      <c r="K134" s="1650">
        <v>0</v>
      </c>
      <c r="L134" s="1867"/>
      <c r="M134" s="1651">
        <f t="shared" si="17"/>
        <v>0</v>
      </c>
      <c r="N134" s="1652"/>
      <c r="O134" s="1653">
        <f t="shared" si="18"/>
        <v>0</v>
      </c>
      <c r="P134" s="1654" t="str">
        <f t="shared" si="19"/>
        <v/>
      </c>
      <c r="Q134" s="1655"/>
      <c r="R134" s="1656">
        <f t="shared" si="20"/>
        <v>0</v>
      </c>
      <c r="S134" s="1657" t="str">
        <f t="shared" si="21"/>
        <v/>
      </c>
      <c r="T134" s="1418"/>
      <c r="U134" s="1418"/>
      <c r="V134" s="1418"/>
      <c r="W134" s="1428"/>
    </row>
    <row r="135" spans="1:23" s="1410" customFormat="1">
      <c r="A135" s="1423"/>
      <c r="B135" s="1632" t="s">
        <v>781</v>
      </c>
      <c r="C135" s="1644" t="s">
        <v>3170</v>
      </c>
      <c r="D135" s="1645" t="s">
        <v>36</v>
      </c>
      <c r="E135" s="1646">
        <v>39</v>
      </c>
      <c r="F135" s="1647">
        <v>29.86</v>
      </c>
      <c r="G135" s="1728">
        <v>29.94</v>
      </c>
      <c r="H135" s="1648">
        <f t="shared" si="15"/>
        <v>1164.54</v>
      </c>
      <c r="I135" s="1648">
        <f t="shared" si="16"/>
        <v>1167.6600000000001</v>
      </c>
      <c r="J135" s="1649">
        <v>0</v>
      </c>
      <c r="K135" s="1650">
        <v>0</v>
      </c>
      <c r="L135" s="1867"/>
      <c r="M135" s="1651">
        <f t="shared" si="17"/>
        <v>0</v>
      </c>
      <c r="N135" s="1652">
        <f t="shared" si="13"/>
        <v>0</v>
      </c>
      <c r="O135" s="1653">
        <f t="shared" si="18"/>
        <v>0</v>
      </c>
      <c r="P135" s="1654">
        <f t="shared" si="19"/>
        <v>0</v>
      </c>
      <c r="Q135" s="1655">
        <f t="shared" si="14"/>
        <v>39</v>
      </c>
      <c r="R135" s="1656">
        <f t="shared" si="20"/>
        <v>1167.6600000000001</v>
      </c>
      <c r="S135" s="1657">
        <f t="shared" si="21"/>
        <v>1</v>
      </c>
      <c r="T135" s="1418"/>
      <c r="U135" s="1418"/>
      <c r="V135" s="1418"/>
      <c r="W135" s="1428"/>
    </row>
    <row r="136" spans="1:23" s="1410" customFormat="1">
      <c r="B136" s="1632" t="s">
        <v>785</v>
      </c>
      <c r="C136" s="1644" t="s">
        <v>3823</v>
      </c>
      <c r="D136" s="1645" t="s">
        <v>36</v>
      </c>
      <c r="E136" s="1646">
        <v>48</v>
      </c>
      <c r="F136" s="1647">
        <v>19.86</v>
      </c>
      <c r="G136" s="1728">
        <v>19.940000000000001</v>
      </c>
      <c r="H136" s="1648">
        <f t="shared" si="15"/>
        <v>953.28</v>
      </c>
      <c r="I136" s="1648">
        <f t="shared" si="16"/>
        <v>957.12</v>
      </c>
      <c r="J136" s="1649">
        <v>0</v>
      </c>
      <c r="K136" s="1650">
        <v>0</v>
      </c>
      <c r="L136" s="1867"/>
      <c r="M136" s="1651">
        <f t="shared" si="17"/>
        <v>0</v>
      </c>
      <c r="N136" s="1652">
        <f t="shared" si="13"/>
        <v>0</v>
      </c>
      <c r="O136" s="1653">
        <f t="shared" si="18"/>
        <v>0</v>
      </c>
      <c r="P136" s="1654">
        <f t="shared" si="19"/>
        <v>0</v>
      </c>
      <c r="Q136" s="1655">
        <f t="shared" si="14"/>
        <v>48</v>
      </c>
      <c r="R136" s="1656">
        <f t="shared" si="20"/>
        <v>957.12</v>
      </c>
      <c r="S136" s="1657">
        <f t="shared" si="21"/>
        <v>1</v>
      </c>
      <c r="T136" s="1418"/>
      <c r="U136" s="1418"/>
      <c r="V136" s="1418"/>
      <c r="W136" s="1428"/>
    </row>
    <row r="137" spans="1:23" s="1410" customFormat="1">
      <c r="A137" s="1409"/>
      <c r="B137" s="1632" t="s">
        <v>788</v>
      </c>
      <c r="C137" s="1644" t="s">
        <v>3173</v>
      </c>
      <c r="D137" s="1645" t="s">
        <v>36</v>
      </c>
      <c r="E137" s="1646">
        <v>13</v>
      </c>
      <c r="F137" s="1647">
        <v>95.4</v>
      </c>
      <c r="G137" s="1728">
        <v>96.42</v>
      </c>
      <c r="H137" s="1648">
        <f t="shared" si="15"/>
        <v>1240.2</v>
      </c>
      <c r="I137" s="1648">
        <f t="shared" si="16"/>
        <v>1253.46</v>
      </c>
      <c r="J137" s="1649">
        <v>0</v>
      </c>
      <c r="K137" s="1650">
        <v>0</v>
      </c>
      <c r="L137" s="1867"/>
      <c r="M137" s="1651">
        <f t="shared" si="17"/>
        <v>0</v>
      </c>
      <c r="N137" s="1652">
        <f t="shared" si="13"/>
        <v>0</v>
      </c>
      <c r="O137" s="1653">
        <f t="shared" si="18"/>
        <v>0</v>
      </c>
      <c r="P137" s="1654">
        <f t="shared" si="19"/>
        <v>0</v>
      </c>
      <c r="Q137" s="1655">
        <f t="shared" si="14"/>
        <v>13</v>
      </c>
      <c r="R137" s="1656">
        <f t="shared" si="20"/>
        <v>1253.46</v>
      </c>
      <c r="S137" s="1657">
        <f t="shared" si="21"/>
        <v>1</v>
      </c>
      <c r="T137" s="1418"/>
      <c r="U137" s="1418"/>
      <c r="V137" s="1418"/>
      <c r="W137" s="1428"/>
    </row>
    <row r="138" spans="1:23" s="1410" customFormat="1">
      <c r="A138" s="1423"/>
      <c r="B138" s="1632" t="s">
        <v>792</v>
      </c>
      <c r="C138" s="1644" t="s">
        <v>3174</v>
      </c>
      <c r="D138" s="1645" t="s">
        <v>36</v>
      </c>
      <c r="E138" s="1646">
        <v>13</v>
      </c>
      <c r="F138" s="1647">
        <v>75.42</v>
      </c>
      <c r="G138" s="1728">
        <v>76.44</v>
      </c>
      <c r="H138" s="1648">
        <f t="shared" si="15"/>
        <v>980.46</v>
      </c>
      <c r="I138" s="1648">
        <f t="shared" si="16"/>
        <v>993.72</v>
      </c>
      <c r="J138" s="1649">
        <v>0</v>
      </c>
      <c r="K138" s="1650">
        <v>0</v>
      </c>
      <c r="L138" s="1867"/>
      <c r="M138" s="1651">
        <f t="shared" si="17"/>
        <v>0</v>
      </c>
      <c r="N138" s="1652">
        <f t="shared" si="13"/>
        <v>0</v>
      </c>
      <c r="O138" s="1653">
        <f t="shared" si="18"/>
        <v>0</v>
      </c>
      <c r="P138" s="1654">
        <f t="shared" si="19"/>
        <v>0</v>
      </c>
      <c r="Q138" s="1655">
        <f t="shared" si="14"/>
        <v>13</v>
      </c>
      <c r="R138" s="1656">
        <f t="shared" si="20"/>
        <v>993.72</v>
      </c>
      <c r="S138" s="1657">
        <f t="shared" si="21"/>
        <v>1</v>
      </c>
      <c r="T138" s="1418"/>
      <c r="U138" s="1418"/>
      <c r="V138" s="1418"/>
      <c r="W138" s="1428"/>
    </row>
    <row r="139" spans="1:23" s="1410" customFormat="1">
      <c r="B139" s="1632" t="s">
        <v>798</v>
      </c>
      <c r="C139" s="1644" t="s">
        <v>3175</v>
      </c>
      <c r="D139" s="1645" t="s">
        <v>36</v>
      </c>
      <c r="E139" s="1646">
        <v>1</v>
      </c>
      <c r="F139" s="1647">
        <v>112.4</v>
      </c>
      <c r="G139" s="1728">
        <v>113.42</v>
      </c>
      <c r="H139" s="1648">
        <f t="shared" si="15"/>
        <v>112.4</v>
      </c>
      <c r="I139" s="1648">
        <f t="shared" si="16"/>
        <v>113.42</v>
      </c>
      <c r="J139" s="1649">
        <v>0</v>
      </c>
      <c r="K139" s="1650">
        <v>0</v>
      </c>
      <c r="L139" s="1867"/>
      <c r="M139" s="1651">
        <f t="shared" si="17"/>
        <v>0</v>
      </c>
      <c r="N139" s="1652">
        <f t="shared" si="13"/>
        <v>0</v>
      </c>
      <c r="O139" s="1653">
        <f t="shared" si="18"/>
        <v>0</v>
      </c>
      <c r="P139" s="1654">
        <f t="shared" si="19"/>
        <v>0</v>
      </c>
      <c r="Q139" s="1655">
        <f t="shared" si="14"/>
        <v>1</v>
      </c>
      <c r="R139" s="1656">
        <f t="shared" si="20"/>
        <v>113.42</v>
      </c>
      <c r="S139" s="1657">
        <f t="shared" si="21"/>
        <v>1</v>
      </c>
      <c r="T139" s="1418"/>
      <c r="U139" s="1418"/>
      <c r="V139" s="1418"/>
      <c r="W139" s="1428"/>
    </row>
    <row r="140" spans="1:23" s="1410" customFormat="1">
      <c r="A140" s="1423"/>
      <c r="B140" s="1632" t="s">
        <v>3824</v>
      </c>
      <c r="C140" s="1644" t="s">
        <v>3178</v>
      </c>
      <c r="D140" s="1645" t="s">
        <v>36</v>
      </c>
      <c r="E140" s="1646">
        <v>18</v>
      </c>
      <c r="F140" s="1647">
        <v>17.68</v>
      </c>
      <c r="G140" s="1728">
        <v>17.940000000000001</v>
      </c>
      <c r="H140" s="1648">
        <f t="shared" si="15"/>
        <v>318.24</v>
      </c>
      <c r="I140" s="1648">
        <f t="shared" si="16"/>
        <v>322.92</v>
      </c>
      <c r="J140" s="1649">
        <v>0</v>
      </c>
      <c r="K140" s="1650">
        <v>0</v>
      </c>
      <c r="L140" s="1867"/>
      <c r="M140" s="1651">
        <f t="shared" si="17"/>
        <v>0</v>
      </c>
      <c r="N140" s="1652">
        <f t="shared" si="13"/>
        <v>0</v>
      </c>
      <c r="O140" s="1653">
        <f t="shared" si="18"/>
        <v>0</v>
      </c>
      <c r="P140" s="1654">
        <f t="shared" si="19"/>
        <v>0</v>
      </c>
      <c r="Q140" s="1655">
        <f t="shared" si="14"/>
        <v>18</v>
      </c>
      <c r="R140" s="1656">
        <f t="shared" si="20"/>
        <v>322.92</v>
      </c>
      <c r="S140" s="1657">
        <f t="shared" si="21"/>
        <v>1</v>
      </c>
      <c r="T140" s="1418"/>
      <c r="U140" s="1418"/>
      <c r="V140" s="1418"/>
      <c r="W140" s="1428"/>
    </row>
    <row r="141" spans="1:23" s="1410" customFormat="1">
      <c r="A141" s="1423"/>
      <c r="B141" s="1725" t="s">
        <v>3825</v>
      </c>
      <c r="C141" s="1721" t="s">
        <v>3180</v>
      </c>
      <c r="D141" s="1645"/>
      <c r="E141" s="1646"/>
      <c r="F141" s="1647"/>
      <c r="G141" s="1728"/>
      <c r="H141" s="1648">
        <f t="shared" si="15"/>
        <v>0</v>
      </c>
      <c r="I141" s="1648">
        <f t="shared" si="16"/>
        <v>0</v>
      </c>
      <c r="J141" s="1649"/>
      <c r="K141" s="1650">
        <v>0</v>
      </c>
      <c r="L141" s="1867"/>
      <c r="M141" s="1651">
        <f t="shared" si="17"/>
        <v>0</v>
      </c>
      <c r="N141" s="1652"/>
      <c r="O141" s="1653">
        <f t="shared" si="18"/>
        <v>0</v>
      </c>
      <c r="P141" s="1654" t="str">
        <f t="shared" si="19"/>
        <v/>
      </c>
      <c r="Q141" s="1655"/>
      <c r="R141" s="1656">
        <f t="shared" si="20"/>
        <v>0</v>
      </c>
      <c r="S141" s="1657" t="str">
        <f t="shared" si="21"/>
        <v/>
      </c>
      <c r="T141" s="1418"/>
      <c r="U141" s="1418"/>
      <c r="V141" s="1418"/>
      <c r="W141" s="1428"/>
    </row>
    <row r="142" spans="1:23" s="1410" customFormat="1">
      <c r="B142" s="1632" t="s">
        <v>3826</v>
      </c>
      <c r="C142" s="1644" t="s">
        <v>3183</v>
      </c>
      <c r="D142" s="1645" t="s">
        <v>36</v>
      </c>
      <c r="E142" s="1646">
        <v>600</v>
      </c>
      <c r="F142" s="1647">
        <v>80.06</v>
      </c>
      <c r="G142" s="1728">
        <v>80.349999999999994</v>
      </c>
      <c r="H142" s="1648">
        <f t="shared" si="15"/>
        <v>48036</v>
      </c>
      <c r="I142" s="1648">
        <f t="shared" si="16"/>
        <v>48210</v>
      </c>
      <c r="J142" s="1649">
        <v>56</v>
      </c>
      <c r="K142" s="1650">
        <v>4499.5999999999995</v>
      </c>
      <c r="L142" s="1867"/>
      <c r="M142" s="1651">
        <f t="shared" si="17"/>
        <v>0</v>
      </c>
      <c r="N142" s="1652">
        <f t="shared" si="13"/>
        <v>56</v>
      </c>
      <c r="O142" s="1653">
        <f t="shared" si="18"/>
        <v>4499.5999999999995</v>
      </c>
      <c r="P142" s="1654">
        <f t="shared" si="19"/>
        <v>9.3333333333333324E-2</v>
      </c>
      <c r="Q142" s="1655">
        <f t="shared" si="14"/>
        <v>544</v>
      </c>
      <c r="R142" s="1656">
        <f t="shared" si="20"/>
        <v>43710.400000000001</v>
      </c>
      <c r="S142" s="1657">
        <f t="shared" si="21"/>
        <v>0.90666666666666673</v>
      </c>
      <c r="T142" s="1418"/>
      <c r="U142" s="1418"/>
      <c r="V142" s="1418"/>
      <c r="W142" s="1428"/>
    </row>
    <row r="143" spans="1:23" s="1410" customFormat="1" ht="25.5">
      <c r="A143" s="1409"/>
      <c r="B143" s="1632" t="s">
        <v>3827</v>
      </c>
      <c r="C143" s="1644" t="s">
        <v>3181</v>
      </c>
      <c r="D143" s="1645" t="s">
        <v>37</v>
      </c>
      <c r="E143" s="1646">
        <v>125.91</v>
      </c>
      <c r="F143" s="1647">
        <v>168</v>
      </c>
      <c r="G143" s="1728">
        <v>168</v>
      </c>
      <c r="H143" s="1648">
        <f t="shared" si="15"/>
        <v>21152.880000000001</v>
      </c>
      <c r="I143" s="1648">
        <f t="shared" si="16"/>
        <v>21152.880000000001</v>
      </c>
      <c r="J143" s="1649">
        <v>0</v>
      </c>
      <c r="K143" s="1650">
        <v>0</v>
      </c>
      <c r="L143" s="1867"/>
      <c r="M143" s="1651">
        <f t="shared" si="17"/>
        <v>0</v>
      </c>
      <c r="N143" s="1652">
        <f t="shared" si="13"/>
        <v>0</v>
      </c>
      <c r="O143" s="1653">
        <f t="shared" si="18"/>
        <v>0</v>
      </c>
      <c r="P143" s="1654">
        <f t="shared" si="19"/>
        <v>0</v>
      </c>
      <c r="Q143" s="1655">
        <f t="shared" si="14"/>
        <v>125.91</v>
      </c>
      <c r="R143" s="1656">
        <f t="shared" si="20"/>
        <v>21152.880000000001</v>
      </c>
      <c r="S143" s="1657">
        <f t="shared" si="21"/>
        <v>1</v>
      </c>
      <c r="T143" s="1418"/>
      <c r="U143" s="1418"/>
      <c r="V143" s="1418"/>
      <c r="W143" s="1428"/>
    </row>
    <row r="144" spans="1:23" s="1410" customFormat="1">
      <c r="A144" s="1423"/>
      <c r="B144" s="1725" t="s">
        <v>3828</v>
      </c>
      <c r="C144" s="1721" t="s">
        <v>3199</v>
      </c>
      <c r="D144" s="1645"/>
      <c r="E144" s="1646"/>
      <c r="F144" s="1647"/>
      <c r="G144" s="1728"/>
      <c r="H144" s="1648">
        <f t="shared" si="15"/>
        <v>0</v>
      </c>
      <c r="I144" s="1648">
        <f t="shared" si="16"/>
        <v>0</v>
      </c>
      <c r="J144" s="1649"/>
      <c r="K144" s="1650">
        <v>0</v>
      </c>
      <c r="L144" s="1867"/>
      <c r="M144" s="1651">
        <f t="shared" si="17"/>
        <v>0</v>
      </c>
      <c r="N144" s="1652"/>
      <c r="O144" s="1653">
        <f t="shared" si="18"/>
        <v>0</v>
      </c>
      <c r="P144" s="1654" t="str">
        <f t="shared" si="19"/>
        <v/>
      </c>
      <c r="Q144" s="1655"/>
      <c r="R144" s="1656">
        <f t="shared" si="20"/>
        <v>0</v>
      </c>
      <c r="S144" s="1657" t="str">
        <f t="shared" si="21"/>
        <v/>
      </c>
      <c r="T144" s="1418"/>
      <c r="U144" s="1418"/>
      <c r="V144" s="1418"/>
      <c r="W144" s="1428"/>
    </row>
    <row r="145" spans="1:23" s="1410" customFormat="1">
      <c r="B145" s="1632" t="s">
        <v>3829</v>
      </c>
      <c r="C145" s="1644" t="s">
        <v>3200</v>
      </c>
      <c r="D145" s="1645" t="s">
        <v>40</v>
      </c>
      <c r="E145" s="1646">
        <v>22.56</v>
      </c>
      <c r="F145" s="1647">
        <v>94.22</v>
      </c>
      <c r="G145" s="1728">
        <v>94.94</v>
      </c>
      <c r="H145" s="1648">
        <f t="shared" si="15"/>
        <v>2125.6</v>
      </c>
      <c r="I145" s="1648">
        <f t="shared" si="16"/>
        <v>2141.85</v>
      </c>
      <c r="J145" s="1649">
        <v>0</v>
      </c>
      <c r="K145" s="1650">
        <v>0</v>
      </c>
      <c r="L145" s="1867"/>
      <c r="M145" s="1651">
        <f t="shared" si="17"/>
        <v>0</v>
      </c>
      <c r="N145" s="1652">
        <f t="shared" ref="N145:N208" si="22">J145+L145</f>
        <v>0</v>
      </c>
      <c r="O145" s="1653">
        <f t="shared" si="18"/>
        <v>0</v>
      </c>
      <c r="P145" s="1654">
        <f t="shared" si="19"/>
        <v>0</v>
      </c>
      <c r="Q145" s="1655">
        <f t="shared" ref="Q145:Q206" si="23">E145-N145</f>
        <v>22.56</v>
      </c>
      <c r="R145" s="1656">
        <f t="shared" si="20"/>
        <v>2141.85</v>
      </c>
      <c r="S145" s="1657">
        <f t="shared" si="21"/>
        <v>1</v>
      </c>
      <c r="T145" s="1418"/>
      <c r="U145" s="1418"/>
      <c r="V145" s="1418"/>
      <c r="W145" s="1428"/>
    </row>
    <row r="146" spans="1:23" s="1410" customFormat="1">
      <c r="A146" s="1409"/>
      <c r="B146" s="1632" t="s">
        <v>3830</v>
      </c>
      <c r="C146" s="1644" t="s">
        <v>3201</v>
      </c>
      <c r="D146" s="1645" t="s">
        <v>37</v>
      </c>
      <c r="E146" s="1646">
        <v>21.5</v>
      </c>
      <c r="F146" s="1647">
        <v>13.95</v>
      </c>
      <c r="G146" s="1728">
        <v>14.06</v>
      </c>
      <c r="H146" s="1648">
        <f t="shared" ref="H146:H209" si="24">ROUND(E146*F146,2)</f>
        <v>299.93</v>
      </c>
      <c r="I146" s="1648">
        <f t="shared" ref="I146:I209" si="25">ROUND(E146*G146,2)</f>
        <v>302.29000000000002</v>
      </c>
      <c r="J146" s="1649">
        <v>0</v>
      </c>
      <c r="K146" s="1650">
        <v>0</v>
      </c>
      <c r="L146" s="1867"/>
      <c r="M146" s="1651">
        <f t="shared" ref="M146:M209" si="26">+L146*G146</f>
        <v>0</v>
      </c>
      <c r="N146" s="1652">
        <f t="shared" si="22"/>
        <v>0</v>
      </c>
      <c r="O146" s="1653">
        <f t="shared" ref="O146:O209" si="27">N146*G146</f>
        <v>0</v>
      </c>
      <c r="P146" s="1654">
        <f t="shared" ref="P146:P209" si="28">+IF(D146=0,"",O146/I146)</f>
        <v>0</v>
      </c>
      <c r="Q146" s="1655">
        <f t="shared" si="23"/>
        <v>21.5</v>
      </c>
      <c r="R146" s="1656">
        <f t="shared" ref="R146:R209" si="29">ROUND((Q146*G146),2)</f>
        <v>302.29000000000002</v>
      </c>
      <c r="S146" s="1657">
        <f t="shared" ref="S146:S209" si="30">+IF(I146=0,"",R146/I146)</f>
        <v>1</v>
      </c>
      <c r="T146" s="1418"/>
      <c r="U146" s="1418"/>
      <c r="V146" s="1418"/>
      <c r="W146" s="1428"/>
    </row>
    <row r="147" spans="1:23" s="1410" customFormat="1">
      <c r="A147" s="1423"/>
      <c r="B147" s="1725" t="s">
        <v>3831</v>
      </c>
      <c r="C147" s="1721" t="s">
        <v>3210</v>
      </c>
      <c r="D147" s="1645"/>
      <c r="E147" s="1646"/>
      <c r="F147" s="1647"/>
      <c r="G147" s="1728"/>
      <c r="H147" s="1648">
        <f t="shared" si="24"/>
        <v>0</v>
      </c>
      <c r="I147" s="1648">
        <f t="shared" si="25"/>
        <v>0</v>
      </c>
      <c r="J147" s="1649"/>
      <c r="K147" s="1650">
        <v>0</v>
      </c>
      <c r="L147" s="1867"/>
      <c r="M147" s="1651">
        <f t="shared" si="26"/>
        <v>0</v>
      </c>
      <c r="N147" s="1652"/>
      <c r="O147" s="1653">
        <f t="shared" si="27"/>
        <v>0</v>
      </c>
      <c r="P147" s="1654" t="str">
        <f t="shared" si="28"/>
        <v/>
      </c>
      <c r="Q147" s="1655"/>
      <c r="R147" s="1656">
        <f t="shared" si="29"/>
        <v>0</v>
      </c>
      <c r="S147" s="1657" t="str">
        <f t="shared" si="30"/>
        <v/>
      </c>
      <c r="T147" s="1418"/>
      <c r="U147" s="1418"/>
      <c r="V147" s="1418"/>
      <c r="W147" s="1428"/>
    </row>
    <row r="148" spans="1:23" s="1410" customFormat="1">
      <c r="B148" s="1632" t="s">
        <v>3832</v>
      </c>
      <c r="C148" s="1644" t="s">
        <v>3212</v>
      </c>
      <c r="D148" s="1645" t="s">
        <v>38</v>
      </c>
      <c r="E148" s="1646">
        <v>10.4</v>
      </c>
      <c r="F148" s="1647">
        <v>31.46</v>
      </c>
      <c r="G148" s="1728">
        <v>32.049999999999997</v>
      </c>
      <c r="H148" s="1648">
        <f t="shared" si="24"/>
        <v>327.18</v>
      </c>
      <c r="I148" s="1648">
        <f t="shared" si="25"/>
        <v>333.32</v>
      </c>
      <c r="J148" s="1649">
        <v>0</v>
      </c>
      <c r="K148" s="1650">
        <v>0</v>
      </c>
      <c r="L148" s="1867"/>
      <c r="M148" s="1651">
        <f t="shared" si="26"/>
        <v>0</v>
      </c>
      <c r="N148" s="1652">
        <f t="shared" si="22"/>
        <v>0</v>
      </c>
      <c r="O148" s="1653">
        <f t="shared" si="27"/>
        <v>0</v>
      </c>
      <c r="P148" s="1654">
        <f t="shared" si="28"/>
        <v>0</v>
      </c>
      <c r="Q148" s="1655">
        <f t="shared" si="23"/>
        <v>10.4</v>
      </c>
      <c r="R148" s="1656">
        <f t="shared" si="29"/>
        <v>333.32</v>
      </c>
      <c r="S148" s="1657">
        <f t="shared" si="30"/>
        <v>1</v>
      </c>
      <c r="T148" s="1418"/>
      <c r="U148" s="1418"/>
      <c r="V148" s="1418"/>
      <c r="W148" s="1428"/>
    </row>
    <row r="149" spans="1:23" s="1410" customFormat="1">
      <c r="A149" s="1423"/>
      <c r="B149" s="1725" t="s">
        <v>3833</v>
      </c>
      <c r="C149" s="1721" t="s">
        <v>3063</v>
      </c>
      <c r="D149" s="1645"/>
      <c r="E149" s="1646"/>
      <c r="F149" s="1647"/>
      <c r="G149" s="1728"/>
      <c r="H149" s="1648">
        <f t="shared" si="24"/>
        <v>0</v>
      </c>
      <c r="I149" s="1648">
        <f t="shared" si="25"/>
        <v>0</v>
      </c>
      <c r="J149" s="1649"/>
      <c r="K149" s="1650">
        <v>0</v>
      </c>
      <c r="L149" s="1867"/>
      <c r="M149" s="1651">
        <f t="shared" si="26"/>
        <v>0</v>
      </c>
      <c r="N149" s="1652"/>
      <c r="O149" s="1653">
        <f t="shared" si="27"/>
        <v>0</v>
      </c>
      <c r="P149" s="1654" t="str">
        <f t="shared" si="28"/>
        <v/>
      </c>
      <c r="Q149" s="1655"/>
      <c r="R149" s="1656">
        <f t="shared" si="29"/>
        <v>0</v>
      </c>
      <c r="S149" s="1657" t="str">
        <f t="shared" si="30"/>
        <v/>
      </c>
      <c r="T149" s="1418"/>
      <c r="U149" s="1418"/>
      <c r="V149" s="1418"/>
      <c r="W149" s="1428"/>
    </row>
    <row r="150" spans="1:23" s="1410" customFormat="1">
      <c r="A150" s="1423"/>
      <c r="B150" s="1632" t="s">
        <v>3834</v>
      </c>
      <c r="C150" s="1644" t="s">
        <v>3835</v>
      </c>
      <c r="D150" s="1645" t="s">
        <v>36</v>
      </c>
      <c r="E150" s="1646">
        <v>10</v>
      </c>
      <c r="F150" s="1647">
        <v>1653.28</v>
      </c>
      <c r="G150" s="1728">
        <v>1668.37</v>
      </c>
      <c r="H150" s="1648">
        <f t="shared" si="24"/>
        <v>16532.8</v>
      </c>
      <c r="I150" s="1648">
        <f t="shared" si="25"/>
        <v>16683.7</v>
      </c>
      <c r="J150" s="1649">
        <v>0</v>
      </c>
      <c r="K150" s="1650">
        <v>0</v>
      </c>
      <c r="L150" s="1867"/>
      <c r="M150" s="1651">
        <f t="shared" si="26"/>
        <v>0</v>
      </c>
      <c r="N150" s="1652">
        <f t="shared" si="22"/>
        <v>0</v>
      </c>
      <c r="O150" s="1653">
        <f t="shared" si="27"/>
        <v>0</v>
      </c>
      <c r="P150" s="1654">
        <f t="shared" si="28"/>
        <v>0</v>
      </c>
      <c r="Q150" s="1655">
        <f t="shared" si="23"/>
        <v>10</v>
      </c>
      <c r="R150" s="1656">
        <f t="shared" si="29"/>
        <v>16683.7</v>
      </c>
      <c r="S150" s="1657">
        <f t="shared" si="30"/>
        <v>1</v>
      </c>
      <c r="T150" s="1418"/>
      <c r="U150" s="1418"/>
      <c r="V150" s="1418"/>
      <c r="W150" s="1428"/>
    </row>
    <row r="151" spans="1:23" s="1410" customFormat="1">
      <c r="B151" s="2088" t="s">
        <v>45</v>
      </c>
      <c r="C151" s="2090" t="s">
        <v>1326</v>
      </c>
      <c r="D151" s="1645"/>
      <c r="E151" s="1646"/>
      <c r="F151" s="1647"/>
      <c r="G151" s="1728"/>
      <c r="H151" s="1648">
        <f t="shared" si="24"/>
        <v>0</v>
      </c>
      <c r="I151" s="1648"/>
      <c r="J151" s="1649"/>
      <c r="K151" s="1650"/>
      <c r="L151" s="1867"/>
      <c r="M151" s="1651"/>
      <c r="N151" s="1652"/>
      <c r="O151" s="1653"/>
      <c r="P151" s="1654"/>
      <c r="Q151" s="1655"/>
      <c r="R151" s="1656"/>
      <c r="S151" s="1657"/>
      <c r="T151" s="1418"/>
      <c r="U151" s="1418"/>
      <c r="V151" s="1418"/>
      <c r="W151" s="1428"/>
    </row>
    <row r="152" spans="1:23" s="1410" customFormat="1">
      <c r="A152" s="1409"/>
      <c r="B152" s="1725" t="s">
        <v>47</v>
      </c>
      <c r="C152" s="1721" t="s">
        <v>3226</v>
      </c>
      <c r="D152" s="1645"/>
      <c r="E152" s="1646"/>
      <c r="F152" s="1647"/>
      <c r="G152" s="1728"/>
      <c r="H152" s="1648">
        <f t="shared" si="24"/>
        <v>0</v>
      </c>
      <c r="I152" s="1648"/>
      <c r="J152" s="1649"/>
      <c r="K152" s="1650"/>
      <c r="L152" s="1867"/>
      <c r="M152" s="1651"/>
      <c r="N152" s="1652"/>
      <c r="O152" s="1653"/>
      <c r="P152" s="1654"/>
      <c r="Q152" s="1655"/>
      <c r="R152" s="1656"/>
      <c r="S152" s="1657"/>
      <c r="T152" s="1418"/>
      <c r="U152" s="1418"/>
      <c r="V152" s="1418"/>
      <c r="W152" s="1428"/>
    </row>
    <row r="153" spans="1:23" s="1410" customFormat="1">
      <c r="A153" s="1423"/>
      <c r="B153" s="1725" t="s">
        <v>49</v>
      </c>
      <c r="C153" s="1721" t="s">
        <v>3227</v>
      </c>
      <c r="D153" s="1645"/>
      <c r="E153" s="1646"/>
      <c r="F153" s="1647"/>
      <c r="G153" s="1728"/>
      <c r="H153" s="1648">
        <f t="shared" si="24"/>
        <v>0</v>
      </c>
      <c r="I153" s="1648"/>
      <c r="J153" s="1649"/>
      <c r="K153" s="1650"/>
      <c r="L153" s="1867"/>
      <c r="M153" s="1651"/>
      <c r="N153" s="1652"/>
      <c r="O153" s="1653"/>
      <c r="P153" s="1654"/>
      <c r="Q153" s="1655"/>
      <c r="R153" s="1656"/>
      <c r="S153" s="1657"/>
      <c r="T153" s="1418"/>
      <c r="U153" s="1418"/>
      <c r="V153" s="1418"/>
      <c r="W153" s="1428"/>
    </row>
    <row r="154" spans="1:23" s="1410" customFormat="1" ht="25.5">
      <c r="B154" s="1632" t="s">
        <v>800</v>
      </c>
      <c r="C154" s="1644" t="s">
        <v>3836</v>
      </c>
      <c r="D154" s="1645" t="s">
        <v>36</v>
      </c>
      <c r="E154" s="1646">
        <v>6</v>
      </c>
      <c r="F154" s="1647">
        <v>254.6</v>
      </c>
      <c r="G154" s="1728">
        <v>254.6</v>
      </c>
      <c r="H154" s="1648">
        <f t="shared" si="24"/>
        <v>1527.6</v>
      </c>
      <c r="I154" s="1648">
        <f t="shared" si="25"/>
        <v>1527.6</v>
      </c>
      <c r="J154" s="1649">
        <v>6</v>
      </c>
      <c r="K154" s="1650">
        <v>1527.6</v>
      </c>
      <c r="L154" s="1867"/>
      <c r="M154" s="1651">
        <f t="shared" si="26"/>
        <v>0</v>
      </c>
      <c r="N154" s="1652">
        <f t="shared" si="22"/>
        <v>6</v>
      </c>
      <c r="O154" s="1653">
        <f t="shared" si="27"/>
        <v>1527.6</v>
      </c>
      <c r="P154" s="1654">
        <f t="shared" si="28"/>
        <v>1</v>
      </c>
      <c r="Q154" s="1655">
        <f t="shared" si="23"/>
        <v>0</v>
      </c>
      <c r="R154" s="1656">
        <f t="shared" si="29"/>
        <v>0</v>
      </c>
      <c r="S154" s="1657">
        <f t="shared" si="30"/>
        <v>0</v>
      </c>
      <c r="T154" s="1418"/>
      <c r="U154" s="1418"/>
      <c r="V154" s="1418"/>
      <c r="W154" s="1428"/>
    </row>
    <row r="155" spans="1:23" s="1410" customFormat="1">
      <c r="A155" s="1409"/>
      <c r="B155" s="1632" t="s">
        <v>801</v>
      </c>
      <c r="C155" s="1644" t="s">
        <v>3229</v>
      </c>
      <c r="D155" s="1645" t="s">
        <v>36</v>
      </c>
      <c r="E155" s="1646">
        <v>3</v>
      </c>
      <c r="F155" s="1647">
        <v>198.5</v>
      </c>
      <c r="G155" s="1728">
        <v>198.5</v>
      </c>
      <c r="H155" s="1648">
        <f t="shared" si="24"/>
        <v>595.5</v>
      </c>
      <c r="I155" s="1648">
        <f t="shared" si="25"/>
        <v>595.5</v>
      </c>
      <c r="J155" s="1649">
        <v>0</v>
      </c>
      <c r="K155" s="1650">
        <v>0</v>
      </c>
      <c r="L155" s="1867">
        <v>3</v>
      </c>
      <c r="M155" s="1651">
        <f t="shared" si="26"/>
        <v>595.5</v>
      </c>
      <c r="N155" s="1652">
        <f t="shared" si="22"/>
        <v>3</v>
      </c>
      <c r="O155" s="1653">
        <f t="shared" si="27"/>
        <v>595.5</v>
      </c>
      <c r="P155" s="1654">
        <f t="shared" si="28"/>
        <v>1</v>
      </c>
      <c r="Q155" s="1655">
        <f t="shared" si="23"/>
        <v>0</v>
      </c>
      <c r="R155" s="1656">
        <f t="shared" si="29"/>
        <v>0</v>
      </c>
      <c r="S155" s="1657">
        <f t="shared" si="30"/>
        <v>0</v>
      </c>
      <c r="T155" s="1418"/>
      <c r="U155" s="1418"/>
      <c r="V155" s="1418"/>
      <c r="W155" s="1428"/>
    </row>
    <row r="156" spans="1:23" s="1410" customFormat="1" ht="25.5">
      <c r="A156" s="1423"/>
      <c r="B156" s="1632" t="s">
        <v>3837</v>
      </c>
      <c r="C156" s="1644" t="s">
        <v>3838</v>
      </c>
      <c r="D156" s="1645" t="s">
        <v>36</v>
      </c>
      <c r="E156" s="1646">
        <v>5</v>
      </c>
      <c r="F156" s="1647">
        <v>106.79</v>
      </c>
      <c r="G156" s="1728">
        <v>106.79</v>
      </c>
      <c r="H156" s="1648">
        <f t="shared" si="24"/>
        <v>533.95000000000005</v>
      </c>
      <c r="I156" s="1648">
        <f t="shared" si="25"/>
        <v>533.95000000000005</v>
      </c>
      <c r="J156" s="1649">
        <v>0</v>
      </c>
      <c r="K156" s="1650">
        <v>0</v>
      </c>
      <c r="L156" s="1867"/>
      <c r="M156" s="1651">
        <f t="shared" si="26"/>
        <v>0</v>
      </c>
      <c r="N156" s="1652">
        <f t="shared" si="22"/>
        <v>0</v>
      </c>
      <c r="O156" s="1653">
        <f t="shared" si="27"/>
        <v>0</v>
      </c>
      <c r="P156" s="1654">
        <f t="shared" si="28"/>
        <v>0</v>
      </c>
      <c r="Q156" s="1655">
        <f t="shared" si="23"/>
        <v>5</v>
      </c>
      <c r="R156" s="1656">
        <f t="shared" si="29"/>
        <v>533.95000000000005</v>
      </c>
      <c r="S156" s="1657">
        <f t="shared" si="30"/>
        <v>1</v>
      </c>
      <c r="T156" s="1418"/>
      <c r="U156" s="1418"/>
      <c r="V156" s="1418"/>
      <c r="W156" s="1428"/>
    </row>
    <row r="157" spans="1:23" s="1410" customFormat="1" ht="25.5">
      <c r="B157" s="1632" t="s">
        <v>3839</v>
      </c>
      <c r="C157" s="1644" t="s">
        <v>3231</v>
      </c>
      <c r="D157" s="1645" t="s">
        <v>36</v>
      </c>
      <c r="E157" s="1646">
        <v>1</v>
      </c>
      <c r="F157" s="1647">
        <v>143.5</v>
      </c>
      <c r="G157" s="1728">
        <v>143.5</v>
      </c>
      <c r="H157" s="1648">
        <f t="shared" si="24"/>
        <v>143.5</v>
      </c>
      <c r="I157" s="1648">
        <f t="shared" si="25"/>
        <v>143.5</v>
      </c>
      <c r="J157" s="1649">
        <v>0</v>
      </c>
      <c r="K157" s="1650">
        <v>0</v>
      </c>
      <c r="L157" s="1867"/>
      <c r="M157" s="1651">
        <f t="shared" si="26"/>
        <v>0</v>
      </c>
      <c r="N157" s="1652">
        <f t="shared" si="22"/>
        <v>0</v>
      </c>
      <c r="O157" s="1653">
        <f t="shared" si="27"/>
        <v>0</v>
      </c>
      <c r="P157" s="1654">
        <f t="shared" si="28"/>
        <v>0</v>
      </c>
      <c r="Q157" s="1655">
        <f t="shared" si="23"/>
        <v>1</v>
      </c>
      <c r="R157" s="1656">
        <f t="shared" si="29"/>
        <v>143.5</v>
      </c>
      <c r="S157" s="1657">
        <f t="shared" si="30"/>
        <v>1</v>
      </c>
      <c r="T157" s="1418"/>
      <c r="U157" s="1418"/>
      <c r="V157" s="1418"/>
      <c r="W157" s="1428"/>
    </row>
    <row r="158" spans="1:23" s="1410" customFormat="1" ht="25.5">
      <c r="A158" s="1423"/>
      <c r="B158" s="1632" t="s">
        <v>3840</v>
      </c>
      <c r="C158" s="1644" t="s">
        <v>3841</v>
      </c>
      <c r="D158" s="1645" t="s">
        <v>36</v>
      </c>
      <c r="E158" s="1646">
        <v>3</v>
      </c>
      <c r="F158" s="1647">
        <v>170</v>
      </c>
      <c r="G158" s="1728">
        <v>170</v>
      </c>
      <c r="H158" s="1648">
        <f t="shared" si="24"/>
        <v>510</v>
      </c>
      <c r="I158" s="1648">
        <f t="shared" si="25"/>
        <v>510</v>
      </c>
      <c r="J158" s="1649">
        <v>0</v>
      </c>
      <c r="K158" s="1650">
        <v>0</v>
      </c>
      <c r="L158" s="1867"/>
      <c r="M158" s="1651">
        <f t="shared" si="26"/>
        <v>0</v>
      </c>
      <c r="N158" s="1652">
        <f t="shared" si="22"/>
        <v>0</v>
      </c>
      <c r="O158" s="1653">
        <f t="shared" si="27"/>
        <v>0</v>
      </c>
      <c r="P158" s="1654">
        <f t="shared" si="28"/>
        <v>0</v>
      </c>
      <c r="Q158" s="1655">
        <f t="shared" si="23"/>
        <v>3</v>
      </c>
      <c r="R158" s="1656">
        <f t="shared" si="29"/>
        <v>510</v>
      </c>
      <c r="S158" s="1657">
        <f t="shared" si="30"/>
        <v>1</v>
      </c>
      <c r="T158" s="1418"/>
      <c r="U158" s="1418"/>
      <c r="V158" s="1418"/>
      <c r="W158" s="1428"/>
    </row>
    <row r="159" spans="1:23" s="1410" customFormat="1">
      <c r="A159" s="1423"/>
      <c r="B159" s="1725" t="s">
        <v>50</v>
      </c>
      <c r="C159" s="1721" t="s">
        <v>3235</v>
      </c>
      <c r="D159" s="1645"/>
      <c r="E159" s="1646"/>
      <c r="F159" s="1647"/>
      <c r="G159" s="1728"/>
      <c r="H159" s="1648">
        <f t="shared" si="24"/>
        <v>0</v>
      </c>
      <c r="I159" s="1648">
        <f t="shared" si="25"/>
        <v>0</v>
      </c>
      <c r="J159" s="1649"/>
      <c r="K159" s="1650">
        <v>0</v>
      </c>
      <c r="L159" s="1867"/>
      <c r="M159" s="1651">
        <f t="shared" si="26"/>
        <v>0</v>
      </c>
      <c r="N159" s="1652"/>
      <c r="O159" s="1653">
        <f t="shared" si="27"/>
        <v>0</v>
      </c>
      <c r="P159" s="1654" t="str">
        <f t="shared" si="28"/>
        <v/>
      </c>
      <c r="Q159" s="1655"/>
      <c r="R159" s="1656">
        <f t="shared" si="29"/>
        <v>0</v>
      </c>
      <c r="S159" s="1657" t="str">
        <f t="shared" si="30"/>
        <v/>
      </c>
      <c r="T159" s="1418"/>
      <c r="U159" s="1418"/>
      <c r="V159" s="1418"/>
      <c r="W159" s="1428"/>
    </row>
    <row r="160" spans="1:23" s="1410" customFormat="1">
      <c r="B160" s="1632" t="s">
        <v>802</v>
      </c>
      <c r="C160" s="1644" t="s">
        <v>3236</v>
      </c>
      <c r="D160" s="1645" t="s">
        <v>36</v>
      </c>
      <c r="E160" s="1646">
        <v>6</v>
      </c>
      <c r="F160" s="1647">
        <v>100</v>
      </c>
      <c r="G160" s="1728">
        <v>100</v>
      </c>
      <c r="H160" s="1648">
        <f t="shared" si="24"/>
        <v>600</v>
      </c>
      <c r="I160" s="1648">
        <f t="shared" si="25"/>
        <v>600</v>
      </c>
      <c r="J160" s="1649">
        <v>0</v>
      </c>
      <c r="K160" s="1650">
        <v>0</v>
      </c>
      <c r="L160" s="1867">
        <v>6</v>
      </c>
      <c r="M160" s="1651">
        <f t="shared" si="26"/>
        <v>600</v>
      </c>
      <c r="N160" s="1652">
        <f t="shared" si="22"/>
        <v>6</v>
      </c>
      <c r="O160" s="1653">
        <f t="shared" si="27"/>
        <v>600</v>
      </c>
      <c r="P160" s="1654">
        <f t="shared" si="28"/>
        <v>1</v>
      </c>
      <c r="Q160" s="1655">
        <f t="shared" si="23"/>
        <v>0</v>
      </c>
      <c r="R160" s="1656">
        <f t="shared" si="29"/>
        <v>0</v>
      </c>
      <c r="S160" s="1657">
        <f t="shared" si="30"/>
        <v>0</v>
      </c>
      <c r="T160" s="1418"/>
      <c r="U160" s="1418"/>
      <c r="V160" s="1418"/>
      <c r="W160" s="1428"/>
    </row>
    <row r="161" spans="1:23" s="1410" customFormat="1">
      <c r="A161" s="1409"/>
      <c r="B161" s="1632" t="s">
        <v>803</v>
      </c>
      <c r="C161" s="1644" t="s">
        <v>3842</v>
      </c>
      <c r="D161" s="1645" t="s">
        <v>36</v>
      </c>
      <c r="E161" s="1646">
        <v>1</v>
      </c>
      <c r="F161" s="1647">
        <v>25.7</v>
      </c>
      <c r="G161" s="1728">
        <v>25.7</v>
      </c>
      <c r="H161" s="1648">
        <f t="shared" si="24"/>
        <v>25.7</v>
      </c>
      <c r="I161" s="1648">
        <f t="shared" si="25"/>
        <v>25.7</v>
      </c>
      <c r="J161" s="1649">
        <v>0</v>
      </c>
      <c r="K161" s="1650">
        <v>0</v>
      </c>
      <c r="L161" s="1867"/>
      <c r="M161" s="1651">
        <f t="shared" si="26"/>
        <v>0</v>
      </c>
      <c r="N161" s="1652">
        <f t="shared" si="22"/>
        <v>0</v>
      </c>
      <c r="O161" s="1653">
        <f t="shared" si="27"/>
        <v>0</v>
      </c>
      <c r="P161" s="1654">
        <f t="shared" si="28"/>
        <v>0</v>
      </c>
      <c r="Q161" s="1655">
        <f t="shared" si="23"/>
        <v>1</v>
      </c>
      <c r="R161" s="1656">
        <f t="shared" si="29"/>
        <v>25.7</v>
      </c>
      <c r="S161" s="1657">
        <f t="shared" si="30"/>
        <v>1</v>
      </c>
      <c r="T161" s="1418"/>
      <c r="U161" s="1418"/>
      <c r="V161" s="1418"/>
      <c r="W161" s="1428"/>
    </row>
    <row r="162" spans="1:23" s="1410" customFormat="1" ht="25.5">
      <c r="A162" s="1423"/>
      <c r="B162" s="1632" t="s">
        <v>804</v>
      </c>
      <c r="C162" s="1644" t="s">
        <v>3843</v>
      </c>
      <c r="D162" s="1645" t="s">
        <v>36</v>
      </c>
      <c r="E162" s="1646">
        <v>3</v>
      </c>
      <c r="F162" s="1647">
        <v>208.9</v>
      </c>
      <c r="G162" s="1728">
        <v>208.9</v>
      </c>
      <c r="H162" s="1648">
        <f t="shared" si="24"/>
        <v>626.70000000000005</v>
      </c>
      <c r="I162" s="1648">
        <f t="shared" si="25"/>
        <v>626.70000000000005</v>
      </c>
      <c r="J162" s="1649">
        <v>0</v>
      </c>
      <c r="K162" s="1650">
        <v>0</v>
      </c>
      <c r="L162" s="1867">
        <v>1</v>
      </c>
      <c r="M162" s="1651">
        <f t="shared" si="26"/>
        <v>208.9</v>
      </c>
      <c r="N162" s="1652">
        <f t="shared" si="22"/>
        <v>1</v>
      </c>
      <c r="O162" s="1653">
        <f t="shared" si="27"/>
        <v>208.9</v>
      </c>
      <c r="P162" s="1654">
        <f t="shared" si="28"/>
        <v>0.33333333333333331</v>
      </c>
      <c r="Q162" s="1655">
        <f t="shared" si="23"/>
        <v>2</v>
      </c>
      <c r="R162" s="1656">
        <f t="shared" si="29"/>
        <v>417.8</v>
      </c>
      <c r="S162" s="1657">
        <f t="shared" si="30"/>
        <v>0.66666666666666663</v>
      </c>
      <c r="T162" s="1418"/>
      <c r="U162" s="1418"/>
      <c r="V162" s="1418"/>
      <c r="W162" s="1428"/>
    </row>
    <row r="163" spans="1:23" s="1410" customFormat="1">
      <c r="B163" s="1632" t="s">
        <v>805</v>
      </c>
      <c r="C163" s="1644" t="s">
        <v>3244</v>
      </c>
      <c r="D163" s="1645" t="s">
        <v>36</v>
      </c>
      <c r="E163" s="1646">
        <v>4</v>
      </c>
      <c r="F163" s="1647">
        <v>60.39</v>
      </c>
      <c r="G163" s="1728">
        <v>60.39</v>
      </c>
      <c r="H163" s="1648">
        <f t="shared" si="24"/>
        <v>241.56</v>
      </c>
      <c r="I163" s="1648">
        <f t="shared" si="25"/>
        <v>241.56</v>
      </c>
      <c r="J163" s="1649">
        <v>0</v>
      </c>
      <c r="K163" s="1650">
        <v>0</v>
      </c>
      <c r="L163" s="1867">
        <v>4</v>
      </c>
      <c r="M163" s="1651">
        <f t="shared" si="26"/>
        <v>241.56</v>
      </c>
      <c r="N163" s="1652">
        <f t="shared" si="22"/>
        <v>4</v>
      </c>
      <c r="O163" s="1653">
        <f t="shared" si="27"/>
        <v>241.56</v>
      </c>
      <c r="P163" s="1654">
        <f t="shared" si="28"/>
        <v>1</v>
      </c>
      <c r="Q163" s="1655">
        <f t="shared" si="23"/>
        <v>0</v>
      </c>
      <c r="R163" s="1656">
        <f t="shared" si="29"/>
        <v>0</v>
      </c>
      <c r="S163" s="1657">
        <f t="shared" si="30"/>
        <v>0</v>
      </c>
      <c r="T163" s="1418"/>
      <c r="U163" s="1418"/>
      <c r="V163" s="1418"/>
      <c r="W163" s="1428"/>
    </row>
    <row r="164" spans="1:23" s="1410" customFormat="1" ht="25.5">
      <c r="A164" s="1409"/>
      <c r="B164" s="1632" t="s">
        <v>806</v>
      </c>
      <c r="C164" s="1644" t="s">
        <v>3245</v>
      </c>
      <c r="D164" s="1645" t="s">
        <v>36</v>
      </c>
      <c r="E164" s="1646">
        <v>6</v>
      </c>
      <c r="F164" s="1647">
        <v>65.89</v>
      </c>
      <c r="G164" s="1728">
        <v>65.89</v>
      </c>
      <c r="H164" s="1648">
        <f t="shared" si="24"/>
        <v>395.34</v>
      </c>
      <c r="I164" s="1648">
        <f t="shared" si="25"/>
        <v>395.34</v>
      </c>
      <c r="J164" s="1649">
        <v>0</v>
      </c>
      <c r="K164" s="1650">
        <v>0</v>
      </c>
      <c r="L164" s="1867">
        <v>6</v>
      </c>
      <c r="M164" s="1651">
        <f t="shared" si="26"/>
        <v>395.34000000000003</v>
      </c>
      <c r="N164" s="1652">
        <f t="shared" si="22"/>
        <v>6</v>
      </c>
      <c r="O164" s="1653">
        <f t="shared" si="27"/>
        <v>395.34000000000003</v>
      </c>
      <c r="P164" s="1654">
        <f t="shared" si="28"/>
        <v>1.0000000000000002</v>
      </c>
      <c r="Q164" s="1655">
        <f t="shared" si="23"/>
        <v>0</v>
      </c>
      <c r="R164" s="1656">
        <f t="shared" si="29"/>
        <v>0</v>
      </c>
      <c r="S164" s="1657">
        <f t="shared" si="30"/>
        <v>0</v>
      </c>
      <c r="T164" s="1418"/>
      <c r="U164" s="1418"/>
      <c r="V164" s="1418"/>
      <c r="W164" s="1428"/>
    </row>
    <row r="165" spans="1:23" s="1410" customFormat="1" ht="25.5">
      <c r="A165" s="1423"/>
      <c r="B165" s="1632" t="s">
        <v>807</v>
      </c>
      <c r="C165" s="1644" t="s">
        <v>3246</v>
      </c>
      <c r="D165" s="1645" t="s">
        <v>36</v>
      </c>
      <c r="E165" s="1647">
        <v>6</v>
      </c>
      <c r="F165" s="1647">
        <v>163.9</v>
      </c>
      <c r="G165" s="1728">
        <v>163.9</v>
      </c>
      <c r="H165" s="1648">
        <f t="shared" si="24"/>
        <v>983.4</v>
      </c>
      <c r="I165" s="1648">
        <f t="shared" si="25"/>
        <v>983.4</v>
      </c>
      <c r="J165" s="1649">
        <v>0</v>
      </c>
      <c r="K165" s="1650">
        <v>0</v>
      </c>
      <c r="L165" s="1867">
        <v>6</v>
      </c>
      <c r="M165" s="1651">
        <f t="shared" si="26"/>
        <v>983.40000000000009</v>
      </c>
      <c r="N165" s="1652">
        <f t="shared" si="22"/>
        <v>6</v>
      </c>
      <c r="O165" s="1653">
        <f t="shared" si="27"/>
        <v>983.40000000000009</v>
      </c>
      <c r="P165" s="1654">
        <f t="shared" si="28"/>
        <v>1.0000000000000002</v>
      </c>
      <c r="Q165" s="1655">
        <f t="shared" si="23"/>
        <v>0</v>
      </c>
      <c r="R165" s="1656">
        <f t="shared" si="29"/>
        <v>0</v>
      </c>
      <c r="S165" s="1657">
        <f t="shared" si="30"/>
        <v>0</v>
      </c>
      <c r="T165" s="1418"/>
      <c r="U165" s="1418"/>
      <c r="V165" s="1418"/>
      <c r="W165" s="1428"/>
    </row>
    <row r="166" spans="1:23" s="1410" customFormat="1">
      <c r="B166" s="1632" t="s">
        <v>808</v>
      </c>
      <c r="C166" s="1644" t="s">
        <v>3844</v>
      </c>
      <c r="D166" s="1645" t="s">
        <v>36</v>
      </c>
      <c r="E166" s="1646">
        <v>4</v>
      </c>
      <c r="F166" s="1647">
        <v>66.55</v>
      </c>
      <c r="G166" s="1728">
        <v>66.55</v>
      </c>
      <c r="H166" s="1648">
        <f t="shared" si="24"/>
        <v>266.2</v>
      </c>
      <c r="I166" s="1648">
        <f t="shared" si="25"/>
        <v>266.2</v>
      </c>
      <c r="J166" s="1649">
        <v>0</v>
      </c>
      <c r="K166" s="1650">
        <v>0</v>
      </c>
      <c r="L166" s="1867">
        <v>4</v>
      </c>
      <c r="M166" s="1651">
        <f t="shared" si="26"/>
        <v>266.2</v>
      </c>
      <c r="N166" s="1652">
        <f t="shared" si="22"/>
        <v>4</v>
      </c>
      <c r="O166" s="1653">
        <f t="shared" si="27"/>
        <v>266.2</v>
      </c>
      <c r="P166" s="1654">
        <f t="shared" si="28"/>
        <v>1</v>
      </c>
      <c r="Q166" s="1655">
        <f t="shared" si="23"/>
        <v>0</v>
      </c>
      <c r="R166" s="1656">
        <f t="shared" si="29"/>
        <v>0</v>
      </c>
      <c r="S166" s="1657">
        <f t="shared" si="30"/>
        <v>0</v>
      </c>
      <c r="T166" s="1418"/>
      <c r="U166" s="1418"/>
      <c r="V166" s="1418"/>
      <c r="W166" s="1428"/>
    </row>
    <row r="167" spans="1:23" s="1410" customFormat="1" ht="25.5">
      <c r="A167" s="1423"/>
      <c r="B167" s="1632" t="s">
        <v>3845</v>
      </c>
      <c r="C167" s="1644" t="s">
        <v>3248</v>
      </c>
      <c r="D167" s="1645" t="s">
        <v>36</v>
      </c>
      <c r="E167" s="1646">
        <v>4</v>
      </c>
      <c r="F167" s="1647">
        <v>825.99</v>
      </c>
      <c r="G167" s="1728">
        <v>825.99</v>
      </c>
      <c r="H167" s="1648">
        <f t="shared" si="24"/>
        <v>3303.96</v>
      </c>
      <c r="I167" s="1648">
        <f t="shared" si="25"/>
        <v>3303.96</v>
      </c>
      <c r="J167" s="1649">
        <v>0</v>
      </c>
      <c r="K167" s="1650">
        <v>0</v>
      </c>
      <c r="L167" s="1867">
        <v>4</v>
      </c>
      <c r="M167" s="1651">
        <f t="shared" si="26"/>
        <v>3303.96</v>
      </c>
      <c r="N167" s="1652">
        <f t="shared" si="22"/>
        <v>4</v>
      </c>
      <c r="O167" s="1653">
        <f t="shared" si="27"/>
        <v>3303.96</v>
      </c>
      <c r="P167" s="1654">
        <f t="shared" si="28"/>
        <v>1</v>
      </c>
      <c r="Q167" s="1655">
        <f t="shared" si="23"/>
        <v>0</v>
      </c>
      <c r="R167" s="1656">
        <f t="shared" si="29"/>
        <v>0</v>
      </c>
      <c r="S167" s="1657">
        <f t="shared" si="30"/>
        <v>0</v>
      </c>
      <c r="T167" s="1418"/>
      <c r="U167" s="1418"/>
      <c r="V167" s="1418"/>
      <c r="W167" s="1428"/>
    </row>
    <row r="168" spans="1:23" s="1410" customFormat="1">
      <c r="A168" s="1423"/>
      <c r="B168" s="1632" t="s">
        <v>3846</v>
      </c>
      <c r="C168" s="1644" t="s">
        <v>3249</v>
      </c>
      <c r="D168" s="1645" t="s">
        <v>36</v>
      </c>
      <c r="E168" s="1646">
        <v>6</v>
      </c>
      <c r="F168" s="1647">
        <v>89.94</v>
      </c>
      <c r="G168" s="1728">
        <v>89.94</v>
      </c>
      <c r="H168" s="1648">
        <f t="shared" si="24"/>
        <v>539.64</v>
      </c>
      <c r="I168" s="1648">
        <f t="shared" si="25"/>
        <v>539.64</v>
      </c>
      <c r="J168" s="1649">
        <v>0</v>
      </c>
      <c r="K168" s="1650">
        <v>0</v>
      </c>
      <c r="L168" s="1867"/>
      <c r="M168" s="1651">
        <f t="shared" si="26"/>
        <v>0</v>
      </c>
      <c r="N168" s="1652">
        <f t="shared" si="22"/>
        <v>0</v>
      </c>
      <c r="O168" s="1653">
        <f t="shared" si="27"/>
        <v>0</v>
      </c>
      <c r="P168" s="1654">
        <f t="shared" si="28"/>
        <v>0</v>
      </c>
      <c r="Q168" s="1655">
        <f t="shared" si="23"/>
        <v>6</v>
      </c>
      <c r="R168" s="1656">
        <f t="shared" si="29"/>
        <v>539.64</v>
      </c>
      <c r="S168" s="1657">
        <f t="shared" si="30"/>
        <v>1</v>
      </c>
      <c r="T168" s="1418"/>
      <c r="U168" s="1418"/>
      <c r="V168" s="1418"/>
      <c r="W168" s="1428"/>
    </row>
    <row r="169" spans="1:23" s="1410" customFormat="1">
      <c r="B169" s="1632" t="s">
        <v>3847</v>
      </c>
      <c r="C169" s="1644" t="s">
        <v>3251</v>
      </c>
      <c r="D169" s="1645" t="s">
        <v>36</v>
      </c>
      <c r="E169" s="1646">
        <v>2</v>
      </c>
      <c r="F169" s="1647">
        <v>133.6</v>
      </c>
      <c r="G169" s="1728">
        <v>133.6</v>
      </c>
      <c r="H169" s="1648">
        <f t="shared" si="24"/>
        <v>267.2</v>
      </c>
      <c r="I169" s="1648">
        <f t="shared" si="25"/>
        <v>267.2</v>
      </c>
      <c r="J169" s="1649">
        <v>0</v>
      </c>
      <c r="K169" s="1650">
        <v>0</v>
      </c>
      <c r="L169" s="1867">
        <v>2</v>
      </c>
      <c r="M169" s="1651">
        <f t="shared" si="26"/>
        <v>267.2</v>
      </c>
      <c r="N169" s="1652">
        <f t="shared" si="22"/>
        <v>2</v>
      </c>
      <c r="O169" s="1653">
        <f t="shared" si="27"/>
        <v>267.2</v>
      </c>
      <c r="P169" s="1654">
        <f t="shared" si="28"/>
        <v>1</v>
      </c>
      <c r="Q169" s="1655">
        <f t="shared" si="23"/>
        <v>0</v>
      </c>
      <c r="R169" s="1656">
        <f t="shared" si="29"/>
        <v>0</v>
      </c>
      <c r="S169" s="1657">
        <f t="shared" si="30"/>
        <v>0</v>
      </c>
      <c r="T169" s="1418"/>
      <c r="U169" s="1418"/>
      <c r="V169" s="1418"/>
      <c r="W169" s="1428"/>
    </row>
    <row r="170" spans="1:23" s="1410" customFormat="1">
      <c r="A170" s="1409"/>
      <c r="B170" s="1632" t="s">
        <v>3848</v>
      </c>
      <c r="C170" s="1644" t="s">
        <v>3252</v>
      </c>
      <c r="D170" s="1645" t="s">
        <v>36</v>
      </c>
      <c r="E170" s="1646">
        <v>6</v>
      </c>
      <c r="F170" s="1647">
        <v>17.489999999999998</v>
      </c>
      <c r="G170" s="1728">
        <v>17.489999999999998</v>
      </c>
      <c r="H170" s="1648">
        <f t="shared" si="24"/>
        <v>104.94</v>
      </c>
      <c r="I170" s="1648">
        <f t="shared" si="25"/>
        <v>104.94</v>
      </c>
      <c r="J170" s="1649">
        <v>0</v>
      </c>
      <c r="K170" s="1650">
        <v>0</v>
      </c>
      <c r="L170" s="1867">
        <v>6</v>
      </c>
      <c r="M170" s="1651">
        <f t="shared" si="26"/>
        <v>104.94</v>
      </c>
      <c r="N170" s="1652">
        <f t="shared" si="22"/>
        <v>6</v>
      </c>
      <c r="O170" s="1653">
        <f t="shared" si="27"/>
        <v>104.94</v>
      </c>
      <c r="P170" s="1654">
        <f t="shared" si="28"/>
        <v>1</v>
      </c>
      <c r="Q170" s="1655">
        <f t="shared" si="23"/>
        <v>0</v>
      </c>
      <c r="R170" s="1656">
        <f t="shared" si="29"/>
        <v>0</v>
      </c>
      <c r="S170" s="1657">
        <f t="shared" si="30"/>
        <v>0</v>
      </c>
      <c r="T170" s="1418"/>
      <c r="U170" s="1418"/>
      <c r="V170" s="1418"/>
      <c r="W170" s="1428"/>
    </row>
    <row r="171" spans="1:23" s="1410" customFormat="1">
      <c r="A171" s="1423"/>
      <c r="B171" s="1632" t="s">
        <v>3849</v>
      </c>
      <c r="C171" s="1644" t="s">
        <v>3253</v>
      </c>
      <c r="D171" s="1645" t="s">
        <v>36</v>
      </c>
      <c r="E171" s="1646">
        <v>1</v>
      </c>
      <c r="F171" s="1647">
        <v>142.76</v>
      </c>
      <c r="G171" s="1728">
        <v>142.76</v>
      </c>
      <c r="H171" s="1648">
        <f t="shared" si="24"/>
        <v>142.76</v>
      </c>
      <c r="I171" s="1648">
        <f t="shared" si="25"/>
        <v>142.76</v>
      </c>
      <c r="J171" s="1649">
        <v>0</v>
      </c>
      <c r="K171" s="1650">
        <v>0</v>
      </c>
      <c r="L171" s="1867">
        <v>1</v>
      </c>
      <c r="M171" s="1651">
        <f t="shared" si="26"/>
        <v>142.76</v>
      </c>
      <c r="N171" s="1652">
        <f t="shared" si="22"/>
        <v>1</v>
      </c>
      <c r="O171" s="1653">
        <f t="shared" si="27"/>
        <v>142.76</v>
      </c>
      <c r="P171" s="1654">
        <f t="shared" si="28"/>
        <v>1</v>
      </c>
      <c r="Q171" s="1655">
        <f t="shared" si="23"/>
        <v>0</v>
      </c>
      <c r="R171" s="1656">
        <f t="shared" si="29"/>
        <v>0</v>
      </c>
      <c r="S171" s="1657">
        <f t="shared" si="30"/>
        <v>0</v>
      </c>
      <c r="T171" s="1418"/>
      <c r="U171" s="1418"/>
      <c r="V171" s="1418"/>
      <c r="W171" s="1428"/>
    </row>
    <row r="172" spans="1:23" s="1410" customFormat="1">
      <c r="B172" s="1725" t="s">
        <v>51</v>
      </c>
      <c r="C172" s="1721" t="s">
        <v>3257</v>
      </c>
      <c r="D172" s="1645"/>
      <c r="E172" s="1646"/>
      <c r="F172" s="1647"/>
      <c r="G172" s="1728"/>
      <c r="H172" s="1648">
        <f t="shared" si="24"/>
        <v>0</v>
      </c>
      <c r="I172" s="1648">
        <f t="shared" si="25"/>
        <v>0</v>
      </c>
      <c r="J172" s="1649"/>
      <c r="K172" s="1650">
        <v>0</v>
      </c>
      <c r="L172" s="1867"/>
      <c r="M172" s="1651">
        <f t="shared" si="26"/>
        <v>0</v>
      </c>
      <c r="N172" s="1652"/>
      <c r="O172" s="1653">
        <f t="shared" si="27"/>
        <v>0</v>
      </c>
      <c r="P172" s="1654" t="str">
        <f t="shared" si="28"/>
        <v/>
      </c>
      <c r="Q172" s="1655"/>
      <c r="R172" s="1656">
        <f t="shared" si="29"/>
        <v>0</v>
      </c>
      <c r="S172" s="1657" t="str">
        <f t="shared" si="30"/>
        <v/>
      </c>
      <c r="T172" s="1418"/>
      <c r="U172" s="1418"/>
      <c r="V172" s="1418"/>
      <c r="W172" s="1428"/>
    </row>
    <row r="173" spans="1:23" s="1410" customFormat="1">
      <c r="A173" s="1409"/>
      <c r="B173" s="1632" t="s">
        <v>809</v>
      </c>
      <c r="C173" s="1644" t="s">
        <v>3258</v>
      </c>
      <c r="D173" s="1645" t="s">
        <v>36</v>
      </c>
      <c r="E173" s="1646">
        <v>19</v>
      </c>
      <c r="F173" s="1647">
        <v>134.51</v>
      </c>
      <c r="G173" s="1728">
        <v>140.08000000000001</v>
      </c>
      <c r="H173" s="1648">
        <f t="shared" si="24"/>
        <v>2555.69</v>
      </c>
      <c r="I173" s="1648">
        <f t="shared" si="25"/>
        <v>2661.52</v>
      </c>
      <c r="J173" s="1649">
        <v>0</v>
      </c>
      <c r="K173" s="1650">
        <v>0</v>
      </c>
      <c r="L173" s="1867"/>
      <c r="M173" s="1651">
        <f t="shared" si="26"/>
        <v>0</v>
      </c>
      <c r="N173" s="1652">
        <f t="shared" si="22"/>
        <v>0</v>
      </c>
      <c r="O173" s="1653">
        <f t="shared" si="27"/>
        <v>0</v>
      </c>
      <c r="P173" s="1654">
        <f t="shared" si="28"/>
        <v>0</v>
      </c>
      <c r="Q173" s="1655">
        <f t="shared" si="23"/>
        <v>19</v>
      </c>
      <c r="R173" s="1656">
        <f t="shared" si="29"/>
        <v>2661.52</v>
      </c>
      <c r="S173" s="1657">
        <f t="shared" si="30"/>
        <v>1</v>
      </c>
      <c r="T173" s="1418"/>
      <c r="U173" s="1418"/>
      <c r="V173" s="1418"/>
      <c r="W173" s="1428"/>
    </row>
    <row r="174" spans="1:23" s="1410" customFormat="1">
      <c r="A174" s="1423"/>
      <c r="B174" s="1725" t="s">
        <v>277</v>
      </c>
      <c r="C174" s="1721" t="s">
        <v>3259</v>
      </c>
      <c r="D174" s="1645"/>
      <c r="E174" s="1646"/>
      <c r="F174" s="1647"/>
      <c r="G174" s="1728"/>
      <c r="H174" s="1648">
        <f t="shared" si="24"/>
        <v>0</v>
      </c>
      <c r="I174" s="1648">
        <f t="shared" si="25"/>
        <v>0</v>
      </c>
      <c r="J174" s="1649"/>
      <c r="K174" s="1650">
        <v>0</v>
      </c>
      <c r="L174" s="1867"/>
      <c r="M174" s="1651">
        <f t="shared" si="26"/>
        <v>0</v>
      </c>
      <c r="N174" s="1652"/>
      <c r="O174" s="1653">
        <f t="shared" si="27"/>
        <v>0</v>
      </c>
      <c r="P174" s="1654" t="str">
        <f t="shared" si="28"/>
        <v/>
      </c>
      <c r="Q174" s="1655"/>
      <c r="R174" s="1656">
        <f t="shared" si="29"/>
        <v>0</v>
      </c>
      <c r="S174" s="1657" t="str">
        <f t="shared" si="30"/>
        <v/>
      </c>
      <c r="T174" s="1418"/>
      <c r="U174" s="1418"/>
      <c r="V174" s="1418"/>
      <c r="W174" s="1428"/>
    </row>
    <row r="175" spans="1:23" s="1410" customFormat="1">
      <c r="B175" s="1632" t="s">
        <v>810</v>
      </c>
      <c r="C175" s="1644" t="s">
        <v>3260</v>
      </c>
      <c r="D175" s="1645" t="s">
        <v>36</v>
      </c>
      <c r="E175" s="1646">
        <v>16</v>
      </c>
      <c r="F175" s="1647">
        <v>37.369999999999997</v>
      </c>
      <c r="G175" s="1728">
        <v>38.909999999999997</v>
      </c>
      <c r="H175" s="1648">
        <f t="shared" si="24"/>
        <v>597.91999999999996</v>
      </c>
      <c r="I175" s="1648">
        <f t="shared" si="25"/>
        <v>622.55999999999995</v>
      </c>
      <c r="J175" s="1649">
        <v>0</v>
      </c>
      <c r="K175" s="1650">
        <v>0</v>
      </c>
      <c r="L175" s="1867"/>
      <c r="M175" s="1651">
        <f t="shared" si="26"/>
        <v>0</v>
      </c>
      <c r="N175" s="1652">
        <f t="shared" si="22"/>
        <v>0</v>
      </c>
      <c r="O175" s="1653">
        <f t="shared" si="27"/>
        <v>0</v>
      </c>
      <c r="P175" s="1654">
        <f t="shared" si="28"/>
        <v>0</v>
      </c>
      <c r="Q175" s="1655">
        <f t="shared" si="23"/>
        <v>16</v>
      </c>
      <c r="R175" s="1656">
        <f t="shared" si="29"/>
        <v>622.55999999999995</v>
      </c>
      <c r="S175" s="1657">
        <f t="shared" si="30"/>
        <v>1</v>
      </c>
      <c r="T175" s="1418"/>
      <c r="U175" s="1418"/>
      <c r="V175" s="1418"/>
      <c r="W175" s="1428"/>
    </row>
    <row r="176" spans="1:23" s="1410" customFormat="1">
      <c r="A176" s="1423"/>
      <c r="B176" s="2211" t="s">
        <v>474</v>
      </c>
      <c r="C176" s="2212" t="s">
        <v>3261</v>
      </c>
      <c r="D176" s="1645"/>
      <c r="E176" s="1646"/>
      <c r="F176" s="1647"/>
      <c r="G176" s="1728"/>
      <c r="H176" s="1648">
        <f t="shared" si="24"/>
        <v>0</v>
      </c>
      <c r="I176" s="1648">
        <f t="shared" si="25"/>
        <v>0</v>
      </c>
      <c r="J176" s="1649"/>
      <c r="K176" s="1650">
        <v>0</v>
      </c>
      <c r="L176" s="1867"/>
      <c r="M176" s="1651">
        <f t="shared" si="26"/>
        <v>0</v>
      </c>
      <c r="N176" s="1652"/>
      <c r="O176" s="1653">
        <f t="shared" si="27"/>
        <v>0</v>
      </c>
      <c r="P176" s="1654" t="str">
        <f t="shared" si="28"/>
        <v/>
      </c>
      <c r="Q176" s="1655"/>
      <c r="R176" s="1656">
        <f t="shared" si="29"/>
        <v>0</v>
      </c>
      <c r="S176" s="1657" t="str">
        <f t="shared" si="30"/>
        <v/>
      </c>
      <c r="T176" s="1418"/>
      <c r="U176" s="1418"/>
      <c r="V176" s="1418"/>
      <c r="W176" s="1428"/>
    </row>
    <row r="177" spans="1:23" s="1410" customFormat="1">
      <c r="A177" s="1423"/>
      <c r="B177" s="1725" t="s">
        <v>475</v>
      </c>
      <c r="C177" s="1721" t="s">
        <v>3262</v>
      </c>
      <c r="D177" s="1645"/>
      <c r="E177" s="1646"/>
      <c r="F177" s="1647"/>
      <c r="G177" s="1728"/>
      <c r="H177" s="1648">
        <f t="shared" si="24"/>
        <v>0</v>
      </c>
      <c r="I177" s="1648">
        <f t="shared" si="25"/>
        <v>0</v>
      </c>
      <c r="J177" s="1649"/>
      <c r="K177" s="1650">
        <v>0</v>
      </c>
      <c r="L177" s="1867"/>
      <c r="M177" s="1651">
        <f t="shared" si="26"/>
        <v>0</v>
      </c>
      <c r="N177" s="1652"/>
      <c r="O177" s="1653">
        <f t="shared" si="27"/>
        <v>0</v>
      </c>
      <c r="P177" s="1654" t="str">
        <f t="shared" si="28"/>
        <v/>
      </c>
      <c r="Q177" s="1655"/>
      <c r="R177" s="1656">
        <f t="shared" si="29"/>
        <v>0</v>
      </c>
      <c r="S177" s="1657" t="str">
        <f t="shared" si="30"/>
        <v/>
      </c>
      <c r="T177" s="1418"/>
      <c r="U177" s="1418"/>
      <c r="V177" s="1418"/>
      <c r="W177" s="1428"/>
    </row>
    <row r="178" spans="1:23" s="1410" customFormat="1" ht="13.9" customHeight="1">
      <c r="B178" s="1632" t="s">
        <v>841</v>
      </c>
      <c r="C178" s="1644" t="s">
        <v>3850</v>
      </c>
      <c r="D178" s="1645" t="s">
        <v>1451</v>
      </c>
      <c r="E178" s="1646">
        <v>27</v>
      </c>
      <c r="F178" s="1647">
        <v>92.74</v>
      </c>
      <c r="G178" s="1728">
        <v>96.22</v>
      </c>
      <c r="H178" s="1648">
        <f t="shared" si="24"/>
        <v>2503.98</v>
      </c>
      <c r="I178" s="1648">
        <f t="shared" si="25"/>
        <v>2597.94</v>
      </c>
      <c r="J178" s="1649">
        <v>27</v>
      </c>
      <c r="K178" s="1650">
        <v>2597.94</v>
      </c>
      <c r="L178" s="1867"/>
      <c r="M178" s="1651">
        <f t="shared" si="26"/>
        <v>0</v>
      </c>
      <c r="N178" s="1652">
        <f t="shared" si="22"/>
        <v>27</v>
      </c>
      <c r="O178" s="1653">
        <f t="shared" si="27"/>
        <v>2597.94</v>
      </c>
      <c r="P178" s="1654">
        <f t="shared" si="28"/>
        <v>1</v>
      </c>
      <c r="Q178" s="1655">
        <f t="shared" si="23"/>
        <v>0</v>
      </c>
      <c r="R178" s="1656">
        <f t="shared" si="29"/>
        <v>0</v>
      </c>
      <c r="S178" s="1657">
        <f t="shared" si="30"/>
        <v>0</v>
      </c>
      <c r="T178" s="1418"/>
      <c r="U178" s="1418"/>
      <c r="V178" s="1418"/>
      <c r="W178" s="1428"/>
    </row>
    <row r="179" spans="1:23" s="1410" customFormat="1">
      <c r="A179" s="1409"/>
      <c r="B179" s="1632" t="s">
        <v>842</v>
      </c>
      <c r="C179" s="1644" t="s">
        <v>3851</v>
      </c>
      <c r="D179" s="1645" t="s">
        <v>1451</v>
      </c>
      <c r="E179" s="1646">
        <v>2</v>
      </c>
      <c r="F179" s="1647">
        <v>96.92</v>
      </c>
      <c r="G179" s="1728">
        <v>100.4</v>
      </c>
      <c r="H179" s="1648">
        <f t="shared" si="24"/>
        <v>193.84</v>
      </c>
      <c r="I179" s="1648">
        <f t="shared" si="25"/>
        <v>200.8</v>
      </c>
      <c r="J179" s="1649">
        <v>2</v>
      </c>
      <c r="K179" s="1650">
        <v>200.8</v>
      </c>
      <c r="L179" s="1867"/>
      <c r="M179" s="1651">
        <f t="shared" si="26"/>
        <v>0</v>
      </c>
      <c r="N179" s="1652">
        <f t="shared" si="22"/>
        <v>2</v>
      </c>
      <c r="O179" s="1653">
        <f t="shared" si="27"/>
        <v>200.8</v>
      </c>
      <c r="P179" s="1654">
        <f t="shared" si="28"/>
        <v>1</v>
      </c>
      <c r="Q179" s="1655">
        <f t="shared" si="23"/>
        <v>0</v>
      </c>
      <c r="R179" s="1656">
        <f t="shared" si="29"/>
        <v>0</v>
      </c>
      <c r="S179" s="1657">
        <f t="shared" si="30"/>
        <v>0</v>
      </c>
      <c r="T179" s="1418"/>
      <c r="U179" s="1418"/>
      <c r="V179" s="1418"/>
      <c r="W179" s="1428"/>
    </row>
    <row r="180" spans="1:23" s="1410" customFormat="1">
      <c r="A180" s="1423"/>
      <c r="B180" s="1725" t="s">
        <v>476</v>
      </c>
      <c r="C180" s="1721" t="s">
        <v>3852</v>
      </c>
      <c r="D180" s="1645"/>
      <c r="E180" s="1646"/>
      <c r="F180" s="1647"/>
      <c r="G180" s="1728"/>
      <c r="H180" s="1648">
        <f t="shared" si="24"/>
        <v>0</v>
      </c>
      <c r="I180" s="1648">
        <f t="shared" si="25"/>
        <v>0</v>
      </c>
      <c r="J180" s="1649"/>
      <c r="K180" s="1650">
        <v>0</v>
      </c>
      <c r="L180" s="1867"/>
      <c r="M180" s="1651">
        <f t="shared" si="26"/>
        <v>0</v>
      </c>
      <c r="N180" s="1652"/>
      <c r="O180" s="1653">
        <f t="shared" si="27"/>
        <v>0</v>
      </c>
      <c r="P180" s="1654" t="str">
        <f t="shared" si="28"/>
        <v/>
      </c>
      <c r="Q180" s="1655"/>
      <c r="R180" s="1656">
        <f t="shared" si="29"/>
        <v>0</v>
      </c>
      <c r="S180" s="1657" t="str">
        <f t="shared" si="30"/>
        <v/>
      </c>
      <c r="T180" s="1418"/>
      <c r="U180" s="1418"/>
      <c r="V180" s="1418"/>
      <c r="W180" s="1428"/>
    </row>
    <row r="181" spans="1:23" s="1410" customFormat="1">
      <c r="B181" s="1632" t="s">
        <v>843</v>
      </c>
      <c r="C181" s="1644" t="s">
        <v>3266</v>
      </c>
      <c r="D181" s="1645" t="s">
        <v>38</v>
      </c>
      <c r="E181" s="1646">
        <v>40</v>
      </c>
      <c r="F181" s="1647">
        <v>18.89</v>
      </c>
      <c r="G181" s="1728">
        <v>19.329999999999998</v>
      </c>
      <c r="H181" s="1648">
        <f t="shared" si="24"/>
        <v>755.6</v>
      </c>
      <c r="I181" s="1648">
        <f t="shared" si="25"/>
        <v>773.2</v>
      </c>
      <c r="J181" s="1649">
        <v>40</v>
      </c>
      <c r="K181" s="1650">
        <v>773.19999999999993</v>
      </c>
      <c r="L181" s="1867"/>
      <c r="M181" s="1651">
        <f t="shared" si="26"/>
        <v>0</v>
      </c>
      <c r="N181" s="1652">
        <f t="shared" si="22"/>
        <v>40</v>
      </c>
      <c r="O181" s="1653">
        <f t="shared" si="27"/>
        <v>773.19999999999993</v>
      </c>
      <c r="P181" s="1654">
        <f t="shared" si="28"/>
        <v>0.99999999999999989</v>
      </c>
      <c r="Q181" s="1655">
        <f t="shared" si="23"/>
        <v>0</v>
      </c>
      <c r="R181" s="1656">
        <f t="shared" si="29"/>
        <v>0</v>
      </c>
      <c r="S181" s="1657">
        <f t="shared" si="30"/>
        <v>0</v>
      </c>
      <c r="T181" s="1418"/>
      <c r="U181" s="1418"/>
      <c r="V181" s="1418"/>
      <c r="W181" s="1428"/>
    </row>
    <row r="182" spans="1:23" s="1410" customFormat="1">
      <c r="A182" s="1409"/>
      <c r="B182" s="1632" t="s">
        <v>844</v>
      </c>
      <c r="C182" s="1644" t="s">
        <v>3267</v>
      </c>
      <c r="D182" s="1645" t="s">
        <v>38</v>
      </c>
      <c r="E182" s="1646">
        <v>50</v>
      </c>
      <c r="F182" s="1647">
        <v>15.08</v>
      </c>
      <c r="G182" s="1728">
        <v>15.52</v>
      </c>
      <c r="H182" s="1648">
        <f t="shared" si="24"/>
        <v>754</v>
      </c>
      <c r="I182" s="1648">
        <f t="shared" si="25"/>
        <v>776</v>
      </c>
      <c r="J182" s="1649">
        <v>50</v>
      </c>
      <c r="K182" s="1650">
        <v>776</v>
      </c>
      <c r="L182" s="1867"/>
      <c r="M182" s="1651">
        <f t="shared" si="26"/>
        <v>0</v>
      </c>
      <c r="N182" s="1652">
        <f t="shared" si="22"/>
        <v>50</v>
      </c>
      <c r="O182" s="1653">
        <f t="shared" si="27"/>
        <v>776</v>
      </c>
      <c r="P182" s="1654">
        <f t="shared" si="28"/>
        <v>1</v>
      </c>
      <c r="Q182" s="1655">
        <f t="shared" si="23"/>
        <v>0</v>
      </c>
      <c r="R182" s="1656">
        <f t="shared" si="29"/>
        <v>0</v>
      </c>
      <c r="S182" s="1657">
        <f t="shared" si="30"/>
        <v>0</v>
      </c>
      <c r="T182" s="1418"/>
      <c r="U182" s="1418"/>
      <c r="V182" s="1418"/>
      <c r="W182" s="1428"/>
    </row>
    <row r="183" spans="1:23" s="1410" customFormat="1">
      <c r="A183" s="1423"/>
      <c r="B183" s="1632" t="s">
        <v>845</v>
      </c>
      <c r="C183" s="1644" t="s">
        <v>3268</v>
      </c>
      <c r="D183" s="1645" t="s">
        <v>38</v>
      </c>
      <c r="E183" s="1646">
        <v>32</v>
      </c>
      <c r="F183" s="1647">
        <v>16.25</v>
      </c>
      <c r="G183" s="1728">
        <v>16.690000000000001</v>
      </c>
      <c r="H183" s="1648">
        <f t="shared" si="24"/>
        <v>520</v>
      </c>
      <c r="I183" s="1648">
        <f t="shared" si="25"/>
        <v>534.08000000000004</v>
      </c>
      <c r="J183" s="1649">
        <v>32</v>
      </c>
      <c r="K183" s="1650">
        <v>534.08000000000004</v>
      </c>
      <c r="L183" s="1867"/>
      <c r="M183" s="1651">
        <f t="shared" si="26"/>
        <v>0</v>
      </c>
      <c r="N183" s="1652">
        <f t="shared" si="22"/>
        <v>32</v>
      </c>
      <c r="O183" s="1653">
        <f t="shared" si="27"/>
        <v>534.08000000000004</v>
      </c>
      <c r="P183" s="1654">
        <f t="shared" si="28"/>
        <v>1</v>
      </c>
      <c r="Q183" s="1655">
        <f t="shared" si="23"/>
        <v>0</v>
      </c>
      <c r="R183" s="1656">
        <f t="shared" si="29"/>
        <v>0</v>
      </c>
      <c r="S183" s="1657">
        <f t="shared" si="30"/>
        <v>0</v>
      </c>
      <c r="T183" s="1418"/>
      <c r="U183" s="1418"/>
      <c r="V183" s="1418"/>
      <c r="W183" s="1428"/>
    </row>
    <row r="184" spans="1:23" s="1410" customFormat="1">
      <c r="B184" s="1632" t="s">
        <v>846</v>
      </c>
      <c r="C184" s="1644" t="s">
        <v>3269</v>
      </c>
      <c r="D184" s="1645" t="s">
        <v>38</v>
      </c>
      <c r="E184" s="1646">
        <v>9</v>
      </c>
      <c r="F184" s="1647">
        <v>14.11</v>
      </c>
      <c r="G184" s="1728">
        <v>14.55</v>
      </c>
      <c r="H184" s="1648">
        <f t="shared" si="24"/>
        <v>126.99</v>
      </c>
      <c r="I184" s="1648">
        <f t="shared" si="25"/>
        <v>130.94999999999999</v>
      </c>
      <c r="J184" s="1649">
        <v>9</v>
      </c>
      <c r="K184" s="1650">
        <v>130.95000000000002</v>
      </c>
      <c r="L184" s="1867"/>
      <c r="M184" s="1651">
        <f t="shared" si="26"/>
        <v>0</v>
      </c>
      <c r="N184" s="1652">
        <f t="shared" si="22"/>
        <v>9</v>
      </c>
      <c r="O184" s="1653">
        <f t="shared" si="27"/>
        <v>130.95000000000002</v>
      </c>
      <c r="P184" s="1654">
        <f t="shared" si="28"/>
        <v>1.0000000000000002</v>
      </c>
      <c r="Q184" s="1655">
        <f t="shared" si="23"/>
        <v>0</v>
      </c>
      <c r="R184" s="1656">
        <f t="shared" si="29"/>
        <v>0</v>
      </c>
      <c r="S184" s="1657">
        <f t="shared" si="30"/>
        <v>0</v>
      </c>
      <c r="T184" s="1418"/>
      <c r="U184" s="1418"/>
      <c r="V184" s="1418"/>
      <c r="W184" s="1428"/>
    </row>
    <row r="185" spans="1:23" s="1410" customFormat="1">
      <c r="A185" s="1423"/>
      <c r="B185" s="1725" t="s">
        <v>477</v>
      </c>
      <c r="C185" s="1721" t="s">
        <v>3853</v>
      </c>
      <c r="D185" s="1645"/>
      <c r="E185" s="1646"/>
      <c r="F185" s="1647"/>
      <c r="G185" s="1728"/>
      <c r="H185" s="1648">
        <f t="shared" si="24"/>
        <v>0</v>
      </c>
      <c r="I185" s="1648">
        <f t="shared" si="25"/>
        <v>0</v>
      </c>
      <c r="J185" s="1649"/>
      <c r="K185" s="1650">
        <v>0</v>
      </c>
      <c r="L185" s="1867"/>
      <c r="M185" s="1651">
        <f t="shared" si="26"/>
        <v>0</v>
      </c>
      <c r="N185" s="1652"/>
      <c r="O185" s="1653">
        <f t="shared" si="27"/>
        <v>0</v>
      </c>
      <c r="P185" s="1654" t="str">
        <f t="shared" si="28"/>
        <v/>
      </c>
      <c r="Q185" s="1655"/>
      <c r="R185" s="1656">
        <f t="shared" si="29"/>
        <v>0</v>
      </c>
      <c r="S185" s="1657" t="str">
        <f t="shared" si="30"/>
        <v/>
      </c>
      <c r="T185" s="1418"/>
      <c r="U185" s="1418"/>
      <c r="V185" s="1418"/>
      <c r="W185" s="1428"/>
    </row>
    <row r="186" spans="1:23" s="1410" customFormat="1">
      <c r="A186" s="1423"/>
      <c r="B186" s="1632" t="s">
        <v>850</v>
      </c>
      <c r="C186" s="1644" t="s">
        <v>3274</v>
      </c>
      <c r="D186" s="1645" t="s">
        <v>36</v>
      </c>
      <c r="E186" s="1646">
        <v>17</v>
      </c>
      <c r="F186" s="1647">
        <v>15.18</v>
      </c>
      <c r="G186" s="1728">
        <v>15.63</v>
      </c>
      <c r="H186" s="1648">
        <f t="shared" si="24"/>
        <v>258.06</v>
      </c>
      <c r="I186" s="1648">
        <f t="shared" si="25"/>
        <v>265.70999999999998</v>
      </c>
      <c r="J186" s="1649">
        <v>17</v>
      </c>
      <c r="K186" s="1650">
        <v>265.71000000000004</v>
      </c>
      <c r="L186" s="1867"/>
      <c r="M186" s="1651">
        <f t="shared" si="26"/>
        <v>0</v>
      </c>
      <c r="N186" s="1652">
        <f t="shared" si="22"/>
        <v>17</v>
      </c>
      <c r="O186" s="1653">
        <f t="shared" si="27"/>
        <v>265.71000000000004</v>
      </c>
      <c r="P186" s="1654">
        <f t="shared" si="28"/>
        <v>1.0000000000000002</v>
      </c>
      <c r="Q186" s="1655">
        <f t="shared" si="23"/>
        <v>0</v>
      </c>
      <c r="R186" s="1656">
        <f t="shared" si="29"/>
        <v>0</v>
      </c>
      <c r="S186" s="1657">
        <f t="shared" si="30"/>
        <v>0</v>
      </c>
      <c r="T186" s="1418"/>
      <c r="U186" s="1418"/>
      <c r="V186" s="1418"/>
      <c r="W186" s="1428"/>
    </row>
    <row r="187" spans="1:23" s="1410" customFormat="1">
      <c r="B187" s="1632" t="s">
        <v>3854</v>
      </c>
      <c r="C187" s="1644" t="s">
        <v>3275</v>
      </c>
      <c r="D187" s="1645" t="s">
        <v>36</v>
      </c>
      <c r="E187" s="1646">
        <v>6</v>
      </c>
      <c r="F187" s="1647">
        <v>15.98</v>
      </c>
      <c r="G187" s="1728">
        <v>16.43</v>
      </c>
      <c r="H187" s="1648">
        <f t="shared" si="24"/>
        <v>95.88</v>
      </c>
      <c r="I187" s="1648">
        <f t="shared" si="25"/>
        <v>98.58</v>
      </c>
      <c r="J187" s="1649">
        <v>6</v>
      </c>
      <c r="K187" s="1650">
        <v>98.58</v>
      </c>
      <c r="L187" s="1867"/>
      <c r="M187" s="1651">
        <f t="shared" si="26"/>
        <v>0</v>
      </c>
      <c r="N187" s="1652">
        <f t="shared" si="22"/>
        <v>6</v>
      </c>
      <c r="O187" s="1653">
        <f t="shared" si="27"/>
        <v>98.58</v>
      </c>
      <c r="P187" s="1654">
        <f t="shared" si="28"/>
        <v>1</v>
      </c>
      <c r="Q187" s="1655">
        <f t="shared" si="23"/>
        <v>0</v>
      </c>
      <c r="R187" s="1656">
        <f t="shared" si="29"/>
        <v>0</v>
      </c>
      <c r="S187" s="1657">
        <f t="shared" si="30"/>
        <v>0</v>
      </c>
      <c r="T187" s="1418"/>
      <c r="U187" s="1418"/>
      <c r="V187" s="1418"/>
      <c r="W187" s="1428"/>
    </row>
    <row r="188" spans="1:23" s="1410" customFormat="1">
      <c r="A188" s="1409"/>
      <c r="B188" s="1632" t="s">
        <v>3855</v>
      </c>
      <c r="C188" s="1644" t="s">
        <v>3276</v>
      </c>
      <c r="D188" s="1645" t="s">
        <v>36</v>
      </c>
      <c r="E188" s="1646">
        <v>6</v>
      </c>
      <c r="F188" s="1647">
        <v>64.319999999999993</v>
      </c>
      <c r="G188" s="1728">
        <v>64.77</v>
      </c>
      <c r="H188" s="1648">
        <f t="shared" si="24"/>
        <v>385.92</v>
      </c>
      <c r="I188" s="1648">
        <f t="shared" si="25"/>
        <v>388.62</v>
      </c>
      <c r="J188" s="1649">
        <v>6</v>
      </c>
      <c r="K188" s="1650">
        <v>388.62</v>
      </c>
      <c r="L188" s="1867"/>
      <c r="M188" s="1651">
        <f t="shared" si="26"/>
        <v>0</v>
      </c>
      <c r="N188" s="1652">
        <f t="shared" si="22"/>
        <v>6</v>
      </c>
      <c r="O188" s="1653">
        <f t="shared" si="27"/>
        <v>388.62</v>
      </c>
      <c r="P188" s="1654">
        <f t="shared" si="28"/>
        <v>1</v>
      </c>
      <c r="Q188" s="1655">
        <f t="shared" si="23"/>
        <v>0</v>
      </c>
      <c r="R188" s="1656">
        <f t="shared" si="29"/>
        <v>0</v>
      </c>
      <c r="S188" s="1657">
        <f t="shared" si="30"/>
        <v>0</v>
      </c>
      <c r="T188" s="1418"/>
      <c r="U188" s="1418"/>
      <c r="V188" s="1418"/>
      <c r="W188" s="1428"/>
    </row>
    <row r="189" spans="1:23" s="1410" customFormat="1">
      <c r="A189" s="1423"/>
      <c r="B189" s="1632" t="s">
        <v>3856</v>
      </c>
      <c r="C189" s="1644" t="s">
        <v>3280</v>
      </c>
      <c r="D189" s="1645" t="s">
        <v>36</v>
      </c>
      <c r="E189" s="1646">
        <v>12</v>
      </c>
      <c r="F189" s="1647">
        <v>15.68</v>
      </c>
      <c r="G189" s="1728">
        <v>16.13</v>
      </c>
      <c r="H189" s="1648">
        <f t="shared" si="24"/>
        <v>188.16</v>
      </c>
      <c r="I189" s="1648">
        <f t="shared" si="25"/>
        <v>193.56</v>
      </c>
      <c r="J189" s="1649">
        <v>12</v>
      </c>
      <c r="K189" s="1650">
        <v>193.56</v>
      </c>
      <c r="L189" s="1867"/>
      <c r="M189" s="1651">
        <f t="shared" si="26"/>
        <v>0</v>
      </c>
      <c r="N189" s="1652">
        <f t="shared" si="22"/>
        <v>12</v>
      </c>
      <c r="O189" s="1653">
        <f t="shared" si="27"/>
        <v>193.56</v>
      </c>
      <c r="P189" s="1654">
        <f t="shared" si="28"/>
        <v>1</v>
      </c>
      <c r="Q189" s="1655">
        <f t="shared" si="23"/>
        <v>0</v>
      </c>
      <c r="R189" s="1656">
        <f t="shared" si="29"/>
        <v>0</v>
      </c>
      <c r="S189" s="1657">
        <f t="shared" si="30"/>
        <v>0</v>
      </c>
      <c r="T189" s="1418"/>
      <c r="U189" s="1418"/>
      <c r="V189" s="1418"/>
      <c r="W189" s="1428"/>
    </row>
    <row r="190" spans="1:23" s="1410" customFormat="1">
      <c r="B190" s="1632" t="s">
        <v>3857</v>
      </c>
      <c r="C190" s="1644" t="s">
        <v>3281</v>
      </c>
      <c r="D190" s="1645" t="s">
        <v>36</v>
      </c>
      <c r="E190" s="1646">
        <v>5</v>
      </c>
      <c r="F190" s="1647">
        <v>16.579999999999998</v>
      </c>
      <c r="G190" s="1728">
        <v>17.03</v>
      </c>
      <c r="H190" s="1648">
        <f t="shared" si="24"/>
        <v>82.9</v>
      </c>
      <c r="I190" s="1648">
        <f t="shared" si="25"/>
        <v>85.15</v>
      </c>
      <c r="J190" s="1649">
        <v>5</v>
      </c>
      <c r="K190" s="1650">
        <v>85.15</v>
      </c>
      <c r="L190" s="1867"/>
      <c r="M190" s="1651">
        <f t="shared" si="26"/>
        <v>0</v>
      </c>
      <c r="N190" s="1652">
        <f t="shared" si="22"/>
        <v>5</v>
      </c>
      <c r="O190" s="1653">
        <f t="shared" si="27"/>
        <v>85.15</v>
      </c>
      <c r="P190" s="1654">
        <f t="shared" si="28"/>
        <v>1</v>
      </c>
      <c r="Q190" s="1655">
        <f t="shared" si="23"/>
        <v>0</v>
      </c>
      <c r="R190" s="1656">
        <f t="shared" si="29"/>
        <v>0</v>
      </c>
      <c r="S190" s="1657">
        <f t="shared" si="30"/>
        <v>0</v>
      </c>
      <c r="T190" s="1418"/>
      <c r="U190" s="1418"/>
      <c r="V190" s="1418"/>
      <c r="W190" s="1428"/>
    </row>
    <row r="191" spans="1:23" s="1410" customFormat="1">
      <c r="A191" s="1409"/>
      <c r="B191" s="1632" t="s">
        <v>3858</v>
      </c>
      <c r="C191" s="1644" t="s">
        <v>3282</v>
      </c>
      <c r="D191" s="1645" t="s">
        <v>36</v>
      </c>
      <c r="E191" s="1646">
        <v>7</v>
      </c>
      <c r="F191" s="1647">
        <v>18.38</v>
      </c>
      <c r="G191" s="1728">
        <v>18.829999999999998</v>
      </c>
      <c r="H191" s="1648">
        <f t="shared" si="24"/>
        <v>128.66</v>
      </c>
      <c r="I191" s="1648">
        <f t="shared" si="25"/>
        <v>131.81</v>
      </c>
      <c r="J191" s="1649">
        <v>7</v>
      </c>
      <c r="K191" s="1650">
        <v>131.81</v>
      </c>
      <c r="L191" s="1867"/>
      <c r="M191" s="1651">
        <f t="shared" si="26"/>
        <v>0</v>
      </c>
      <c r="N191" s="1652">
        <f t="shared" si="22"/>
        <v>7</v>
      </c>
      <c r="O191" s="1653">
        <f t="shared" si="27"/>
        <v>131.81</v>
      </c>
      <c r="P191" s="1654">
        <f t="shared" si="28"/>
        <v>1</v>
      </c>
      <c r="Q191" s="1655">
        <f t="shared" si="23"/>
        <v>0</v>
      </c>
      <c r="R191" s="1656">
        <f t="shared" si="29"/>
        <v>0</v>
      </c>
      <c r="S191" s="1657">
        <f t="shared" si="30"/>
        <v>0</v>
      </c>
      <c r="T191" s="1418"/>
      <c r="U191" s="1418"/>
      <c r="V191" s="1418"/>
      <c r="W191" s="1428"/>
    </row>
    <row r="192" spans="1:23" s="1410" customFormat="1">
      <c r="A192" s="1423"/>
      <c r="B192" s="1632" t="s">
        <v>3859</v>
      </c>
      <c r="C192" s="1644" t="s">
        <v>3285</v>
      </c>
      <c r="D192" s="1645" t="s">
        <v>36</v>
      </c>
      <c r="E192" s="1646">
        <v>16</v>
      </c>
      <c r="F192" s="1647">
        <v>170.58</v>
      </c>
      <c r="G192" s="1728">
        <v>171.03</v>
      </c>
      <c r="H192" s="1648">
        <f t="shared" si="24"/>
        <v>2729.28</v>
      </c>
      <c r="I192" s="1648">
        <f t="shared" si="25"/>
        <v>2736.48</v>
      </c>
      <c r="J192" s="1649">
        <v>16</v>
      </c>
      <c r="K192" s="1650">
        <v>2736.48</v>
      </c>
      <c r="L192" s="1867"/>
      <c r="M192" s="1651">
        <f t="shared" si="26"/>
        <v>0</v>
      </c>
      <c r="N192" s="1652">
        <f t="shared" si="22"/>
        <v>16</v>
      </c>
      <c r="O192" s="1653">
        <f t="shared" si="27"/>
        <v>2736.48</v>
      </c>
      <c r="P192" s="1654">
        <f t="shared" si="28"/>
        <v>1</v>
      </c>
      <c r="Q192" s="1655">
        <f t="shared" si="23"/>
        <v>0</v>
      </c>
      <c r="R192" s="1656">
        <f t="shared" si="29"/>
        <v>0</v>
      </c>
      <c r="S192" s="1657">
        <f t="shared" si="30"/>
        <v>0</v>
      </c>
      <c r="T192" s="1418"/>
      <c r="U192" s="1418"/>
      <c r="V192" s="1418"/>
      <c r="W192" s="1428"/>
    </row>
    <row r="193" spans="1:23" s="1410" customFormat="1">
      <c r="B193" s="1632" t="s">
        <v>3860</v>
      </c>
      <c r="C193" s="1644" t="s">
        <v>3286</v>
      </c>
      <c r="D193" s="1645" t="s">
        <v>36</v>
      </c>
      <c r="E193" s="1646">
        <v>5</v>
      </c>
      <c r="F193" s="1647">
        <v>29.66</v>
      </c>
      <c r="G193" s="1728">
        <v>30.11</v>
      </c>
      <c r="H193" s="1648">
        <f t="shared" si="24"/>
        <v>148.30000000000001</v>
      </c>
      <c r="I193" s="1648">
        <f t="shared" si="25"/>
        <v>150.55000000000001</v>
      </c>
      <c r="J193" s="1649">
        <v>5</v>
      </c>
      <c r="K193" s="1650">
        <v>150.55000000000001</v>
      </c>
      <c r="L193" s="1867"/>
      <c r="M193" s="1651">
        <f t="shared" si="26"/>
        <v>0</v>
      </c>
      <c r="N193" s="1652">
        <f t="shared" si="22"/>
        <v>5</v>
      </c>
      <c r="O193" s="1653">
        <f t="shared" si="27"/>
        <v>150.55000000000001</v>
      </c>
      <c r="P193" s="1654">
        <f t="shared" si="28"/>
        <v>1</v>
      </c>
      <c r="Q193" s="1655">
        <f t="shared" si="23"/>
        <v>0</v>
      </c>
      <c r="R193" s="1656">
        <f t="shared" si="29"/>
        <v>0</v>
      </c>
      <c r="S193" s="1657">
        <f t="shared" si="30"/>
        <v>0</v>
      </c>
      <c r="T193" s="1418"/>
      <c r="U193" s="1418"/>
      <c r="V193" s="1418"/>
      <c r="W193" s="1428"/>
    </row>
    <row r="194" spans="1:23" s="1410" customFormat="1">
      <c r="A194" s="1423"/>
      <c r="B194" s="1632" t="s">
        <v>3861</v>
      </c>
      <c r="C194" s="1644" t="s">
        <v>3287</v>
      </c>
      <c r="D194" s="1645" t="s">
        <v>36</v>
      </c>
      <c r="E194" s="1646">
        <v>3</v>
      </c>
      <c r="F194" s="1647">
        <v>15.08</v>
      </c>
      <c r="G194" s="1728">
        <v>15.53</v>
      </c>
      <c r="H194" s="1648">
        <f t="shared" si="24"/>
        <v>45.24</v>
      </c>
      <c r="I194" s="1648">
        <f t="shared" si="25"/>
        <v>46.59</v>
      </c>
      <c r="J194" s="1649">
        <v>3</v>
      </c>
      <c r="K194" s="1650">
        <v>46.589999999999996</v>
      </c>
      <c r="L194" s="1867"/>
      <c r="M194" s="1651">
        <f t="shared" si="26"/>
        <v>0</v>
      </c>
      <c r="N194" s="1652">
        <f t="shared" si="22"/>
        <v>3</v>
      </c>
      <c r="O194" s="1653">
        <f t="shared" si="27"/>
        <v>46.589999999999996</v>
      </c>
      <c r="P194" s="1654">
        <f t="shared" si="28"/>
        <v>0.99999999999999989</v>
      </c>
      <c r="Q194" s="1655">
        <f t="shared" si="23"/>
        <v>0</v>
      </c>
      <c r="R194" s="1656">
        <f t="shared" si="29"/>
        <v>0</v>
      </c>
      <c r="S194" s="1657">
        <f t="shared" si="30"/>
        <v>0</v>
      </c>
      <c r="T194" s="1418"/>
      <c r="U194" s="1418"/>
      <c r="V194" s="1418"/>
      <c r="W194" s="1428"/>
    </row>
    <row r="195" spans="1:23" s="1410" customFormat="1">
      <c r="A195" s="1423"/>
      <c r="B195" s="1632" t="s">
        <v>3862</v>
      </c>
      <c r="C195" s="1644" t="s">
        <v>3290</v>
      </c>
      <c r="D195" s="1645" t="s">
        <v>36</v>
      </c>
      <c r="E195" s="1646">
        <v>12</v>
      </c>
      <c r="F195" s="1647">
        <v>78.599999999999994</v>
      </c>
      <c r="G195" s="1728">
        <v>79.05</v>
      </c>
      <c r="H195" s="1648">
        <f t="shared" si="24"/>
        <v>943.2</v>
      </c>
      <c r="I195" s="1648">
        <f t="shared" si="25"/>
        <v>948.6</v>
      </c>
      <c r="J195" s="1649">
        <v>12</v>
      </c>
      <c r="K195" s="1650">
        <v>948.59999999999991</v>
      </c>
      <c r="L195" s="1867"/>
      <c r="M195" s="1651">
        <f t="shared" si="26"/>
        <v>0</v>
      </c>
      <c r="N195" s="1652">
        <f t="shared" si="22"/>
        <v>12</v>
      </c>
      <c r="O195" s="1653">
        <f t="shared" si="27"/>
        <v>948.59999999999991</v>
      </c>
      <c r="P195" s="1654">
        <f t="shared" si="28"/>
        <v>0.99999999999999989</v>
      </c>
      <c r="Q195" s="1655">
        <f t="shared" si="23"/>
        <v>0</v>
      </c>
      <c r="R195" s="1656">
        <f t="shared" si="29"/>
        <v>0</v>
      </c>
      <c r="S195" s="1657">
        <f t="shared" si="30"/>
        <v>0</v>
      </c>
      <c r="T195" s="1418"/>
      <c r="U195" s="1418"/>
      <c r="V195" s="1418"/>
      <c r="W195" s="1428"/>
    </row>
    <row r="196" spans="1:23" s="1410" customFormat="1">
      <c r="B196" s="1632" t="s">
        <v>3863</v>
      </c>
      <c r="C196" s="1644" t="s">
        <v>3291</v>
      </c>
      <c r="D196" s="1645" t="s">
        <v>36</v>
      </c>
      <c r="E196" s="1646">
        <v>3</v>
      </c>
      <c r="F196" s="1647">
        <v>15.58</v>
      </c>
      <c r="G196" s="1728">
        <v>16.03</v>
      </c>
      <c r="H196" s="1648">
        <f t="shared" si="24"/>
        <v>46.74</v>
      </c>
      <c r="I196" s="1648">
        <f t="shared" si="25"/>
        <v>48.09</v>
      </c>
      <c r="J196" s="1649">
        <v>3</v>
      </c>
      <c r="K196" s="1650">
        <v>48.09</v>
      </c>
      <c r="L196" s="1867"/>
      <c r="M196" s="1651">
        <f t="shared" si="26"/>
        <v>0</v>
      </c>
      <c r="N196" s="1652">
        <f t="shared" si="22"/>
        <v>3</v>
      </c>
      <c r="O196" s="1653">
        <f t="shared" si="27"/>
        <v>48.09</v>
      </c>
      <c r="P196" s="1654">
        <f t="shared" si="28"/>
        <v>1</v>
      </c>
      <c r="Q196" s="1655">
        <f t="shared" si="23"/>
        <v>0</v>
      </c>
      <c r="R196" s="1656">
        <f t="shared" si="29"/>
        <v>0</v>
      </c>
      <c r="S196" s="1657">
        <f t="shared" si="30"/>
        <v>0</v>
      </c>
      <c r="T196" s="1418"/>
      <c r="U196" s="1418"/>
      <c r="V196" s="1418"/>
      <c r="W196" s="1428"/>
    </row>
    <row r="197" spans="1:23" s="1410" customFormat="1">
      <c r="A197" s="1409"/>
      <c r="B197" s="1725" t="s">
        <v>478</v>
      </c>
      <c r="C197" s="1721" t="s">
        <v>3295</v>
      </c>
      <c r="D197" s="1645"/>
      <c r="E197" s="1646"/>
      <c r="F197" s="1647"/>
      <c r="G197" s="1728"/>
      <c r="H197" s="1648">
        <f t="shared" si="24"/>
        <v>0</v>
      </c>
      <c r="I197" s="1648">
        <f t="shared" si="25"/>
        <v>0</v>
      </c>
      <c r="J197" s="1649"/>
      <c r="K197" s="1650">
        <v>0</v>
      </c>
      <c r="L197" s="1867"/>
      <c r="M197" s="1651">
        <f t="shared" si="26"/>
        <v>0</v>
      </c>
      <c r="N197" s="1652"/>
      <c r="O197" s="1653">
        <f t="shared" si="27"/>
        <v>0</v>
      </c>
      <c r="P197" s="1654" t="str">
        <f t="shared" si="28"/>
        <v/>
      </c>
      <c r="Q197" s="1655"/>
      <c r="R197" s="1656">
        <f t="shared" si="29"/>
        <v>0</v>
      </c>
      <c r="S197" s="1657" t="str">
        <f t="shared" si="30"/>
        <v/>
      </c>
      <c r="T197" s="1418"/>
      <c r="U197" s="1418"/>
      <c r="V197" s="1418"/>
      <c r="W197" s="1428"/>
    </row>
    <row r="198" spans="1:23" s="1410" customFormat="1">
      <c r="A198" s="1423"/>
      <c r="B198" s="1632" t="s">
        <v>851</v>
      </c>
      <c r="C198" s="1644" t="s">
        <v>3296</v>
      </c>
      <c r="D198" s="1645" t="s">
        <v>1450</v>
      </c>
      <c r="E198" s="1646">
        <v>5</v>
      </c>
      <c r="F198" s="1647">
        <v>93.18</v>
      </c>
      <c r="G198" s="1728">
        <v>95.5</v>
      </c>
      <c r="H198" s="1648">
        <f t="shared" si="24"/>
        <v>465.9</v>
      </c>
      <c r="I198" s="1648">
        <f t="shared" si="25"/>
        <v>477.5</v>
      </c>
      <c r="J198" s="1649">
        <v>5</v>
      </c>
      <c r="K198" s="1650">
        <v>477.5</v>
      </c>
      <c r="L198" s="1867"/>
      <c r="M198" s="1651">
        <f t="shared" si="26"/>
        <v>0</v>
      </c>
      <c r="N198" s="1652">
        <f t="shared" si="22"/>
        <v>5</v>
      </c>
      <c r="O198" s="1653">
        <f t="shared" si="27"/>
        <v>477.5</v>
      </c>
      <c r="P198" s="1654">
        <f t="shared" si="28"/>
        <v>1</v>
      </c>
      <c r="Q198" s="1655">
        <f t="shared" si="23"/>
        <v>0</v>
      </c>
      <c r="R198" s="1656">
        <f t="shared" si="29"/>
        <v>0</v>
      </c>
      <c r="S198" s="1657">
        <f t="shared" si="30"/>
        <v>0</v>
      </c>
      <c r="T198" s="1418"/>
      <c r="U198" s="1418"/>
      <c r="V198" s="1418"/>
      <c r="W198" s="1428"/>
    </row>
    <row r="199" spans="1:23" s="1410" customFormat="1">
      <c r="B199" s="1632" t="s">
        <v>852</v>
      </c>
      <c r="C199" s="1644" t="s">
        <v>3297</v>
      </c>
      <c r="D199" s="1645" t="s">
        <v>1450</v>
      </c>
      <c r="E199" s="1646">
        <v>6</v>
      </c>
      <c r="F199" s="1647">
        <v>105.66</v>
      </c>
      <c r="G199" s="1728">
        <v>107.98</v>
      </c>
      <c r="H199" s="1648">
        <f t="shared" si="24"/>
        <v>633.96</v>
      </c>
      <c r="I199" s="1648">
        <f t="shared" si="25"/>
        <v>647.88</v>
      </c>
      <c r="J199" s="1649">
        <v>6</v>
      </c>
      <c r="K199" s="1650">
        <v>647.88</v>
      </c>
      <c r="L199" s="1867"/>
      <c r="M199" s="1651">
        <f t="shared" si="26"/>
        <v>0</v>
      </c>
      <c r="N199" s="1652">
        <f t="shared" si="22"/>
        <v>6</v>
      </c>
      <c r="O199" s="1653">
        <f t="shared" si="27"/>
        <v>647.88</v>
      </c>
      <c r="P199" s="1654">
        <f t="shared" si="28"/>
        <v>1</v>
      </c>
      <c r="Q199" s="1655">
        <f t="shared" si="23"/>
        <v>0</v>
      </c>
      <c r="R199" s="1656">
        <f t="shared" si="29"/>
        <v>0</v>
      </c>
      <c r="S199" s="1657">
        <f t="shared" si="30"/>
        <v>0</v>
      </c>
      <c r="T199" s="1418"/>
      <c r="U199" s="1418"/>
      <c r="V199" s="1418"/>
      <c r="W199" s="1428"/>
    </row>
    <row r="200" spans="1:23" s="1410" customFormat="1">
      <c r="A200" s="1409"/>
      <c r="B200" s="1632" t="s">
        <v>853</v>
      </c>
      <c r="C200" s="1644" t="s">
        <v>3298</v>
      </c>
      <c r="D200" s="1645" t="s">
        <v>1450</v>
      </c>
      <c r="E200" s="1646">
        <v>1</v>
      </c>
      <c r="F200" s="1647">
        <v>118.64</v>
      </c>
      <c r="G200" s="1728">
        <v>120.96</v>
      </c>
      <c r="H200" s="1648">
        <f t="shared" si="24"/>
        <v>118.64</v>
      </c>
      <c r="I200" s="1648">
        <f t="shared" si="25"/>
        <v>120.96</v>
      </c>
      <c r="J200" s="1649">
        <v>1</v>
      </c>
      <c r="K200" s="1650">
        <v>120.96</v>
      </c>
      <c r="L200" s="1867"/>
      <c r="M200" s="1651">
        <f t="shared" si="26"/>
        <v>0</v>
      </c>
      <c r="N200" s="1652">
        <f t="shared" si="22"/>
        <v>1</v>
      </c>
      <c r="O200" s="1653">
        <f t="shared" si="27"/>
        <v>120.96</v>
      </c>
      <c r="P200" s="1654">
        <f t="shared" si="28"/>
        <v>1</v>
      </c>
      <c r="Q200" s="1655">
        <f t="shared" si="23"/>
        <v>0</v>
      </c>
      <c r="R200" s="1656">
        <f t="shared" si="29"/>
        <v>0</v>
      </c>
      <c r="S200" s="1657">
        <f t="shared" si="30"/>
        <v>0</v>
      </c>
      <c r="T200" s="1418"/>
      <c r="U200" s="1418"/>
      <c r="V200" s="1418"/>
      <c r="W200" s="1428"/>
    </row>
    <row r="201" spans="1:23" s="1410" customFormat="1">
      <c r="A201" s="1423"/>
      <c r="B201" s="2088" t="s">
        <v>487</v>
      </c>
      <c r="C201" s="2090" t="s">
        <v>1382</v>
      </c>
      <c r="D201" s="1645"/>
      <c r="E201" s="1646"/>
      <c r="F201" s="1647"/>
      <c r="G201" s="1728"/>
      <c r="H201" s="1648">
        <f t="shared" si="24"/>
        <v>0</v>
      </c>
      <c r="I201" s="1648">
        <f t="shared" si="25"/>
        <v>0</v>
      </c>
      <c r="J201" s="1649"/>
      <c r="K201" s="1650">
        <v>0</v>
      </c>
      <c r="L201" s="1867"/>
      <c r="M201" s="1651">
        <f t="shared" si="26"/>
        <v>0</v>
      </c>
      <c r="N201" s="1652"/>
      <c r="O201" s="1653">
        <f t="shared" si="27"/>
        <v>0</v>
      </c>
      <c r="P201" s="1654" t="str">
        <f t="shared" si="28"/>
        <v/>
      </c>
      <c r="Q201" s="1655"/>
      <c r="R201" s="1656">
        <f t="shared" si="29"/>
        <v>0</v>
      </c>
      <c r="S201" s="1657" t="str">
        <f t="shared" si="30"/>
        <v/>
      </c>
      <c r="T201" s="1418"/>
      <c r="U201" s="1418"/>
      <c r="V201" s="1418"/>
      <c r="W201" s="1428"/>
    </row>
    <row r="202" spans="1:23" s="1410" customFormat="1">
      <c r="B202" s="1725" t="s">
        <v>488</v>
      </c>
      <c r="C202" s="1721" t="s">
        <v>2892</v>
      </c>
      <c r="D202" s="1645"/>
      <c r="E202" s="1646"/>
      <c r="F202" s="1647"/>
      <c r="G202" s="1728"/>
      <c r="H202" s="1648">
        <f t="shared" si="24"/>
        <v>0</v>
      </c>
      <c r="I202" s="1648">
        <f t="shared" si="25"/>
        <v>0</v>
      </c>
      <c r="J202" s="1649"/>
      <c r="K202" s="1650">
        <v>0</v>
      </c>
      <c r="L202" s="1867"/>
      <c r="M202" s="1651">
        <f t="shared" si="26"/>
        <v>0</v>
      </c>
      <c r="N202" s="1652"/>
      <c r="O202" s="1653">
        <f t="shared" si="27"/>
        <v>0</v>
      </c>
      <c r="P202" s="1654" t="str">
        <f t="shared" si="28"/>
        <v/>
      </c>
      <c r="Q202" s="1655"/>
      <c r="R202" s="1656">
        <f t="shared" si="29"/>
        <v>0</v>
      </c>
      <c r="S202" s="1657" t="str">
        <f t="shared" si="30"/>
        <v/>
      </c>
      <c r="T202" s="1418"/>
      <c r="U202" s="1418"/>
      <c r="V202" s="1418"/>
      <c r="W202" s="1428"/>
    </row>
    <row r="203" spans="1:23" s="1410" customFormat="1" ht="25.5">
      <c r="A203" s="1423"/>
      <c r="B203" s="1632" t="s">
        <v>489</v>
      </c>
      <c r="C203" s="1644" t="s">
        <v>3864</v>
      </c>
      <c r="D203" s="1645" t="s">
        <v>40</v>
      </c>
      <c r="E203" s="1646">
        <v>40</v>
      </c>
      <c r="F203" s="1647">
        <v>46.72</v>
      </c>
      <c r="G203" s="1728">
        <v>48.65</v>
      </c>
      <c r="H203" s="1648">
        <f t="shared" si="24"/>
        <v>1868.8</v>
      </c>
      <c r="I203" s="1648">
        <f t="shared" si="25"/>
        <v>1946</v>
      </c>
      <c r="J203" s="1649">
        <v>0</v>
      </c>
      <c r="K203" s="1650">
        <v>0</v>
      </c>
      <c r="L203" s="1867"/>
      <c r="M203" s="1651">
        <f t="shared" si="26"/>
        <v>0</v>
      </c>
      <c r="N203" s="1652">
        <f t="shared" si="22"/>
        <v>0</v>
      </c>
      <c r="O203" s="1653">
        <f t="shared" si="27"/>
        <v>0</v>
      </c>
      <c r="P203" s="1654">
        <f t="shared" si="28"/>
        <v>0</v>
      </c>
      <c r="Q203" s="1655">
        <f t="shared" si="23"/>
        <v>40</v>
      </c>
      <c r="R203" s="1656">
        <f t="shared" si="29"/>
        <v>1946</v>
      </c>
      <c r="S203" s="1657">
        <f t="shared" si="30"/>
        <v>1</v>
      </c>
      <c r="T203" s="1418"/>
      <c r="U203" s="1418"/>
      <c r="V203" s="1418"/>
      <c r="W203" s="1428"/>
    </row>
    <row r="204" spans="1:23" s="1410" customFormat="1" ht="25.5">
      <c r="A204" s="1423"/>
      <c r="B204" s="1632" t="s">
        <v>490</v>
      </c>
      <c r="C204" s="1644" t="s">
        <v>3865</v>
      </c>
      <c r="D204" s="1645" t="s">
        <v>40</v>
      </c>
      <c r="E204" s="1646">
        <v>5</v>
      </c>
      <c r="F204" s="1647">
        <v>20.02</v>
      </c>
      <c r="G204" s="1728">
        <v>20.85</v>
      </c>
      <c r="H204" s="1648">
        <f t="shared" si="24"/>
        <v>100.1</v>
      </c>
      <c r="I204" s="1648">
        <f t="shared" si="25"/>
        <v>104.25</v>
      </c>
      <c r="J204" s="1649">
        <v>0</v>
      </c>
      <c r="K204" s="1650">
        <v>0</v>
      </c>
      <c r="L204" s="1867"/>
      <c r="M204" s="1651">
        <f t="shared" si="26"/>
        <v>0</v>
      </c>
      <c r="N204" s="1652">
        <f t="shared" si="22"/>
        <v>0</v>
      </c>
      <c r="O204" s="1653">
        <f t="shared" si="27"/>
        <v>0</v>
      </c>
      <c r="P204" s="1654">
        <f t="shared" si="28"/>
        <v>0</v>
      </c>
      <c r="Q204" s="1655">
        <f t="shared" si="23"/>
        <v>5</v>
      </c>
      <c r="R204" s="1656">
        <f t="shared" si="29"/>
        <v>104.25</v>
      </c>
      <c r="S204" s="1657">
        <f t="shared" si="30"/>
        <v>1</v>
      </c>
      <c r="T204" s="1418"/>
      <c r="U204" s="1418"/>
      <c r="V204" s="1418"/>
      <c r="W204" s="1428"/>
    </row>
    <row r="205" spans="1:23" s="1410" customFormat="1" ht="25.5">
      <c r="B205" s="1632" t="s">
        <v>491</v>
      </c>
      <c r="C205" s="1644" t="s">
        <v>3866</v>
      </c>
      <c r="D205" s="1645" t="s">
        <v>40</v>
      </c>
      <c r="E205" s="1646">
        <v>10</v>
      </c>
      <c r="F205" s="1647">
        <v>72.819999999999993</v>
      </c>
      <c r="G205" s="1728">
        <v>73.650000000000006</v>
      </c>
      <c r="H205" s="1648">
        <f t="shared" si="24"/>
        <v>728.2</v>
      </c>
      <c r="I205" s="1648">
        <f t="shared" si="25"/>
        <v>736.5</v>
      </c>
      <c r="J205" s="1649">
        <v>0</v>
      </c>
      <c r="K205" s="1650">
        <v>0</v>
      </c>
      <c r="L205" s="1867"/>
      <c r="M205" s="1651">
        <f t="shared" si="26"/>
        <v>0</v>
      </c>
      <c r="N205" s="1652">
        <f t="shared" si="22"/>
        <v>0</v>
      </c>
      <c r="O205" s="1653">
        <f t="shared" si="27"/>
        <v>0</v>
      </c>
      <c r="P205" s="1654">
        <f t="shared" si="28"/>
        <v>0</v>
      </c>
      <c r="Q205" s="1655">
        <f t="shared" si="23"/>
        <v>10</v>
      </c>
      <c r="R205" s="1656">
        <f t="shared" si="29"/>
        <v>736.5</v>
      </c>
      <c r="S205" s="1657">
        <f t="shared" si="30"/>
        <v>1</v>
      </c>
      <c r="T205" s="1418"/>
      <c r="U205" s="1418"/>
      <c r="V205" s="1418"/>
      <c r="W205" s="1428"/>
    </row>
    <row r="206" spans="1:23" s="1410" customFormat="1" ht="25.5">
      <c r="A206" s="1409"/>
      <c r="B206" s="1632" t="s">
        <v>1016</v>
      </c>
      <c r="C206" s="1644" t="s">
        <v>3867</v>
      </c>
      <c r="D206" s="1645" t="s">
        <v>40</v>
      </c>
      <c r="E206" s="1646">
        <v>30</v>
      </c>
      <c r="F206" s="1647">
        <v>20.02</v>
      </c>
      <c r="G206" s="1728">
        <v>20.85</v>
      </c>
      <c r="H206" s="1648">
        <f t="shared" si="24"/>
        <v>600.6</v>
      </c>
      <c r="I206" s="1648">
        <f t="shared" si="25"/>
        <v>625.5</v>
      </c>
      <c r="J206" s="1649">
        <v>0</v>
      </c>
      <c r="K206" s="1650">
        <v>0</v>
      </c>
      <c r="L206" s="1867"/>
      <c r="M206" s="1651">
        <f t="shared" si="26"/>
        <v>0</v>
      </c>
      <c r="N206" s="1652">
        <f t="shared" si="22"/>
        <v>0</v>
      </c>
      <c r="O206" s="1653">
        <f t="shared" si="27"/>
        <v>0</v>
      </c>
      <c r="P206" s="1654">
        <f t="shared" si="28"/>
        <v>0</v>
      </c>
      <c r="Q206" s="1655">
        <f t="shared" si="23"/>
        <v>30</v>
      </c>
      <c r="R206" s="1656">
        <f t="shared" si="29"/>
        <v>625.5</v>
      </c>
      <c r="S206" s="1657">
        <f t="shared" si="30"/>
        <v>1</v>
      </c>
      <c r="T206" s="1418"/>
      <c r="U206" s="1418"/>
      <c r="V206" s="1418"/>
      <c r="W206" s="1428"/>
    </row>
    <row r="207" spans="1:23" s="1410" customFormat="1">
      <c r="A207" s="1423"/>
      <c r="B207" s="1632" t="s">
        <v>492</v>
      </c>
      <c r="C207" s="1644" t="s">
        <v>2899</v>
      </c>
      <c r="D207" s="1645"/>
      <c r="E207" s="1646"/>
      <c r="F207" s="1647"/>
      <c r="G207" s="1728"/>
      <c r="H207" s="1648">
        <f t="shared" si="24"/>
        <v>0</v>
      </c>
      <c r="I207" s="1648">
        <f t="shared" si="25"/>
        <v>0</v>
      </c>
      <c r="J207" s="1649"/>
      <c r="K207" s="1650">
        <v>0</v>
      </c>
      <c r="L207" s="1867"/>
      <c r="M207" s="1651">
        <f t="shared" si="26"/>
        <v>0</v>
      </c>
      <c r="N207" s="1652"/>
      <c r="O207" s="1653">
        <f t="shared" si="27"/>
        <v>0</v>
      </c>
      <c r="P207" s="1654" t="str">
        <f t="shared" si="28"/>
        <v/>
      </c>
      <c r="Q207" s="1655"/>
      <c r="R207" s="1656">
        <f t="shared" si="29"/>
        <v>0</v>
      </c>
      <c r="S207" s="1657" t="str">
        <f t="shared" si="30"/>
        <v/>
      </c>
      <c r="T207" s="1418"/>
      <c r="U207" s="1418"/>
      <c r="V207" s="1418"/>
      <c r="W207" s="1428"/>
    </row>
    <row r="208" spans="1:23" s="1410" customFormat="1">
      <c r="B208" s="1632" t="s">
        <v>493</v>
      </c>
      <c r="C208" s="1644" t="s">
        <v>3390</v>
      </c>
      <c r="D208" s="1645" t="s">
        <v>36</v>
      </c>
      <c r="E208" s="1646">
        <v>6</v>
      </c>
      <c r="F208" s="1647">
        <v>258.86</v>
      </c>
      <c r="G208" s="1728">
        <v>265.82</v>
      </c>
      <c r="H208" s="1648">
        <f t="shared" si="24"/>
        <v>1553.16</v>
      </c>
      <c r="I208" s="1648">
        <f t="shared" si="25"/>
        <v>1594.92</v>
      </c>
      <c r="J208" s="1649">
        <v>0</v>
      </c>
      <c r="K208" s="1650">
        <v>0</v>
      </c>
      <c r="L208" s="1867"/>
      <c r="M208" s="1651">
        <f t="shared" si="26"/>
        <v>0</v>
      </c>
      <c r="N208" s="1652">
        <f t="shared" si="22"/>
        <v>0</v>
      </c>
      <c r="O208" s="1653">
        <f t="shared" si="27"/>
        <v>0</v>
      </c>
      <c r="P208" s="1654">
        <f t="shared" si="28"/>
        <v>0</v>
      </c>
      <c r="Q208" s="1655">
        <f t="shared" ref="Q208:Q266" si="31">E208-N208</f>
        <v>6</v>
      </c>
      <c r="R208" s="1656">
        <f t="shared" si="29"/>
        <v>1594.92</v>
      </c>
      <c r="S208" s="1657">
        <f t="shared" si="30"/>
        <v>1</v>
      </c>
      <c r="T208" s="1418"/>
      <c r="U208" s="1418"/>
      <c r="V208" s="1418"/>
      <c r="W208" s="1428"/>
    </row>
    <row r="209" spans="1:23" s="1410" customFormat="1" ht="25.5">
      <c r="A209" s="1409"/>
      <c r="B209" s="1632" t="s">
        <v>494</v>
      </c>
      <c r="C209" s="1644" t="s">
        <v>3868</v>
      </c>
      <c r="D209" s="1645" t="s">
        <v>36</v>
      </c>
      <c r="E209" s="1646">
        <v>5</v>
      </c>
      <c r="F209" s="1647">
        <v>222.6</v>
      </c>
      <c r="G209" s="1728">
        <v>230.76</v>
      </c>
      <c r="H209" s="1648">
        <f t="shared" si="24"/>
        <v>1113</v>
      </c>
      <c r="I209" s="1648">
        <f t="shared" si="25"/>
        <v>1153.8</v>
      </c>
      <c r="J209" s="1649">
        <v>0</v>
      </c>
      <c r="K209" s="1650">
        <v>0</v>
      </c>
      <c r="L209" s="1867"/>
      <c r="M209" s="1651">
        <f t="shared" si="26"/>
        <v>0</v>
      </c>
      <c r="N209" s="1652">
        <f t="shared" ref="N209:N257" si="32">J209+L209</f>
        <v>0</v>
      </c>
      <c r="O209" s="1653">
        <f t="shared" si="27"/>
        <v>0</v>
      </c>
      <c r="P209" s="1654">
        <f t="shared" si="28"/>
        <v>0</v>
      </c>
      <c r="Q209" s="1655">
        <f t="shared" si="31"/>
        <v>5</v>
      </c>
      <c r="R209" s="1656">
        <f t="shared" si="29"/>
        <v>1153.8</v>
      </c>
      <c r="S209" s="1657">
        <f t="shared" si="30"/>
        <v>1</v>
      </c>
      <c r="T209" s="1418"/>
      <c r="U209" s="1418"/>
      <c r="V209" s="1418"/>
      <c r="W209" s="1428"/>
    </row>
    <row r="210" spans="1:23" s="1410" customFormat="1">
      <c r="A210" s="1423"/>
      <c r="B210" s="1725" t="s">
        <v>496</v>
      </c>
      <c r="C210" s="1721" t="s">
        <v>3869</v>
      </c>
      <c r="D210" s="1645"/>
      <c r="E210" s="1646"/>
      <c r="F210" s="1647"/>
      <c r="G210" s="1728"/>
      <c r="H210" s="1648">
        <f t="shared" ref="H210:H257" si="33">ROUND(E210*F210,2)</f>
        <v>0</v>
      </c>
      <c r="I210" s="1648">
        <f t="shared" ref="I210:I257" si="34">ROUND(E210*G210,2)</f>
        <v>0</v>
      </c>
      <c r="J210" s="1649"/>
      <c r="K210" s="1650">
        <v>0</v>
      </c>
      <c r="L210" s="1867"/>
      <c r="M210" s="1651">
        <f t="shared" ref="M210:M257" si="35">+L210*G210</f>
        <v>0</v>
      </c>
      <c r="N210" s="1652"/>
      <c r="O210" s="1653">
        <f t="shared" ref="O210:O257" si="36">N210*G210</f>
        <v>0</v>
      </c>
      <c r="P210" s="1654" t="str">
        <f t="shared" ref="P210:P257" si="37">+IF(D210=0,"",O210/I210)</f>
        <v/>
      </c>
      <c r="Q210" s="1655"/>
      <c r="R210" s="1656">
        <f t="shared" ref="R210:R257" si="38">ROUND((Q210*G210),2)</f>
        <v>0</v>
      </c>
      <c r="S210" s="1657" t="str">
        <f t="shared" ref="S210:S257" si="39">+IF(I210=0,"",R210/I210)</f>
        <v/>
      </c>
      <c r="T210" s="1418"/>
      <c r="U210" s="1418"/>
      <c r="V210" s="1418"/>
      <c r="W210" s="1428"/>
    </row>
    <row r="211" spans="1:23" s="1410" customFormat="1">
      <c r="B211" s="1632" t="s">
        <v>497</v>
      </c>
      <c r="C211" s="1644" t="s">
        <v>3870</v>
      </c>
      <c r="D211" s="1645"/>
      <c r="E211" s="1646"/>
      <c r="F211" s="1647"/>
      <c r="G211" s="1728"/>
      <c r="H211" s="1648">
        <f t="shared" si="33"/>
        <v>0</v>
      </c>
      <c r="I211" s="1648">
        <f t="shared" si="34"/>
        <v>0</v>
      </c>
      <c r="J211" s="1649"/>
      <c r="K211" s="1650">
        <v>0</v>
      </c>
      <c r="L211" s="1867"/>
      <c r="M211" s="1651">
        <f t="shared" si="35"/>
        <v>0</v>
      </c>
      <c r="N211" s="1652"/>
      <c r="O211" s="1653">
        <f t="shared" si="36"/>
        <v>0</v>
      </c>
      <c r="P211" s="1654" t="str">
        <f t="shared" si="37"/>
        <v/>
      </c>
      <c r="Q211" s="1655"/>
      <c r="R211" s="1656">
        <f t="shared" si="38"/>
        <v>0</v>
      </c>
      <c r="S211" s="1657" t="str">
        <f t="shared" si="39"/>
        <v/>
      </c>
      <c r="T211" s="1418"/>
      <c r="U211" s="1418"/>
      <c r="V211" s="1418"/>
      <c r="W211" s="1428"/>
    </row>
    <row r="212" spans="1:23" s="1410" customFormat="1">
      <c r="A212" s="1423"/>
      <c r="B212" s="1632" t="s">
        <v>2579</v>
      </c>
      <c r="C212" s="1644" t="s">
        <v>3871</v>
      </c>
      <c r="D212" s="1645" t="s">
        <v>2822</v>
      </c>
      <c r="E212" s="1646">
        <v>4</v>
      </c>
      <c r="F212" s="1647">
        <v>530.12</v>
      </c>
      <c r="G212" s="1728">
        <v>534.9</v>
      </c>
      <c r="H212" s="1648">
        <f t="shared" si="33"/>
        <v>2120.48</v>
      </c>
      <c r="I212" s="1648">
        <f t="shared" si="34"/>
        <v>2139.6</v>
      </c>
      <c r="J212" s="1649">
        <v>4</v>
      </c>
      <c r="K212" s="1650">
        <v>2139.6</v>
      </c>
      <c r="L212" s="1867"/>
      <c r="M212" s="1651">
        <f t="shared" si="35"/>
        <v>0</v>
      </c>
      <c r="N212" s="1652">
        <f t="shared" si="32"/>
        <v>4</v>
      </c>
      <c r="O212" s="1653">
        <f t="shared" si="36"/>
        <v>2139.6</v>
      </c>
      <c r="P212" s="1654">
        <f t="shared" si="37"/>
        <v>1</v>
      </c>
      <c r="Q212" s="1655">
        <f t="shared" si="31"/>
        <v>0</v>
      </c>
      <c r="R212" s="1656">
        <f t="shared" si="38"/>
        <v>0</v>
      </c>
      <c r="S212" s="1657">
        <f t="shared" si="39"/>
        <v>0</v>
      </c>
      <c r="T212" s="1418"/>
      <c r="U212" s="1418"/>
      <c r="V212" s="1418"/>
      <c r="W212" s="1428"/>
    </row>
    <row r="213" spans="1:23" s="1410" customFormat="1">
      <c r="A213" s="1423"/>
      <c r="B213" s="1632" t="s">
        <v>498</v>
      </c>
      <c r="C213" s="1644" t="s">
        <v>3423</v>
      </c>
      <c r="D213" s="1645"/>
      <c r="E213" s="1646"/>
      <c r="F213" s="1647"/>
      <c r="G213" s="1728"/>
      <c r="H213" s="1648">
        <f t="shared" si="33"/>
        <v>0</v>
      </c>
      <c r="I213" s="1648">
        <f t="shared" si="34"/>
        <v>0</v>
      </c>
      <c r="J213" s="1649"/>
      <c r="K213" s="1650">
        <v>0</v>
      </c>
      <c r="L213" s="1867"/>
      <c r="M213" s="1651">
        <f t="shared" si="35"/>
        <v>0</v>
      </c>
      <c r="N213" s="1652"/>
      <c r="O213" s="1653">
        <f t="shared" si="36"/>
        <v>0</v>
      </c>
      <c r="P213" s="1654" t="str">
        <f t="shared" si="37"/>
        <v/>
      </c>
      <c r="Q213" s="1655"/>
      <c r="R213" s="1656">
        <f t="shared" si="38"/>
        <v>0</v>
      </c>
      <c r="S213" s="1657" t="str">
        <f t="shared" si="39"/>
        <v/>
      </c>
      <c r="T213" s="1418"/>
      <c r="U213" s="1418"/>
      <c r="V213" s="1418"/>
      <c r="W213" s="1428"/>
    </row>
    <row r="214" spans="1:23" s="1410" customFormat="1">
      <c r="B214" s="1632" t="s">
        <v>2587</v>
      </c>
      <c r="C214" s="1644" t="s">
        <v>3434</v>
      </c>
      <c r="D214" s="1645" t="s">
        <v>2822</v>
      </c>
      <c r="E214" s="1646">
        <v>8</v>
      </c>
      <c r="F214" s="1647">
        <v>41.31</v>
      </c>
      <c r="G214" s="1728">
        <v>41.99</v>
      </c>
      <c r="H214" s="1648">
        <f t="shared" si="33"/>
        <v>330.48</v>
      </c>
      <c r="I214" s="1648">
        <f t="shared" si="34"/>
        <v>335.92</v>
      </c>
      <c r="J214" s="1649">
        <v>0</v>
      </c>
      <c r="K214" s="1650">
        <v>0</v>
      </c>
      <c r="L214" s="1867"/>
      <c r="M214" s="1651">
        <f t="shared" si="35"/>
        <v>0</v>
      </c>
      <c r="N214" s="1652">
        <f t="shared" si="32"/>
        <v>0</v>
      </c>
      <c r="O214" s="1653">
        <f t="shared" si="36"/>
        <v>0</v>
      </c>
      <c r="P214" s="1654">
        <f t="shared" si="37"/>
        <v>0</v>
      </c>
      <c r="Q214" s="1655">
        <f t="shared" si="31"/>
        <v>8</v>
      </c>
      <c r="R214" s="1656">
        <f t="shared" si="38"/>
        <v>335.92</v>
      </c>
      <c r="S214" s="1657">
        <f t="shared" si="39"/>
        <v>1</v>
      </c>
      <c r="T214" s="1418"/>
      <c r="U214" s="1418"/>
      <c r="V214" s="1418"/>
      <c r="W214" s="1428"/>
    </row>
    <row r="215" spans="1:23" s="1410" customFormat="1" ht="25.5">
      <c r="A215" s="1409"/>
      <c r="B215" s="1632" t="s">
        <v>2588</v>
      </c>
      <c r="C215" s="1644" t="s">
        <v>3439</v>
      </c>
      <c r="D215" s="1645" t="s">
        <v>2822</v>
      </c>
      <c r="E215" s="1646">
        <v>22</v>
      </c>
      <c r="F215" s="1647">
        <v>334.95</v>
      </c>
      <c r="G215" s="1728">
        <v>335.63</v>
      </c>
      <c r="H215" s="1648">
        <f t="shared" si="33"/>
        <v>7368.9</v>
      </c>
      <c r="I215" s="1648">
        <f t="shared" si="34"/>
        <v>7383.86</v>
      </c>
      <c r="J215" s="1649">
        <v>0</v>
      </c>
      <c r="K215" s="1650">
        <v>0</v>
      </c>
      <c r="L215" s="1867"/>
      <c r="M215" s="1651">
        <f t="shared" si="35"/>
        <v>0</v>
      </c>
      <c r="N215" s="1652">
        <f t="shared" si="32"/>
        <v>0</v>
      </c>
      <c r="O215" s="1653">
        <f t="shared" si="36"/>
        <v>0</v>
      </c>
      <c r="P215" s="1654">
        <f t="shared" si="37"/>
        <v>0</v>
      </c>
      <c r="Q215" s="1655">
        <f t="shared" si="31"/>
        <v>22</v>
      </c>
      <c r="R215" s="1656">
        <f t="shared" si="38"/>
        <v>7383.86</v>
      </c>
      <c r="S215" s="1657">
        <f t="shared" si="39"/>
        <v>1</v>
      </c>
      <c r="T215" s="1418"/>
      <c r="U215" s="1418"/>
      <c r="V215" s="1418"/>
      <c r="W215" s="1428"/>
    </row>
    <row r="216" spans="1:23" s="1410" customFormat="1">
      <c r="A216" s="1423"/>
      <c r="B216" s="1725" t="s">
        <v>1031</v>
      </c>
      <c r="C216" s="1721" t="s">
        <v>3872</v>
      </c>
      <c r="D216" s="1645"/>
      <c r="E216" s="1646"/>
      <c r="F216" s="1647"/>
      <c r="G216" s="1728"/>
      <c r="H216" s="1648">
        <f t="shared" si="33"/>
        <v>0</v>
      </c>
      <c r="I216" s="1648">
        <f t="shared" si="34"/>
        <v>0</v>
      </c>
      <c r="J216" s="1649"/>
      <c r="K216" s="1650">
        <v>0</v>
      </c>
      <c r="L216" s="1867"/>
      <c r="M216" s="1651">
        <f t="shared" si="35"/>
        <v>0</v>
      </c>
      <c r="N216" s="1652"/>
      <c r="O216" s="1653">
        <f t="shared" si="36"/>
        <v>0</v>
      </c>
      <c r="P216" s="1654" t="str">
        <f t="shared" si="37"/>
        <v/>
      </c>
      <c r="Q216" s="1655"/>
      <c r="R216" s="1656">
        <f t="shared" si="38"/>
        <v>0</v>
      </c>
      <c r="S216" s="1657" t="str">
        <f t="shared" si="39"/>
        <v/>
      </c>
      <c r="T216" s="1418"/>
      <c r="U216" s="1418"/>
      <c r="V216" s="1418"/>
      <c r="W216" s="1428"/>
    </row>
    <row r="217" spans="1:23" s="1410" customFormat="1">
      <c r="B217" s="1632" t="s">
        <v>2602</v>
      </c>
      <c r="C217" s="1644" t="s">
        <v>3443</v>
      </c>
      <c r="D217" s="1645" t="s">
        <v>38</v>
      </c>
      <c r="E217" s="1646">
        <v>135</v>
      </c>
      <c r="F217" s="1647">
        <v>7.31</v>
      </c>
      <c r="G217" s="1728">
        <v>7.49</v>
      </c>
      <c r="H217" s="1648">
        <f t="shared" si="33"/>
        <v>986.85</v>
      </c>
      <c r="I217" s="1648">
        <f t="shared" si="34"/>
        <v>1011.15</v>
      </c>
      <c r="J217" s="1649">
        <v>135</v>
      </c>
      <c r="K217" s="1650">
        <v>1011.15</v>
      </c>
      <c r="L217" s="1867"/>
      <c r="M217" s="1651">
        <f t="shared" si="35"/>
        <v>0</v>
      </c>
      <c r="N217" s="1652">
        <f t="shared" si="32"/>
        <v>135</v>
      </c>
      <c r="O217" s="1653">
        <f t="shared" si="36"/>
        <v>1011.15</v>
      </c>
      <c r="P217" s="1654">
        <f t="shared" si="37"/>
        <v>1</v>
      </c>
      <c r="Q217" s="1655">
        <f t="shared" si="31"/>
        <v>0</v>
      </c>
      <c r="R217" s="1656">
        <f t="shared" si="38"/>
        <v>0</v>
      </c>
      <c r="S217" s="1657">
        <f t="shared" si="39"/>
        <v>0</v>
      </c>
      <c r="T217" s="1418"/>
      <c r="U217" s="1418"/>
      <c r="V217" s="1418"/>
      <c r="W217" s="1428"/>
    </row>
    <row r="218" spans="1:23" s="1410" customFormat="1">
      <c r="A218" s="1409"/>
      <c r="B218" s="1632" t="s">
        <v>2603</v>
      </c>
      <c r="C218" s="1644" t="s">
        <v>3873</v>
      </c>
      <c r="D218" s="1645" t="s">
        <v>36</v>
      </c>
      <c r="E218" s="1646">
        <v>25</v>
      </c>
      <c r="F218" s="1647">
        <v>5.67</v>
      </c>
      <c r="G218" s="1728">
        <v>5.8</v>
      </c>
      <c r="H218" s="1648">
        <f t="shared" si="33"/>
        <v>141.75</v>
      </c>
      <c r="I218" s="1648">
        <f t="shared" si="34"/>
        <v>145</v>
      </c>
      <c r="J218" s="1649">
        <v>25</v>
      </c>
      <c r="K218" s="1650">
        <v>145</v>
      </c>
      <c r="L218" s="1867"/>
      <c r="M218" s="1651">
        <f t="shared" si="35"/>
        <v>0</v>
      </c>
      <c r="N218" s="1652">
        <f t="shared" si="32"/>
        <v>25</v>
      </c>
      <c r="O218" s="1653">
        <f t="shared" si="36"/>
        <v>145</v>
      </c>
      <c r="P218" s="1654">
        <f t="shared" si="37"/>
        <v>1</v>
      </c>
      <c r="Q218" s="1655">
        <f t="shared" si="31"/>
        <v>0</v>
      </c>
      <c r="R218" s="1656">
        <f t="shared" si="38"/>
        <v>0</v>
      </c>
      <c r="S218" s="1657">
        <f t="shared" si="39"/>
        <v>0</v>
      </c>
      <c r="T218" s="1418"/>
      <c r="U218" s="1418"/>
      <c r="V218" s="1418"/>
      <c r="W218" s="1428"/>
    </row>
    <row r="219" spans="1:23" s="1410" customFormat="1">
      <c r="A219" s="1423"/>
      <c r="B219" s="1632" t="s">
        <v>2604</v>
      </c>
      <c r="C219" s="1644" t="s">
        <v>3874</v>
      </c>
      <c r="D219" s="1645" t="s">
        <v>36</v>
      </c>
      <c r="E219" s="1646">
        <v>20</v>
      </c>
      <c r="F219" s="1647">
        <v>5.46</v>
      </c>
      <c r="G219" s="1728">
        <v>5.59</v>
      </c>
      <c r="H219" s="1648">
        <f t="shared" si="33"/>
        <v>109.2</v>
      </c>
      <c r="I219" s="1648">
        <f t="shared" si="34"/>
        <v>111.8</v>
      </c>
      <c r="J219" s="1649">
        <v>20</v>
      </c>
      <c r="K219" s="1650">
        <v>111.8</v>
      </c>
      <c r="L219" s="1867"/>
      <c r="M219" s="1651">
        <f t="shared" si="35"/>
        <v>0</v>
      </c>
      <c r="N219" s="1652">
        <f t="shared" si="32"/>
        <v>20</v>
      </c>
      <c r="O219" s="1653">
        <f t="shared" si="36"/>
        <v>111.8</v>
      </c>
      <c r="P219" s="1654">
        <f t="shared" si="37"/>
        <v>1</v>
      </c>
      <c r="Q219" s="1655">
        <f t="shared" si="31"/>
        <v>0</v>
      </c>
      <c r="R219" s="1656">
        <f t="shared" si="38"/>
        <v>0</v>
      </c>
      <c r="S219" s="1657">
        <f t="shared" si="39"/>
        <v>0</v>
      </c>
      <c r="T219" s="1418"/>
      <c r="U219" s="1418"/>
      <c r="V219" s="1418"/>
      <c r="W219" s="1428"/>
    </row>
    <row r="220" spans="1:23" s="1410" customFormat="1">
      <c r="B220" s="1725" t="s">
        <v>1032</v>
      </c>
      <c r="C220" s="1721" t="s">
        <v>3875</v>
      </c>
      <c r="D220" s="1645"/>
      <c r="E220" s="1646"/>
      <c r="F220" s="1647"/>
      <c r="G220" s="1728"/>
      <c r="H220" s="1648">
        <f t="shared" si="33"/>
        <v>0</v>
      </c>
      <c r="I220" s="1648">
        <f t="shared" si="34"/>
        <v>0</v>
      </c>
      <c r="J220" s="1649"/>
      <c r="K220" s="1650">
        <v>0</v>
      </c>
      <c r="L220" s="1867"/>
      <c r="M220" s="1651">
        <f t="shared" si="35"/>
        <v>0</v>
      </c>
      <c r="N220" s="1652"/>
      <c r="O220" s="1653">
        <f t="shared" si="36"/>
        <v>0</v>
      </c>
      <c r="P220" s="1654" t="str">
        <f t="shared" si="37"/>
        <v/>
      </c>
      <c r="Q220" s="1655"/>
      <c r="R220" s="1656">
        <f t="shared" si="38"/>
        <v>0</v>
      </c>
      <c r="S220" s="1657" t="str">
        <f t="shared" si="39"/>
        <v/>
      </c>
      <c r="T220" s="1418"/>
      <c r="U220" s="1418"/>
      <c r="V220" s="1418"/>
      <c r="W220" s="1428"/>
    </row>
    <row r="221" spans="1:23" s="1410" customFormat="1">
      <c r="A221" s="1423"/>
      <c r="B221" s="1632" t="s">
        <v>3876</v>
      </c>
      <c r="C221" s="1644" t="s">
        <v>3877</v>
      </c>
      <c r="D221" s="1645" t="s">
        <v>3878</v>
      </c>
      <c r="E221" s="1646">
        <v>464</v>
      </c>
      <c r="F221" s="1647">
        <v>8.2100000000000009</v>
      </c>
      <c r="G221" s="1728">
        <v>8.41</v>
      </c>
      <c r="H221" s="1648">
        <f t="shared" si="33"/>
        <v>3809.44</v>
      </c>
      <c r="I221" s="1648">
        <f t="shared" si="34"/>
        <v>3902.24</v>
      </c>
      <c r="J221" s="1649">
        <v>464</v>
      </c>
      <c r="K221" s="1650">
        <v>3902.2400000000002</v>
      </c>
      <c r="L221" s="1867"/>
      <c r="M221" s="1651">
        <f t="shared" si="35"/>
        <v>0</v>
      </c>
      <c r="N221" s="1652">
        <f t="shared" si="32"/>
        <v>464</v>
      </c>
      <c r="O221" s="1653">
        <f t="shared" si="36"/>
        <v>3902.2400000000002</v>
      </c>
      <c r="P221" s="1654">
        <f t="shared" si="37"/>
        <v>1.0000000000000002</v>
      </c>
      <c r="Q221" s="1655">
        <f t="shared" si="31"/>
        <v>0</v>
      </c>
      <c r="R221" s="1656">
        <f t="shared" si="38"/>
        <v>0</v>
      </c>
      <c r="S221" s="1657">
        <f t="shared" si="39"/>
        <v>0</v>
      </c>
      <c r="T221" s="1418"/>
      <c r="U221" s="1418"/>
      <c r="V221" s="1418"/>
      <c r="W221" s="1428"/>
    </row>
    <row r="222" spans="1:23" s="1410" customFormat="1">
      <c r="A222" s="1423"/>
      <c r="B222" s="1632" t="s">
        <v>3879</v>
      </c>
      <c r="C222" s="1644" t="s">
        <v>3880</v>
      </c>
      <c r="D222" s="1645" t="s">
        <v>3878</v>
      </c>
      <c r="E222" s="1646">
        <v>461</v>
      </c>
      <c r="F222" s="1647">
        <v>7.64</v>
      </c>
      <c r="G222" s="1728">
        <v>7.84</v>
      </c>
      <c r="H222" s="1648">
        <f t="shared" si="33"/>
        <v>3522.04</v>
      </c>
      <c r="I222" s="1648">
        <f t="shared" si="34"/>
        <v>3614.24</v>
      </c>
      <c r="J222" s="1649">
        <v>461</v>
      </c>
      <c r="K222" s="1650">
        <v>3614.24</v>
      </c>
      <c r="L222" s="1867"/>
      <c r="M222" s="1651">
        <f t="shared" si="35"/>
        <v>0</v>
      </c>
      <c r="N222" s="1652">
        <f t="shared" si="32"/>
        <v>461</v>
      </c>
      <c r="O222" s="1653">
        <f t="shared" si="36"/>
        <v>3614.24</v>
      </c>
      <c r="P222" s="1654">
        <f t="shared" si="37"/>
        <v>1</v>
      </c>
      <c r="Q222" s="1655">
        <f t="shared" si="31"/>
        <v>0</v>
      </c>
      <c r="R222" s="1656">
        <f t="shared" si="38"/>
        <v>0</v>
      </c>
      <c r="S222" s="1657">
        <f t="shared" si="39"/>
        <v>0</v>
      </c>
      <c r="T222" s="1418"/>
      <c r="U222" s="1418"/>
      <c r="V222" s="1418"/>
      <c r="W222" s="1428"/>
    </row>
    <row r="223" spans="1:23" s="1410" customFormat="1">
      <c r="B223" s="1725" t="s">
        <v>499</v>
      </c>
      <c r="C223" s="1721" t="s">
        <v>3881</v>
      </c>
      <c r="D223" s="1645"/>
      <c r="E223" s="1646"/>
      <c r="F223" s="1647"/>
      <c r="G223" s="1728"/>
      <c r="H223" s="1648">
        <f t="shared" si="33"/>
        <v>0</v>
      </c>
      <c r="I223" s="1648">
        <f t="shared" si="34"/>
        <v>0</v>
      </c>
      <c r="J223" s="1649">
        <v>0</v>
      </c>
      <c r="K223" s="1650">
        <v>0</v>
      </c>
      <c r="L223" s="1867"/>
      <c r="M223" s="1651">
        <f t="shared" si="35"/>
        <v>0</v>
      </c>
      <c r="N223" s="1652">
        <f t="shared" si="32"/>
        <v>0</v>
      </c>
      <c r="O223" s="1653">
        <f t="shared" si="36"/>
        <v>0</v>
      </c>
      <c r="P223" s="1654" t="str">
        <f t="shared" si="37"/>
        <v/>
      </c>
      <c r="Q223" s="1655">
        <f t="shared" si="31"/>
        <v>0</v>
      </c>
      <c r="R223" s="1656">
        <f t="shared" si="38"/>
        <v>0</v>
      </c>
      <c r="S223" s="1657" t="str">
        <f t="shared" si="39"/>
        <v/>
      </c>
      <c r="T223" s="1418"/>
      <c r="U223" s="1418"/>
      <c r="V223" s="1418"/>
      <c r="W223" s="1428"/>
    </row>
    <row r="224" spans="1:23" s="1410" customFormat="1">
      <c r="A224" s="1409"/>
      <c r="B224" s="1725" t="s">
        <v>500</v>
      </c>
      <c r="C224" s="1721" t="s">
        <v>3882</v>
      </c>
      <c r="D224" s="1645"/>
      <c r="E224" s="1646"/>
      <c r="F224" s="1647"/>
      <c r="G224" s="1728"/>
      <c r="H224" s="1648">
        <f t="shared" si="33"/>
        <v>0</v>
      </c>
      <c r="I224" s="1648">
        <f t="shared" si="34"/>
        <v>0</v>
      </c>
      <c r="J224" s="1649"/>
      <c r="K224" s="1650">
        <v>0</v>
      </c>
      <c r="L224" s="1867"/>
      <c r="M224" s="1651">
        <f t="shared" si="35"/>
        <v>0</v>
      </c>
      <c r="N224" s="1652"/>
      <c r="O224" s="1653">
        <f t="shared" si="36"/>
        <v>0</v>
      </c>
      <c r="P224" s="1654" t="str">
        <f t="shared" si="37"/>
        <v/>
      </c>
      <c r="Q224" s="1655"/>
      <c r="R224" s="1656">
        <f t="shared" si="38"/>
        <v>0</v>
      </c>
      <c r="S224" s="1657" t="str">
        <f t="shared" si="39"/>
        <v/>
      </c>
      <c r="T224" s="1418"/>
      <c r="U224" s="1418"/>
      <c r="V224" s="1418"/>
      <c r="W224" s="1428"/>
    </row>
    <row r="225" spans="1:23" s="1410" customFormat="1">
      <c r="A225" s="1423"/>
      <c r="B225" s="1632" t="s">
        <v>2609</v>
      </c>
      <c r="C225" s="1644" t="s">
        <v>3883</v>
      </c>
      <c r="D225" s="1645" t="s">
        <v>36</v>
      </c>
      <c r="E225" s="1646">
        <v>468.34</v>
      </c>
      <c r="F225" s="1647">
        <v>6.34</v>
      </c>
      <c r="G225" s="1728">
        <v>6.46</v>
      </c>
      <c r="H225" s="1648">
        <f t="shared" si="33"/>
        <v>2969.28</v>
      </c>
      <c r="I225" s="1648">
        <f t="shared" si="34"/>
        <v>3025.48</v>
      </c>
      <c r="J225" s="1649">
        <v>468.34</v>
      </c>
      <c r="K225" s="1650">
        <v>3025.4764</v>
      </c>
      <c r="L225" s="1867"/>
      <c r="M225" s="1651">
        <f t="shared" si="35"/>
        <v>0</v>
      </c>
      <c r="N225" s="1652">
        <f t="shared" si="32"/>
        <v>468.34</v>
      </c>
      <c r="O225" s="1653">
        <f t="shared" si="36"/>
        <v>3025.4764</v>
      </c>
      <c r="P225" s="1654">
        <f t="shared" si="37"/>
        <v>0.99999881010616498</v>
      </c>
      <c r="Q225" s="1655">
        <f t="shared" si="31"/>
        <v>0</v>
      </c>
      <c r="R225" s="1656">
        <f t="shared" si="38"/>
        <v>0</v>
      </c>
      <c r="S225" s="1657">
        <f t="shared" si="39"/>
        <v>0</v>
      </c>
      <c r="T225" s="1418"/>
      <c r="U225" s="1418"/>
      <c r="V225" s="1418"/>
      <c r="W225" s="1428"/>
    </row>
    <row r="226" spans="1:23" s="1410" customFormat="1">
      <c r="B226" s="1632" t="s">
        <v>2610</v>
      </c>
      <c r="C226" s="1644" t="s">
        <v>3884</v>
      </c>
      <c r="D226" s="1645" t="s">
        <v>36</v>
      </c>
      <c r="E226" s="1646">
        <v>235</v>
      </c>
      <c r="F226" s="1647">
        <v>3.96</v>
      </c>
      <c r="G226" s="1728">
        <v>4.09</v>
      </c>
      <c r="H226" s="1648">
        <f t="shared" si="33"/>
        <v>930.6</v>
      </c>
      <c r="I226" s="1648">
        <f t="shared" si="34"/>
        <v>961.15</v>
      </c>
      <c r="J226" s="1649">
        <v>235</v>
      </c>
      <c r="K226" s="1650">
        <v>961.15</v>
      </c>
      <c r="L226" s="1867"/>
      <c r="M226" s="1651">
        <f t="shared" si="35"/>
        <v>0</v>
      </c>
      <c r="N226" s="1652">
        <f t="shared" si="32"/>
        <v>235</v>
      </c>
      <c r="O226" s="1653">
        <f t="shared" si="36"/>
        <v>961.15</v>
      </c>
      <c r="P226" s="1654">
        <f t="shared" si="37"/>
        <v>1</v>
      </c>
      <c r="Q226" s="1655">
        <f t="shared" si="31"/>
        <v>0</v>
      </c>
      <c r="R226" s="1656">
        <f t="shared" si="38"/>
        <v>0</v>
      </c>
      <c r="S226" s="1657">
        <f t="shared" si="39"/>
        <v>0</v>
      </c>
      <c r="T226" s="1418"/>
      <c r="U226" s="1418"/>
      <c r="V226" s="1418"/>
      <c r="W226" s="1428"/>
    </row>
    <row r="227" spans="1:23" s="1410" customFormat="1">
      <c r="A227" s="1409"/>
      <c r="B227" s="1725" t="s">
        <v>501</v>
      </c>
      <c r="C227" s="1721" t="s">
        <v>3875</v>
      </c>
      <c r="D227" s="1645"/>
      <c r="E227" s="1646"/>
      <c r="F227" s="1647"/>
      <c r="G227" s="1728"/>
      <c r="H227" s="1648">
        <f t="shared" si="33"/>
        <v>0</v>
      </c>
      <c r="I227" s="1648">
        <f t="shared" si="34"/>
        <v>0</v>
      </c>
      <c r="J227" s="1649"/>
      <c r="K227" s="1650">
        <v>0</v>
      </c>
      <c r="L227" s="1867"/>
      <c r="M227" s="1651">
        <f t="shared" si="35"/>
        <v>0</v>
      </c>
      <c r="N227" s="1652"/>
      <c r="O227" s="1653">
        <f t="shared" si="36"/>
        <v>0</v>
      </c>
      <c r="P227" s="1654" t="str">
        <f t="shared" si="37"/>
        <v/>
      </c>
      <c r="Q227" s="1655"/>
      <c r="R227" s="1656">
        <f t="shared" si="38"/>
        <v>0</v>
      </c>
      <c r="S227" s="1657" t="str">
        <f t="shared" si="39"/>
        <v/>
      </c>
      <c r="T227" s="1418"/>
      <c r="U227" s="1418"/>
      <c r="V227" s="1418"/>
      <c r="W227" s="1428"/>
    </row>
    <row r="228" spans="1:23" s="1410" customFormat="1">
      <c r="A228" s="1423"/>
      <c r="B228" s="1632" t="s">
        <v>2613</v>
      </c>
      <c r="C228" s="1644" t="s">
        <v>3455</v>
      </c>
      <c r="D228" s="1645" t="s">
        <v>3878</v>
      </c>
      <c r="E228" s="1646">
        <v>936.38</v>
      </c>
      <c r="F228" s="1647">
        <v>8.2100000000000009</v>
      </c>
      <c r="G228" s="1728">
        <v>8.4499999999999993</v>
      </c>
      <c r="H228" s="1648">
        <f t="shared" si="33"/>
        <v>7687.68</v>
      </c>
      <c r="I228" s="1648">
        <f t="shared" si="34"/>
        <v>7912.41</v>
      </c>
      <c r="J228" s="1649">
        <v>936.38</v>
      </c>
      <c r="K228" s="1650">
        <v>7912.4109999999991</v>
      </c>
      <c r="L228" s="1867"/>
      <c r="M228" s="1651">
        <f t="shared" si="35"/>
        <v>0</v>
      </c>
      <c r="N228" s="1652">
        <f t="shared" si="32"/>
        <v>936.38</v>
      </c>
      <c r="O228" s="1653">
        <f t="shared" si="36"/>
        <v>7912.4109999999991</v>
      </c>
      <c r="P228" s="1654">
        <f t="shared" si="37"/>
        <v>1.0000001263837439</v>
      </c>
      <c r="Q228" s="1655">
        <f t="shared" si="31"/>
        <v>0</v>
      </c>
      <c r="R228" s="1656">
        <f t="shared" si="38"/>
        <v>0</v>
      </c>
      <c r="S228" s="1657">
        <f t="shared" si="39"/>
        <v>0</v>
      </c>
      <c r="T228" s="1418"/>
      <c r="U228" s="1418"/>
      <c r="V228" s="1418"/>
      <c r="W228" s="1428"/>
    </row>
    <row r="229" spans="1:23" s="1410" customFormat="1">
      <c r="B229" s="1632" t="s">
        <v>2614</v>
      </c>
      <c r="C229" s="1644" t="s">
        <v>3456</v>
      </c>
      <c r="D229" s="1645" t="s">
        <v>3878</v>
      </c>
      <c r="E229" s="1646">
        <v>468.34</v>
      </c>
      <c r="F229" s="1647">
        <v>7.64</v>
      </c>
      <c r="G229" s="1728">
        <v>7.88</v>
      </c>
      <c r="H229" s="1648">
        <f t="shared" si="33"/>
        <v>3578.12</v>
      </c>
      <c r="I229" s="1648">
        <f t="shared" si="34"/>
        <v>3690.52</v>
      </c>
      <c r="J229" s="1649">
        <v>468.34</v>
      </c>
      <c r="K229" s="1650">
        <v>3690.5191999999997</v>
      </c>
      <c r="L229" s="1867"/>
      <c r="M229" s="1651">
        <f t="shared" si="35"/>
        <v>0</v>
      </c>
      <c r="N229" s="1652">
        <f t="shared" si="32"/>
        <v>468.34</v>
      </c>
      <c r="O229" s="1653">
        <f t="shared" si="36"/>
        <v>3690.5191999999997</v>
      </c>
      <c r="P229" s="1654">
        <f t="shared" si="37"/>
        <v>0.99999978322837968</v>
      </c>
      <c r="Q229" s="1655">
        <f t="shared" si="31"/>
        <v>0</v>
      </c>
      <c r="R229" s="1656">
        <f t="shared" si="38"/>
        <v>0</v>
      </c>
      <c r="S229" s="1657">
        <f t="shared" si="39"/>
        <v>0</v>
      </c>
      <c r="T229" s="1418"/>
      <c r="U229" s="1418"/>
      <c r="V229" s="1418"/>
      <c r="W229" s="1428"/>
    </row>
    <row r="230" spans="1:23" s="1410" customFormat="1">
      <c r="A230" s="1423"/>
      <c r="B230" s="1725" t="s">
        <v>502</v>
      </c>
      <c r="C230" s="1721" t="s">
        <v>3885</v>
      </c>
      <c r="D230" s="1645"/>
      <c r="E230" s="1646"/>
      <c r="F230" s="1647"/>
      <c r="G230" s="1728"/>
      <c r="H230" s="1648">
        <f t="shared" si="33"/>
        <v>0</v>
      </c>
      <c r="I230" s="1648">
        <f t="shared" si="34"/>
        <v>0</v>
      </c>
      <c r="J230" s="1649"/>
      <c r="K230" s="1650">
        <v>0</v>
      </c>
      <c r="L230" s="1867"/>
      <c r="M230" s="1651">
        <f t="shared" si="35"/>
        <v>0</v>
      </c>
      <c r="N230" s="1652"/>
      <c r="O230" s="1653">
        <f t="shared" si="36"/>
        <v>0</v>
      </c>
      <c r="P230" s="1654" t="str">
        <f t="shared" si="37"/>
        <v/>
      </c>
      <c r="Q230" s="1655"/>
      <c r="R230" s="1656">
        <f t="shared" si="38"/>
        <v>0</v>
      </c>
      <c r="S230" s="1657" t="str">
        <f t="shared" si="39"/>
        <v/>
      </c>
      <c r="T230" s="1418"/>
      <c r="U230" s="1418"/>
      <c r="V230" s="1418"/>
      <c r="W230" s="1428"/>
    </row>
    <row r="231" spans="1:23" s="1410" customFormat="1">
      <c r="A231" s="1423"/>
      <c r="B231" s="1632" t="s">
        <v>2619</v>
      </c>
      <c r="C231" s="1644" t="s">
        <v>3458</v>
      </c>
      <c r="D231" s="1645" t="s">
        <v>1451</v>
      </c>
      <c r="E231" s="1646">
        <v>97</v>
      </c>
      <c r="F231" s="1647">
        <v>91.08</v>
      </c>
      <c r="G231" s="1728">
        <v>93.13</v>
      </c>
      <c r="H231" s="1648">
        <f t="shared" si="33"/>
        <v>8834.76</v>
      </c>
      <c r="I231" s="1648">
        <f t="shared" si="34"/>
        <v>9033.61</v>
      </c>
      <c r="J231" s="1649">
        <v>97</v>
      </c>
      <c r="K231" s="1650">
        <v>9033.6099999999988</v>
      </c>
      <c r="L231" s="1867"/>
      <c r="M231" s="1651">
        <f t="shared" si="35"/>
        <v>0</v>
      </c>
      <c r="N231" s="1652">
        <f t="shared" si="32"/>
        <v>97</v>
      </c>
      <c r="O231" s="1653">
        <f t="shared" si="36"/>
        <v>9033.6099999999988</v>
      </c>
      <c r="P231" s="1654">
        <f t="shared" si="37"/>
        <v>0.99999999999999978</v>
      </c>
      <c r="Q231" s="1655">
        <f t="shared" si="31"/>
        <v>0</v>
      </c>
      <c r="R231" s="1656">
        <f t="shared" si="38"/>
        <v>0</v>
      </c>
      <c r="S231" s="1657">
        <f t="shared" si="39"/>
        <v>0</v>
      </c>
      <c r="T231" s="1418"/>
      <c r="U231" s="1418"/>
      <c r="V231" s="1418"/>
      <c r="W231" s="1428"/>
    </row>
    <row r="232" spans="1:23" s="1410" customFormat="1">
      <c r="B232" s="1632" t="s">
        <v>2620</v>
      </c>
      <c r="C232" s="1644" t="s">
        <v>3886</v>
      </c>
      <c r="D232" s="1645" t="s">
        <v>36</v>
      </c>
      <c r="E232" s="1646">
        <v>97</v>
      </c>
      <c r="F232" s="1647">
        <v>53.16</v>
      </c>
      <c r="G232" s="1728">
        <v>55.2</v>
      </c>
      <c r="H232" s="1648">
        <f t="shared" si="33"/>
        <v>5156.5200000000004</v>
      </c>
      <c r="I232" s="1648">
        <f t="shared" si="34"/>
        <v>5354.4</v>
      </c>
      <c r="J232" s="1649">
        <v>97</v>
      </c>
      <c r="K232" s="1650">
        <v>5354.4000000000005</v>
      </c>
      <c r="L232" s="1867"/>
      <c r="M232" s="1651">
        <f t="shared" si="35"/>
        <v>0</v>
      </c>
      <c r="N232" s="1652">
        <f t="shared" si="32"/>
        <v>97</v>
      </c>
      <c r="O232" s="1653">
        <f t="shared" si="36"/>
        <v>5354.4000000000005</v>
      </c>
      <c r="P232" s="1654">
        <f t="shared" si="37"/>
        <v>1.0000000000000002</v>
      </c>
      <c r="Q232" s="1655">
        <f t="shared" si="31"/>
        <v>0</v>
      </c>
      <c r="R232" s="1656">
        <f t="shared" si="38"/>
        <v>0</v>
      </c>
      <c r="S232" s="1657">
        <f t="shared" si="39"/>
        <v>0</v>
      </c>
      <c r="T232" s="1418"/>
      <c r="U232" s="1418"/>
      <c r="V232" s="1418"/>
      <c r="W232" s="1428"/>
    </row>
    <row r="233" spans="1:23" s="1410" customFormat="1">
      <c r="A233" s="1409"/>
      <c r="B233" s="1725" t="s">
        <v>504</v>
      </c>
      <c r="C233" s="1721" t="s">
        <v>3887</v>
      </c>
      <c r="D233" s="1645"/>
      <c r="E233" s="1646"/>
      <c r="F233" s="1647"/>
      <c r="G233" s="1728"/>
      <c r="H233" s="1648">
        <f t="shared" si="33"/>
        <v>0</v>
      </c>
      <c r="I233" s="1648">
        <f t="shared" si="34"/>
        <v>0</v>
      </c>
      <c r="J233" s="1649">
        <v>0</v>
      </c>
      <c r="K233" s="1650">
        <v>0</v>
      </c>
      <c r="L233" s="1867"/>
      <c r="M233" s="1651">
        <f t="shared" si="35"/>
        <v>0</v>
      </c>
      <c r="N233" s="1652">
        <f t="shared" si="32"/>
        <v>0</v>
      </c>
      <c r="O233" s="1653">
        <f t="shared" si="36"/>
        <v>0</v>
      </c>
      <c r="P233" s="1654" t="str">
        <f t="shared" si="37"/>
        <v/>
      </c>
      <c r="Q233" s="1655">
        <f t="shared" si="31"/>
        <v>0</v>
      </c>
      <c r="R233" s="1656">
        <f t="shared" si="38"/>
        <v>0</v>
      </c>
      <c r="S233" s="1657" t="str">
        <f t="shared" si="39"/>
        <v/>
      </c>
      <c r="T233" s="1418"/>
      <c r="U233" s="1418"/>
      <c r="V233" s="1418"/>
      <c r="W233" s="1428"/>
    </row>
    <row r="234" spans="1:23" s="1410" customFormat="1">
      <c r="A234" s="1423"/>
      <c r="B234" s="1725" t="s">
        <v>505</v>
      </c>
      <c r="C234" s="1721" t="s">
        <v>3888</v>
      </c>
      <c r="D234" s="1645"/>
      <c r="E234" s="1646"/>
      <c r="F234" s="1647"/>
      <c r="G234" s="1728"/>
      <c r="H234" s="1648">
        <f t="shared" si="33"/>
        <v>0</v>
      </c>
      <c r="I234" s="1648">
        <f t="shared" si="34"/>
        <v>0</v>
      </c>
      <c r="J234" s="1649"/>
      <c r="K234" s="1650">
        <v>0</v>
      </c>
      <c r="L234" s="1867"/>
      <c r="M234" s="1651">
        <f t="shared" si="35"/>
        <v>0</v>
      </c>
      <c r="N234" s="1652"/>
      <c r="O234" s="1653">
        <f t="shared" si="36"/>
        <v>0</v>
      </c>
      <c r="P234" s="1654" t="str">
        <f t="shared" si="37"/>
        <v/>
      </c>
      <c r="Q234" s="1655"/>
      <c r="R234" s="1656">
        <f t="shared" si="38"/>
        <v>0</v>
      </c>
      <c r="S234" s="1657" t="str">
        <f t="shared" si="39"/>
        <v/>
      </c>
      <c r="T234" s="1418"/>
      <c r="U234" s="1418"/>
      <c r="V234" s="1418"/>
      <c r="W234" s="1428"/>
    </row>
    <row r="235" spans="1:23" s="1410" customFormat="1" ht="25.5">
      <c r="B235" s="1632" t="s">
        <v>3889</v>
      </c>
      <c r="C235" s="1644" t="s">
        <v>3890</v>
      </c>
      <c r="D235" s="1645" t="s">
        <v>36</v>
      </c>
      <c r="E235" s="1646">
        <v>465</v>
      </c>
      <c r="F235" s="1647">
        <v>313.39999999999998</v>
      </c>
      <c r="G235" s="1728">
        <v>314.77999999999997</v>
      </c>
      <c r="H235" s="1648">
        <f t="shared" si="33"/>
        <v>145731</v>
      </c>
      <c r="I235" s="1648">
        <f t="shared" si="34"/>
        <v>146372.70000000001</v>
      </c>
      <c r="J235" s="1649">
        <v>0</v>
      </c>
      <c r="K235" s="1650">
        <v>0</v>
      </c>
      <c r="L235" s="1867"/>
      <c r="M235" s="1651">
        <f t="shared" si="35"/>
        <v>0</v>
      </c>
      <c r="N235" s="1652">
        <f t="shared" si="32"/>
        <v>0</v>
      </c>
      <c r="O235" s="1653">
        <f t="shared" si="36"/>
        <v>0</v>
      </c>
      <c r="P235" s="1654">
        <f t="shared" si="37"/>
        <v>0</v>
      </c>
      <c r="Q235" s="1655">
        <f t="shared" si="31"/>
        <v>465</v>
      </c>
      <c r="R235" s="1656">
        <f t="shared" si="38"/>
        <v>146372.70000000001</v>
      </c>
      <c r="S235" s="1657">
        <f t="shared" si="39"/>
        <v>1</v>
      </c>
      <c r="T235" s="1418"/>
      <c r="U235" s="1418"/>
      <c r="V235" s="1418"/>
      <c r="W235" s="1428"/>
    </row>
    <row r="236" spans="1:23" s="1410" customFormat="1" ht="25.5">
      <c r="A236" s="1409"/>
      <c r="B236" s="1632" t="s">
        <v>3891</v>
      </c>
      <c r="C236" s="1644" t="s">
        <v>3892</v>
      </c>
      <c r="D236" s="1645" t="s">
        <v>36</v>
      </c>
      <c r="E236" s="1646">
        <v>243</v>
      </c>
      <c r="F236" s="1647">
        <v>88.17</v>
      </c>
      <c r="G236" s="1728">
        <v>89.55</v>
      </c>
      <c r="H236" s="1648">
        <f t="shared" si="33"/>
        <v>21425.31</v>
      </c>
      <c r="I236" s="1648">
        <f t="shared" si="34"/>
        <v>21760.65</v>
      </c>
      <c r="J236" s="1649">
        <v>0</v>
      </c>
      <c r="K236" s="1650">
        <v>0</v>
      </c>
      <c r="L236" s="1867"/>
      <c r="M236" s="1651">
        <f t="shared" si="35"/>
        <v>0</v>
      </c>
      <c r="N236" s="1652">
        <f t="shared" si="32"/>
        <v>0</v>
      </c>
      <c r="O236" s="1653">
        <f t="shared" si="36"/>
        <v>0</v>
      </c>
      <c r="P236" s="1654">
        <f t="shared" si="37"/>
        <v>0</v>
      </c>
      <c r="Q236" s="1655">
        <f t="shared" si="31"/>
        <v>243</v>
      </c>
      <c r="R236" s="1656">
        <f t="shared" si="38"/>
        <v>21760.65</v>
      </c>
      <c r="S236" s="1657">
        <f t="shared" si="39"/>
        <v>1</v>
      </c>
      <c r="T236" s="1418"/>
      <c r="U236" s="1418"/>
      <c r="V236" s="1418"/>
      <c r="W236" s="1428"/>
    </row>
    <row r="237" spans="1:23" s="1410" customFormat="1" ht="25.5">
      <c r="A237" s="1423"/>
      <c r="B237" s="1632" t="s">
        <v>3893</v>
      </c>
      <c r="C237" s="1644" t="s">
        <v>3894</v>
      </c>
      <c r="D237" s="1645" t="s">
        <v>36</v>
      </c>
      <c r="E237" s="1646">
        <v>51</v>
      </c>
      <c r="F237" s="1647">
        <v>143.16999999999999</v>
      </c>
      <c r="G237" s="1728">
        <v>144.55000000000001</v>
      </c>
      <c r="H237" s="1648">
        <f t="shared" si="33"/>
        <v>7301.67</v>
      </c>
      <c r="I237" s="1648">
        <f t="shared" si="34"/>
        <v>7372.05</v>
      </c>
      <c r="J237" s="1649">
        <v>0</v>
      </c>
      <c r="K237" s="1650">
        <v>0</v>
      </c>
      <c r="L237" s="1867"/>
      <c r="M237" s="1651">
        <f t="shared" si="35"/>
        <v>0</v>
      </c>
      <c r="N237" s="1652">
        <f t="shared" si="32"/>
        <v>0</v>
      </c>
      <c r="O237" s="1653">
        <f t="shared" si="36"/>
        <v>0</v>
      </c>
      <c r="P237" s="1654">
        <f t="shared" si="37"/>
        <v>0</v>
      </c>
      <c r="Q237" s="1655">
        <f t="shared" si="31"/>
        <v>51</v>
      </c>
      <c r="R237" s="1656">
        <f t="shared" si="38"/>
        <v>7372.05</v>
      </c>
      <c r="S237" s="1657">
        <f t="shared" si="39"/>
        <v>1</v>
      </c>
      <c r="T237" s="1418"/>
      <c r="U237" s="1418"/>
      <c r="V237" s="1418"/>
      <c r="W237" s="1428"/>
    </row>
    <row r="238" spans="1:23" s="1410" customFormat="1">
      <c r="B238" s="1632" t="s">
        <v>506</v>
      </c>
      <c r="C238" s="1644" t="s">
        <v>3895</v>
      </c>
      <c r="D238" s="1645"/>
      <c r="E238" s="1646"/>
      <c r="F238" s="1647"/>
      <c r="G238" s="1728"/>
      <c r="H238" s="1648">
        <f t="shared" si="33"/>
        <v>0</v>
      </c>
      <c r="I238" s="1648">
        <f t="shared" si="34"/>
        <v>0</v>
      </c>
      <c r="J238" s="1649"/>
      <c r="K238" s="1650">
        <v>0</v>
      </c>
      <c r="L238" s="1867"/>
      <c r="M238" s="1651">
        <f t="shared" si="35"/>
        <v>0</v>
      </c>
      <c r="N238" s="1652"/>
      <c r="O238" s="1653">
        <f t="shared" si="36"/>
        <v>0</v>
      </c>
      <c r="P238" s="1654" t="str">
        <f t="shared" si="37"/>
        <v/>
      </c>
      <c r="Q238" s="1655"/>
      <c r="R238" s="1656">
        <f t="shared" si="38"/>
        <v>0</v>
      </c>
      <c r="S238" s="1657" t="str">
        <f t="shared" si="39"/>
        <v/>
      </c>
      <c r="T238" s="1418"/>
      <c r="U238" s="1418"/>
      <c r="V238" s="1418"/>
      <c r="W238" s="1428"/>
    </row>
    <row r="239" spans="1:23" s="1410" customFormat="1" ht="25.5">
      <c r="A239" s="1423"/>
      <c r="B239" s="1632" t="s">
        <v>3896</v>
      </c>
      <c r="C239" s="1644" t="s">
        <v>3897</v>
      </c>
      <c r="D239" s="1645" t="s">
        <v>36</v>
      </c>
      <c r="E239" s="1646">
        <v>34</v>
      </c>
      <c r="F239" s="1647">
        <v>145.38</v>
      </c>
      <c r="G239" s="1728">
        <v>146.76</v>
      </c>
      <c r="H239" s="1648">
        <f t="shared" si="33"/>
        <v>4942.92</v>
      </c>
      <c r="I239" s="1648">
        <f t="shared" si="34"/>
        <v>4989.84</v>
      </c>
      <c r="J239" s="1649">
        <v>0</v>
      </c>
      <c r="K239" s="1650">
        <v>0</v>
      </c>
      <c r="L239" s="1867"/>
      <c r="M239" s="1651">
        <f t="shared" si="35"/>
        <v>0</v>
      </c>
      <c r="N239" s="1652">
        <f t="shared" si="32"/>
        <v>0</v>
      </c>
      <c r="O239" s="1653">
        <f t="shared" si="36"/>
        <v>0</v>
      </c>
      <c r="P239" s="1654">
        <f t="shared" si="37"/>
        <v>0</v>
      </c>
      <c r="Q239" s="1655">
        <f t="shared" si="31"/>
        <v>34</v>
      </c>
      <c r="R239" s="1656">
        <f t="shared" si="38"/>
        <v>4989.84</v>
      </c>
      <c r="S239" s="1657">
        <f t="shared" si="39"/>
        <v>1</v>
      </c>
      <c r="T239" s="1418"/>
      <c r="U239" s="1418"/>
      <c r="V239" s="1418"/>
      <c r="W239" s="1428"/>
    </row>
    <row r="240" spans="1:23" s="1410" customFormat="1" ht="25.5">
      <c r="A240" s="1423"/>
      <c r="B240" s="1632" t="s">
        <v>3898</v>
      </c>
      <c r="C240" s="1644" t="s">
        <v>3899</v>
      </c>
      <c r="D240" s="1645" t="s">
        <v>36</v>
      </c>
      <c r="E240" s="1646">
        <v>6</v>
      </c>
      <c r="F240" s="1647">
        <v>143.16999999999999</v>
      </c>
      <c r="G240" s="1728">
        <v>144.55000000000001</v>
      </c>
      <c r="H240" s="1648">
        <f t="shared" si="33"/>
        <v>859.02</v>
      </c>
      <c r="I240" s="1648">
        <f t="shared" si="34"/>
        <v>867.3</v>
      </c>
      <c r="J240" s="1649">
        <v>0</v>
      </c>
      <c r="K240" s="1650">
        <v>0</v>
      </c>
      <c r="L240" s="1867"/>
      <c r="M240" s="1651">
        <f t="shared" si="35"/>
        <v>0</v>
      </c>
      <c r="N240" s="1652">
        <f t="shared" si="32"/>
        <v>0</v>
      </c>
      <c r="O240" s="1653">
        <f t="shared" si="36"/>
        <v>0</v>
      </c>
      <c r="P240" s="1654">
        <f t="shared" si="37"/>
        <v>0</v>
      </c>
      <c r="Q240" s="1655">
        <f t="shared" si="31"/>
        <v>6</v>
      </c>
      <c r="R240" s="1656">
        <f t="shared" si="38"/>
        <v>867.3</v>
      </c>
      <c r="S240" s="1657">
        <f t="shared" si="39"/>
        <v>1</v>
      </c>
      <c r="T240" s="1418"/>
      <c r="U240" s="1418"/>
      <c r="V240" s="1418"/>
      <c r="W240" s="1428"/>
    </row>
    <row r="241" spans="1:23" s="1410" customFormat="1">
      <c r="B241" s="1632" t="s">
        <v>507</v>
      </c>
      <c r="C241" s="1644" t="s">
        <v>3900</v>
      </c>
      <c r="D241" s="1645"/>
      <c r="E241" s="1646"/>
      <c r="F241" s="1647"/>
      <c r="G241" s="1728"/>
      <c r="H241" s="1648">
        <f t="shared" si="33"/>
        <v>0</v>
      </c>
      <c r="I241" s="1648">
        <f t="shared" si="34"/>
        <v>0</v>
      </c>
      <c r="J241" s="1649"/>
      <c r="K241" s="1650">
        <v>0</v>
      </c>
      <c r="L241" s="1867"/>
      <c r="M241" s="1651">
        <f t="shared" si="35"/>
        <v>0</v>
      </c>
      <c r="N241" s="1652"/>
      <c r="O241" s="1653">
        <f t="shared" si="36"/>
        <v>0</v>
      </c>
      <c r="P241" s="1654" t="str">
        <f t="shared" si="37"/>
        <v/>
      </c>
      <c r="Q241" s="1655"/>
      <c r="R241" s="1656">
        <f t="shared" si="38"/>
        <v>0</v>
      </c>
      <c r="S241" s="1657" t="str">
        <f t="shared" si="39"/>
        <v/>
      </c>
      <c r="T241" s="1418"/>
      <c r="U241" s="1418"/>
      <c r="V241" s="1418"/>
      <c r="W241" s="1428"/>
    </row>
    <row r="242" spans="1:23" s="1410" customFormat="1" ht="25.5">
      <c r="A242" s="1409"/>
      <c r="B242" s="1632" t="s">
        <v>3901</v>
      </c>
      <c r="C242" s="1644" t="s">
        <v>3476</v>
      </c>
      <c r="D242" s="1645" t="s">
        <v>1451</v>
      </c>
      <c r="E242" s="1646">
        <v>15</v>
      </c>
      <c r="F242" s="1647">
        <v>91.75</v>
      </c>
      <c r="G242" s="1728">
        <v>93.06</v>
      </c>
      <c r="H242" s="1648">
        <f t="shared" si="33"/>
        <v>1376.25</v>
      </c>
      <c r="I242" s="1648">
        <f t="shared" si="34"/>
        <v>1395.9</v>
      </c>
      <c r="J242" s="1649">
        <v>15</v>
      </c>
      <c r="K242" s="1650">
        <v>1395.9</v>
      </c>
      <c r="L242" s="1867"/>
      <c r="M242" s="1651">
        <f t="shared" si="35"/>
        <v>0</v>
      </c>
      <c r="N242" s="1652">
        <f t="shared" si="32"/>
        <v>15</v>
      </c>
      <c r="O242" s="1653">
        <f t="shared" si="36"/>
        <v>1395.9</v>
      </c>
      <c r="P242" s="1654">
        <f t="shared" si="37"/>
        <v>1</v>
      </c>
      <c r="Q242" s="1655">
        <f t="shared" si="31"/>
        <v>0</v>
      </c>
      <c r="R242" s="1656">
        <f t="shared" si="38"/>
        <v>0</v>
      </c>
      <c r="S242" s="1657">
        <f t="shared" si="39"/>
        <v>0</v>
      </c>
      <c r="T242" s="1418"/>
      <c r="U242" s="1418"/>
      <c r="V242" s="1418"/>
      <c r="W242" s="1428"/>
    </row>
    <row r="243" spans="1:23" s="1410" customFormat="1" ht="25.5">
      <c r="A243" s="1423"/>
      <c r="B243" s="1632" t="s">
        <v>3902</v>
      </c>
      <c r="C243" s="1644" t="s">
        <v>3477</v>
      </c>
      <c r="D243" s="1645" t="s">
        <v>1451</v>
      </c>
      <c r="E243" s="1646">
        <v>15</v>
      </c>
      <c r="F243" s="1647">
        <v>101.54</v>
      </c>
      <c r="G243" s="1728">
        <v>102.85</v>
      </c>
      <c r="H243" s="1648">
        <f t="shared" si="33"/>
        <v>1523.1</v>
      </c>
      <c r="I243" s="1648">
        <f t="shared" si="34"/>
        <v>1542.75</v>
      </c>
      <c r="J243" s="1649">
        <v>10</v>
      </c>
      <c r="K243" s="1650">
        <v>1028.5</v>
      </c>
      <c r="L243" s="1867"/>
      <c r="M243" s="1651">
        <f t="shared" si="35"/>
        <v>0</v>
      </c>
      <c r="N243" s="1652">
        <f t="shared" si="32"/>
        <v>10</v>
      </c>
      <c r="O243" s="1653">
        <f t="shared" si="36"/>
        <v>1028.5</v>
      </c>
      <c r="P243" s="1654">
        <f t="shared" si="37"/>
        <v>0.66666666666666663</v>
      </c>
      <c r="Q243" s="1655">
        <f t="shared" si="31"/>
        <v>5</v>
      </c>
      <c r="R243" s="1656">
        <f t="shared" si="38"/>
        <v>514.25</v>
      </c>
      <c r="S243" s="1657">
        <f t="shared" si="39"/>
        <v>0.33333333333333331</v>
      </c>
      <c r="T243" s="1418"/>
      <c r="U243" s="1418"/>
      <c r="V243" s="1418"/>
      <c r="W243" s="1428"/>
    </row>
    <row r="244" spans="1:23" s="1410" customFormat="1" ht="25.5">
      <c r="B244" s="1632" t="s">
        <v>3903</v>
      </c>
      <c r="C244" s="1644" t="s">
        <v>3478</v>
      </c>
      <c r="D244" s="1645" t="s">
        <v>1451</v>
      </c>
      <c r="E244" s="1646">
        <v>3</v>
      </c>
      <c r="F244" s="1647">
        <v>110.34</v>
      </c>
      <c r="G244" s="1728">
        <v>111.65</v>
      </c>
      <c r="H244" s="1648">
        <f t="shared" si="33"/>
        <v>331.02</v>
      </c>
      <c r="I244" s="1648">
        <f t="shared" si="34"/>
        <v>334.95</v>
      </c>
      <c r="J244" s="1649">
        <v>2</v>
      </c>
      <c r="K244" s="1650">
        <v>223.3</v>
      </c>
      <c r="L244" s="1867"/>
      <c r="M244" s="1651">
        <f t="shared" si="35"/>
        <v>0</v>
      </c>
      <c r="N244" s="1652">
        <f t="shared" si="32"/>
        <v>2</v>
      </c>
      <c r="O244" s="1653">
        <f t="shared" si="36"/>
        <v>223.3</v>
      </c>
      <c r="P244" s="1654">
        <f t="shared" si="37"/>
        <v>0.66666666666666674</v>
      </c>
      <c r="Q244" s="1655">
        <f t="shared" si="31"/>
        <v>1</v>
      </c>
      <c r="R244" s="1656">
        <f t="shared" si="38"/>
        <v>111.65</v>
      </c>
      <c r="S244" s="1657">
        <f t="shared" si="39"/>
        <v>0.33333333333333337</v>
      </c>
      <c r="T244" s="1418"/>
      <c r="U244" s="1418"/>
      <c r="V244" s="1418"/>
      <c r="W244" s="1428"/>
    </row>
    <row r="245" spans="1:23" s="1410" customFormat="1">
      <c r="A245" s="1409"/>
      <c r="B245" s="1725" t="s">
        <v>1037</v>
      </c>
      <c r="C245" s="1721" t="s">
        <v>3904</v>
      </c>
      <c r="D245" s="1645"/>
      <c r="E245" s="1646"/>
      <c r="F245" s="1647"/>
      <c r="G245" s="1728"/>
      <c r="H245" s="1648">
        <f t="shared" si="33"/>
        <v>0</v>
      </c>
      <c r="I245" s="1648">
        <f t="shared" si="34"/>
        <v>0</v>
      </c>
      <c r="J245" s="1649">
        <v>0</v>
      </c>
      <c r="K245" s="1650">
        <v>0</v>
      </c>
      <c r="L245" s="1867"/>
      <c r="M245" s="1651">
        <f t="shared" si="35"/>
        <v>0</v>
      </c>
      <c r="N245" s="1652">
        <f t="shared" si="32"/>
        <v>0</v>
      </c>
      <c r="O245" s="1653">
        <f t="shared" si="36"/>
        <v>0</v>
      </c>
      <c r="P245" s="1654" t="str">
        <f t="shared" si="37"/>
        <v/>
      </c>
      <c r="Q245" s="1655">
        <f t="shared" si="31"/>
        <v>0</v>
      </c>
      <c r="R245" s="1656">
        <f t="shared" si="38"/>
        <v>0</v>
      </c>
      <c r="S245" s="1657" t="str">
        <f t="shared" si="39"/>
        <v/>
      </c>
      <c r="T245" s="1418"/>
      <c r="U245" s="1418"/>
      <c r="V245" s="1418"/>
      <c r="W245" s="1428"/>
    </row>
    <row r="246" spans="1:23" s="1410" customFormat="1">
      <c r="A246" s="1423"/>
      <c r="B246" s="1725" t="s">
        <v>508</v>
      </c>
      <c r="C246" s="1721" t="s">
        <v>3882</v>
      </c>
      <c r="D246" s="1645"/>
      <c r="E246" s="1646"/>
      <c r="F246" s="1647"/>
      <c r="G246" s="1728"/>
      <c r="H246" s="1648">
        <f t="shared" si="33"/>
        <v>0</v>
      </c>
      <c r="I246" s="1648">
        <f t="shared" si="34"/>
        <v>0</v>
      </c>
      <c r="J246" s="1649"/>
      <c r="K246" s="1650">
        <v>0</v>
      </c>
      <c r="L246" s="1867"/>
      <c r="M246" s="1651">
        <f t="shared" si="35"/>
        <v>0</v>
      </c>
      <c r="N246" s="1652"/>
      <c r="O246" s="1653">
        <f t="shared" si="36"/>
        <v>0</v>
      </c>
      <c r="P246" s="1654" t="str">
        <f t="shared" si="37"/>
        <v/>
      </c>
      <c r="Q246" s="1655"/>
      <c r="R246" s="1656">
        <f t="shared" si="38"/>
        <v>0</v>
      </c>
      <c r="S246" s="1657" t="str">
        <f t="shared" si="39"/>
        <v/>
      </c>
      <c r="T246" s="1418"/>
      <c r="U246" s="1418"/>
      <c r="V246" s="1418"/>
      <c r="W246" s="1428"/>
    </row>
    <row r="247" spans="1:23" s="1410" customFormat="1">
      <c r="B247" s="1632" t="s">
        <v>3905</v>
      </c>
      <c r="C247" s="1644" t="s">
        <v>3883</v>
      </c>
      <c r="D247" s="1645" t="s">
        <v>36</v>
      </c>
      <c r="E247" s="1646">
        <v>161</v>
      </c>
      <c r="F247" s="1647">
        <v>6.34</v>
      </c>
      <c r="G247" s="1728">
        <v>6.46</v>
      </c>
      <c r="H247" s="1648">
        <f t="shared" si="33"/>
        <v>1020.74</v>
      </c>
      <c r="I247" s="1648">
        <f t="shared" si="34"/>
        <v>1040.06</v>
      </c>
      <c r="J247" s="1649">
        <v>161</v>
      </c>
      <c r="K247" s="1650">
        <v>1040.06</v>
      </c>
      <c r="L247" s="1867"/>
      <c r="M247" s="1651">
        <f t="shared" si="35"/>
        <v>0</v>
      </c>
      <c r="N247" s="1652">
        <f t="shared" si="32"/>
        <v>161</v>
      </c>
      <c r="O247" s="1653">
        <f t="shared" si="36"/>
        <v>1040.06</v>
      </c>
      <c r="P247" s="1654">
        <f t="shared" si="37"/>
        <v>1</v>
      </c>
      <c r="Q247" s="1655">
        <f t="shared" si="31"/>
        <v>0</v>
      </c>
      <c r="R247" s="1656">
        <f t="shared" si="38"/>
        <v>0</v>
      </c>
      <c r="S247" s="1657">
        <f t="shared" si="39"/>
        <v>0</v>
      </c>
      <c r="T247" s="1418"/>
      <c r="U247" s="1418"/>
      <c r="V247" s="1418"/>
      <c r="W247" s="1428"/>
    </row>
    <row r="248" spans="1:23" s="1410" customFormat="1">
      <c r="A248" s="1423"/>
      <c r="B248" s="1632" t="s">
        <v>3906</v>
      </c>
      <c r="C248" s="1644" t="s">
        <v>3884</v>
      </c>
      <c r="D248" s="1645" t="s">
        <v>36</v>
      </c>
      <c r="E248" s="1646">
        <v>80</v>
      </c>
      <c r="F248" s="1647">
        <v>3.96</v>
      </c>
      <c r="G248" s="1728">
        <v>4.09</v>
      </c>
      <c r="H248" s="1648">
        <f t="shared" si="33"/>
        <v>316.8</v>
      </c>
      <c r="I248" s="1648">
        <f t="shared" si="34"/>
        <v>327.2</v>
      </c>
      <c r="J248" s="1649">
        <v>80</v>
      </c>
      <c r="K248" s="1650">
        <v>327.2</v>
      </c>
      <c r="L248" s="1867"/>
      <c r="M248" s="1651">
        <f t="shared" si="35"/>
        <v>0</v>
      </c>
      <c r="N248" s="1652">
        <f t="shared" si="32"/>
        <v>80</v>
      </c>
      <c r="O248" s="1653">
        <f t="shared" si="36"/>
        <v>327.2</v>
      </c>
      <c r="P248" s="1654">
        <f t="shared" si="37"/>
        <v>1</v>
      </c>
      <c r="Q248" s="1655">
        <f t="shared" si="31"/>
        <v>0</v>
      </c>
      <c r="R248" s="1656">
        <f t="shared" si="38"/>
        <v>0</v>
      </c>
      <c r="S248" s="1657">
        <f t="shared" si="39"/>
        <v>0</v>
      </c>
      <c r="T248" s="1418"/>
      <c r="U248" s="1418"/>
      <c r="V248" s="1418"/>
      <c r="W248" s="1428"/>
    </row>
    <row r="249" spans="1:23" s="1410" customFormat="1">
      <c r="A249" s="1423"/>
      <c r="B249" s="1725" t="s">
        <v>509</v>
      </c>
      <c r="C249" s="1721" t="s">
        <v>3875</v>
      </c>
      <c r="D249" s="1645"/>
      <c r="E249" s="1646"/>
      <c r="F249" s="1647"/>
      <c r="G249" s="1728"/>
      <c r="H249" s="1648">
        <f t="shared" si="33"/>
        <v>0</v>
      </c>
      <c r="I249" s="1648">
        <f t="shared" si="34"/>
        <v>0</v>
      </c>
      <c r="J249" s="1649"/>
      <c r="K249" s="1650">
        <v>0</v>
      </c>
      <c r="L249" s="1867"/>
      <c r="M249" s="1651">
        <f t="shared" si="35"/>
        <v>0</v>
      </c>
      <c r="N249" s="1652"/>
      <c r="O249" s="1653">
        <f t="shared" si="36"/>
        <v>0</v>
      </c>
      <c r="P249" s="1654" t="str">
        <f t="shared" si="37"/>
        <v/>
      </c>
      <c r="Q249" s="1655"/>
      <c r="R249" s="1656">
        <f t="shared" si="38"/>
        <v>0</v>
      </c>
      <c r="S249" s="1657" t="str">
        <f t="shared" si="39"/>
        <v/>
      </c>
      <c r="T249" s="1418"/>
      <c r="U249" s="1418"/>
      <c r="V249" s="1418"/>
      <c r="W249" s="1428"/>
    </row>
    <row r="250" spans="1:23" s="1410" customFormat="1">
      <c r="B250" s="1632" t="s">
        <v>3907</v>
      </c>
      <c r="C250" s="1644" t="s">
        <v>3455</v>
      </c>
      <c r="D250" s="1645" t="s">
        <v>3878</v>
      </c>
      <c r="E250" s="1646">
        <v>322</v>
      </c>
      <c r="F250" s="1647">
        <v>8.2100000000000009</v>
      </c>
      <c r="G250" s="1728">
        <v>8.4499999999999993</v>
      </c>
      <c r="H250" s="1648">
        <f t="shared" si="33"/>
        <v>2643.62</v>
      </c>
      <c r="I250" s="1648">
        <f t="shared" si="34"/>
        <v>2720.9</v>
      </c>
      <c r="J250" s="1649">
        <v>322</v>
      </c>
      <c r="K250" s="1650">
        <v>2720.8999999999996</v>
      </c>
      <c r="L250" s="1867"/>
      <c r="M250" s="1651">
        <f t="shared" si="35"/>
        <v>0</v>
      </c>
      <c r="N250" s="1652">
        <f t="shared" si="32"/>
        <v>322</v>
      </c>
      <c r="O250" s="1653">
        <f t="shared" si="36"/>
        <v>2720.8999999999996</v>
      </c>
      <c r="P250" s="1654">
        <f t="shared" si="37"/>
        <v>0.99999999999999978</v>
      </c>
      <c r="Q250" s="1655">
        <f t="shared" si="31"/>
        <v>0</v>
      </c>
      <c r="R250" s="1656">
        <f t="shared" si="38"/>
        <v>0</v>
      </c>
      <c r="S250" s="1657">
        <f t="shared" si="39"/>
        <v>0</v>
      </c>
      <c r="T250" s="1418"/>
      <c r="U250" s="1418"/>
      <c r="V250" s="1418"/>
      <c r="W250" s="1428"/>
    </row>
    <row r="251" spans="1:23" s="1410" customFormat="1">
      <c r="A251" s="1409"/>
      <c r="B251" s="1632" t="s">
        <v>3908</v>
      </c>
      <c r="C251" s="1644" t="s">
        <v>3456</v>
      </c>
      <c r="D251" s="1645" t="s">
        <v>3878</v>
      </c>
      <c r="E251" s="1646">
        <v>161</v>
      </c>
      <c r="F251" s="1647">
        <v>7.64</v>
      </c>
      <c r="G251" s="1728">
        <v>7.88</v>
      </c>
      <c r="H251" s="1648">
        <f t="shared" si="33"/>
        <v>1230.04</v>
      </c>
      <c r="I251" s="1648">
        <f t="shared" si="34"/>
        <v>1268.68</v>
      </c>
      <c r="J251" s="1649">
        <v>161</v>
      </c>
      <c r="K251" s="1650">
        <v>1268.68</v>
      </c>
      <c r="L251" s="1867"/>
      <c r="M251" s="1651">
        <f t="shared" si="35"/>
        <v>0</v>
      </c>
      <c r="N251" s="1652">
        <f t="shared" si="32"/>
        <v>161</v>
      </c>
      <c r="O251" s="1653">
        <f t="shared" si="36"/>
        <v>1268.68</v>
      </c>
      <c r="P251" s="1654">
        <f t="shared" si="37"/>
        <v>1</v>
      </c>
      <c r="Q251" s="1655">
        <f t="shared" si="31"/>
        <v>0</v>
      </c>
      <c r="R251" s="1656">
        <f t="shared" si="38"/>
        <v>0</v>
      </c>
      <c r="S251" s="1657">
        <f t="shared" si="39"/>
        <v>0</v>
      </c>
      <c r="T251" s="1418"/>
      <c r="U251" s="1418"/>
      <c r="V251" s="1418"/>
      <c r="W251" s="1428"/>
    </row>
    <row r="252" spans="1:23" s="1410" customFormat="1">
      <c r="A252" s="1423"/>
      <c r="B252" s="1632" t="s">
        <v>3909</v>
      </c>
      <c r="C252" s="1644" t="s">
        <v>3910</v>
      </c>
      <c r="D252" s="1645"/>
      <c r="E252" s="1646"/>
      <c r="F252" s="1647"/>
      <c r="G252" s="1728"/>
      <c r="H252" s="1648"/>
      <c r="I252" s="1648"/>
      <c r="J252" s="1649"/>
      <c r="K252" s="1650">
        <v>0</v>
      </c>
      <c r="L252" s="1867"/>
      <c r="M252" s="1651">
        <f t="shared" si="35"/>
        <v>0</v>
      </c>
      <c r="N252" s="1652"/>
      <c r="O252" s="1653">
        <f t="shared" si="36"/>
        <v>0</v>
      </c>
      <c r="P252" s="1654" t="str">
        <f t="shared" si="37"/>
        <v/>
      </c>
      <c r="Q252" s="1655"/>
      <c r="R252" s="1656">
        <f t="shared" si="38"/>
        <v>0</v>
      </c>
      <c r="S252" s="1657" t="str">
        <f t="shared" si="39"/>
        <v/>
      </c>
      <c r="T252" s="1418"/>
      <c r="U252" s="1418"/>
      <c r="V252" s="1418"/>
      <c r="W252" s="1428"/>
    </row>
    <row r="253" spans="1:23" s="1410" customFormat="1">
      <c r="B253" s="1632" t="s">
        <v>3911</v>
      </c>
      <c r="C253" s="1644" t="s">
        <v>3886</v>
      </c>
      <c r="D253" s="1645" t="s">
        <v>36</v>
      </c>
      <c r="E253" s="1646">
        <v>38</v>
      </c>
      <c r="F253" s="1647">
        <v>53.16</v>
      </c>
      <c r="G253" s="1728">
        <v>55.2</v>
      </c>
      <c r="H253" s="1648">
        <f t="shared" si="33"/>
        <v>2020.08</v>
      </c>
      <c r="I253" s="1648">
        <f t="shared" si="34"/>
        <v>2097.6</v>
      </c>
      <c r="J253" s="1649">
        <v>38</v>
      </c>
      <c r="K253" s="1650">
        <v>2097.6</v>
      </c>
      <c r="L253" s="1867"/>
      <c r="M253" s="1651">
        <f t="shared" si="35"/>
        <v>0</v>
      </c>
      <c r="N253" s="1652">
        <f t="shared" si="32"/>
        <v>38</v>
      </c>
      <c r="O253" s="1653">
        <f t="shared" si="36"/>
        <v>2097.6</v>
      </c>
      <c r="P253" s="1654">
        <f t="shared" si="37"/>
        <v>1</v>
      </c>
      <c r="Q253" s="1655">
        <f t="shared" si="31"/>
        <v>0</v>
      </c>
      <c r="R253" s="1656">
        <f t="shared" si="38"/>
        <v>0</v>
      </c>
      <c r="S253" s="1657">
        <f t="shared" si="39"/>
        <v>0</v>
      </c>
      <c r="T253" s="1418"/>
      <c r="U253" s="1418"/>
      <c r="V253" s="1418"/>
      <c r="W253" s="1428"/>
    </row>
    <row r="254" spans="1:23" s="1410" customFormat="1">
      <c r="A254" s="1409"/>
      <c r="B254" s="1725" t="s">
        <v>3912</v>
      </c>
      <c r="C254" s="1721" t="s">
        <v>3913</v>
      </c>
      <c r="D254" s="1645"/>
      <c r="E254" s="1646"/>
      <c r="F254" s="1647"/>
      <c r="G254" s="1728"/>
      <c r="H254" s="1648">
        <f t="shared" si="33"/>
        <v>0</v>
      </c>
      <c r="I254" s="1648">
        <f t="shared" si="34"/>
        <v>0</v>
      </c>
      <c r="J254" s="1649"/>
      <c r="K254" s="1650">
        <v>0</v>
      </c>
      <c r="L254" s="1867"/>
      <c r="M254" s="1651">
        <f t="shared" si="35"/>
        <v>0</v>
      </c>
      <c r="N254" s="1652"/>
      <c r="O254" s="1653">
        <f t="shared" si="36"/>
        <v>0</v>
      </c>
      <c r="P254" s="1654" t="str">
        <f t="shared" si="37"/>
        <v/>
      </c>
      <c r="Q254" s="1655"/>
      <c r="R254" s="1656">
        <f t="shared" si="38"/>
        <v>0</v>
      </c>
      <c r="S254" s="1657" t="str">
        <f t="shared" si="39"/>
        <v/>
      </c>
      <c r="T254" s="1418"/>
      <c r="U254" s="1418"/>
      <c r="V254" s="1418"/>
      <c r="W254" s="1428"/>
    </row>
    <row r="255" spans="1:23" s="1410" customFormat="1" ht="25.5">
      <c r="A255" s="1423"/>
      <c r="B255" s="1632" t="s">
        <v>3914</v>
      </c>
      <c r="C255" s="1644" t="s">
        <v>3915</v>
      </c>
      <c r="D255" s="1645" t="s">
        <v>36</v>
      </c>
      <c r="E255" s="1646">
        <v>38</v>
      </c>
      <c r="F255" s="1647">
        <v>126.39</v>
      </c>
      <c r="G255" s="1728">
        <v>128.44</v>
      </c>
      <c r="H255" s="1648">
        <f t="shared" si="33"/>
        <v>4802.82</v>
      </c>
      <c r="I255" s="1648">
        <f t="shared" si="34"/>
        <v>4880.72</v>
      </c>
      <c r="J255" s="1649">
        <v>38</v>
      </c>
      <c r="K255" s="1650">
        <v>4880.72</v>
      </c>
      <c r="L255" s="1867"/>
      <c r="M255" s="1651">
        <f t="shared" si="35"/>
        <v>0</v>
      </c>
      <c r="N255" s="1652">
        <f t="shared" si="32"/>
        <v>38</v>
      </c>
      <c r="O255" s="1653">
        <f t="shared" si="36"/>
        <v>4880.72</v>
      </c>
      <c r="P255" s="1654">
        <f t="shared" si="37"/>
        <v>1</v>
      </c>
      <c r="Q255" s="1655">
        <f t="shared" si="31"/>
        <v>0</v>
      </c>
      <c r="R255" s="1656">
        <f t="shared" si="38"/>
        <v>0</v>
      </c>
      <c r="S255" s="1657">
        <f t="shared" si="39"/>
        <v>0</v>
      </c>
      <c r="T255" s="1418"/>
      <c r="U255" s="1418"/>
      <c r="V255" s="1418"/>
      <c r="W255" s="1428"/>
    </row>
    <row r="256" spans="1:23" s="1410" customFormat="1">
      <c r="B256" s="1725" t="s">
        <v>3916</v>
      </c>
      <c r="C256" s="1721" t="s">
        <v>3917</v>
      </c>
      <c r="D256" s="1645"/>
      <c r="E256" s="1646"/>
      <c r="F256" s="1647"/>
      <c r="G256" s="1728"/>
      <c r="H256" s="1648"/>
      <c r="I256" s="1648"/>
      <c r="J256" s="1649"/>
      <c r="K256" s="1650">
        <v>0</v>
      </c>
      <c r="L256" s="1867"/>
      <c r="M256" s="1651"/>
      <c r="N256" s="1652"/>
      <c r="O256" s="1653">
        <f t="shared" si="36"/>
        <v>0</v>
      </c>
      <c r="P256" s="1654" t="str">
        <f t="shared" si="37"/>
        <v/>
      </c>
      <c r="Q256" s="1655"/>
      <c r="R256" s="1656">
        <f t="shared" si="38"/>
        <v>0</v>
      </c>
      <c r="S256" s="1657" t="str">
        <f t="shared" si="39"/>
        <v/>
      </c>
      <c r="T256" s="1418"/>
      <c r="U256" s="1418"/>
      <c r="V256" s="1418"/>
      <c r="W256" s="1428"/>
    </row>
    <row r="257" spans="1:24" s="1410" customFormat="1" ht="15.6" customHeight="1" thickBot="1">
      <c r="A257" s="1423"/>
      <c r="B257" s="1658" t="s">
        <v>3918</v>
      </c>
      <c r="C257" s="1659" t="s">
        <v>3919</v>
      </c>
      <c r="D257" s="1660" t="s">
        <v>36</v>
      </c>
      <c r="E257" s="1661">
        <v>20</v>
      </c>
      <c r="F257" s="1662">
        <v>53.16</v>
      </c>
      <c r="G257" s="1730">
        <v>55.2</v>
      </c>
      <c r="H257" s="1648">
        <f t="shared" si="33"/>
        <v>1063.2</v>
      </c>
      <c r="I257" s="1648">
        <f t="shared" si="34"/>
        <v>1104</v>
      </c>
      <c r="J257" s="1731">
        <v>20</v>
      </c>
      <c r="K257" s="1650">
        <v>1104</v>
      </c>
      <c r="L257" s="1867"/>
      <c r="M257" s="1651">
        <f t="shared" si="35"/>
        <v>0</v>
      </c>
      <c r="N257" s="1663">
        <f t="shared" si="32"/>
        <v>20</v>
      </c>
      <c r="O257" s="1664">
        <f t="shared" si="36"/>
        <v>1104</v>
      </c>
      <c r="P257" s="1665">
        <f t="shared" si="37"/>
        <v>1</v>
      </c>
      <c r="Q257" s="1666">
        <f t="shared" si="31"/>
        <v>0</v>
      </c>
      <c r="R257" s="1667">
        <f t="shared" si="38"/>
        <v>0</v>
      </c>
      <c r="S257" s="1668">
        <f t="shared" si="39"/>
        <v>0</v>
      </c>
      <c r="T257" s="1418"/>
      <c r="U257" s="1418"/>
      <c r="V257" s="1418"/>
      <c r="W257" s="1428"/>
    </row>
    <row r="258" spans="1:24" s="561" customFormat="1" thickBot="1">
      <c r="B258" s="2301"/>
      <c r="C258" s="2302" t="s">
        <v>59</v>
      </c>
      <c r="D258" s="2333"/>
      <c r="E258" s="2307"/>
      <c r="F258" s="2303"/>
      <c r="G258" s="2303"/>
      <c r="H258" s="2304">
        <f>(SUM(H16:H257))</f>
        <v>3388063.5400000024</v>
      </c>
      <c r="I258" s="2328">
        <f>(SUM(I16:I257))</f>
        <v>3433797.0500000012</v>
      </c>
      <c r="J258" s="2332">
        <f>+K258/I258</f>
        <v>0.638104092750997</v>
      </c>
      <c r="K258" s="2310">
        <f>SUM(K16:K257)</f>
        <v>2191119.9512813007</v>
      </c>
      <c r="L258" s="2330">
        <f>M258/I258</f>
        <v>1.2183119325587395E-2</v>
      </c>
      <c r="M258" s="2310">
        <f>SUM(M16:M257)</f>
        <v>41834.359199999999</v>
      </c>
      <c r="N258" s="2323">
        <f>+O258/I258</f>
        <v>0.65028721207658424</v>
      </c>
      <c r="O258" s="2305">
        <f>SUM(O16:O257)</f>
        <v>2232954.3104813001</v>
      </c>
      <c r="P258" s="2324" t="str">
        <f t="shared" ref="P258:P264" si="40">+IF(D258=0,"",O258/H258)</f>
        <v/>
      </c>
      <c r="Q258" s="2323">
        <f>+R258/I258</f>
        <v>0.34971279971249308</v>
      </c>
      <c r="R258" s="2304">
        <f>SUM(R16:R257)+0.05</f>
        <v>1200842.78</v>
      </c>
      <c r="S258" s="2306">
        <f>+R258/I258</f>
        <v>0.34971279971249308</v>
      </c>
      <c r="T258" s="562">
        <f>+I258-O258-R258</f>
        <v>-4.0481298929080367E-2</v>
      </c>
      <c r="U258" s="562"/>
      <c r="V258" s="562"/>
      <c r="W258" s="1348">
        <f>+H258</f>
        <v>3388063.5400000024</v>
      </c>
      <c r="X258" s="562">
        <f>+T258-W258</f>
        <v>-3388063.5804813011</v>
      </c>
    </row>
    <row r="259" spans="1:24" s="49" customFormat="1" ht="12.75">
      <c r="B259" s="2311"/>
      <c r="C259" s="2312" t="s">
        <v>256</v>
      </c>
      <c r="D259" s="2313"/>
      <c r="E259" s="2314"/>
      <c r="F259" s="2314"/>
      <c r="G259" s="2314"/>
      <c r="H259" s="2329">
        <v>141516.06656581606</v>
      </c>
      <c r="I259" s="2329">
        <v>141516.06656581606</v>
      </c>
      <c r="J259" s="2316"/>
      <c r="K259" s="2331">
        <v>83779.981322075109</v>
      </c>
      <c r="L259" s="2315"/>
      <c r="M259" s="2299">
        <f>+L258*I259</f>
        <v>1724.1071254591059</v>
      </c>
      <c r="N259" s="2315"/>
      <c r="O259" s="2299">
        <f>K259+M259</f>
        <v>85504.088447534217</v>
      </c>
      <c r="P259" s="1686" t="str">
        <f t="shared" si="40"/>
        <v/>
      </c>
      <c r="Q259" s="2318"/>
      <c r="R259" s="2329">
        <f>H259-O259</f>
        <v>56011.978118281841</v>
      </c>
      <c r="S259" s="2320"/>
      <c r="T259" s="1678"/>
      <c r="U259" s="1678"/>
      <c r="V259" s="1678"/>
      <c r="W259" s="524"/>
    </row>
    <row r="260" spans="1:24" s="561" customFormat="1" ht="12.75">
      <c r="B260" s="1255"/>
      <c r="C260" s="1335" t="s">
        <v>1816</v>
      </c>
      <c r="D260" s="1336"/>
      <c r="E260" s="1330"/>
      <c r="F260" s="1330"/>
      <c r="G260" s="1330"/>
      <c r="H260" s="1331">
        <v>32001.683836142925</v>
      </c>
      <c r="I260" s="1331">
        <v>32001.683836142925</v>
      </c>
      <c r="J260" s="1734"/>
      <c r="K260" s="1733">
        <v>18945.555364345048</v>
      </c>
      <c r="L260" s="1679"/>
      <c r="M260" s="1408">
        <f>+L258*I260</f>
        <v>389.88033279545061</v>
      </c>
      <c r="N260" s="1333"/>
      <c r="O260" s="1332">
        <f t="shared" ref="O260:O261" si="41">K260+M260</f>
        <v>19335.4356971405</v>
      </c>
      <c r="P260" s="1675" t="str">
        <f t="shared" si="40"/>
        <v/>
      </c>
      <c r="Q260" s="1676"/>
      <c r="R260" s="1331">
        <f>H260-O260</f>
        <v>12666.248139002426</v>
      </c>
      <c r="S260" s="1334"/>
      <c r="T260" s="562"/>
      <c r="U260" s="562"/>
      <c r="V260" s="562"/>
      <c r="W260" s="1348"/>
    </row>
    <row r="261" spans="1:24" s="561" customFormat="1" ht="12.75">
      <c r="B261" s="1255"/>
      <c r="C261" s="1335" t="s">
        <v>3920</v>
      </c>
      <c r="D261" s="1336"/>
      <c r="E261" s="1330"/>
      <c r="F261" s="1330"/>
      <c r="G261" s="1330"/>
      <c r="H261" s="1331">
        <v>5607.6033818568603</v>
      </c>
      <c r="I261" s="1331">
        <v>5607.6033818568603</v>
      </c>
      <c r="J261" s="1734"/>
      <c r="K261" s="1733">
        <v>3319.7990729559801</v>
      </c>
      <c r="L261" s="1679"/>
      <c r="M261" s="1408">
        <f>+L258*I261</f>
        <v>68.318101131729549</v>
      </c>
      <c r="N261" s="1333"/>
      <c r="O261" s="1332">
        <f t="shared" si="41"/>
        <v>3388.1171740877098</v>
      </c>
      <c r="P261" s="1675"/>
      <c r="Q261" s="1676"/>
      <c r="R261" s="1331">
        <f>H261-O261</f>
        <v>2219.4862077691505</v>
      </c>
      <c r="S261" s="1334"/>
      <c r="T261" s="562"/>
      <c r="U261" s="562"/>
      <c r="V261" s="562"/>
      <c r="W261" s="1348"/>
    </row>
    <row r="262" spans="1:24" s="1229" customFormat="1" ht="14.25" thickBot="1">
      <c r="B262" s="1256"/>
      <c r="C262" s="1680" t="s">
        <v>61</v>
      </c>
      <c r="D262" s="1257"/>
      <c r="E262" s="1257"/>
      <c r="F262" s="1257"/>
      <c r="G262" s="1257"/>
      <c r="H262" s="1258">
        <f>SUM(H258:H261)</f>
        <v>3567188.893783818</v>
      </c>
      <c r="I262" s="1258">
        <f>SUM(I258:I261)</f>
        <v>3612922.4037838168</v>
      </c>
      <c r="J262" s="1261">
        <f>+K262/I262</f>
        <v>0.63581915975689218</v>
      </c>
      <c r="K262" s="1259">
        <f>SUM(K258:K261)</f>
        <v>2297165.2870406774</v>
      </c>
      <c r="L262" s="1681">
        <f>M262/I262</f>
        <v>1.2183119325587397E-2</v>
      </c>
      <c r="M262" s="1426">
        <f>SUM(M258:M261)</f>
        <v>44016.664759386287</v>
      </c>
      <c r="N262" s="1261">
        <f>O262/I262</f>
        <v>0.6480022790824792</v>
      </c>
      <c r="O262" s="1259">
        <f>SUM(O258:O261)</f>
        <v>2341181.9518000623</v>
      </c>
      <c r="P262" s="1682" t="str">
        <f t="shared" si="40"/>
        <v/>
      </c>
      <c r="Q262" s="1683">
        <f>+R262/I262</f>
        <v>0.35199773212210661</v>
      </c>
      <c r="R262" s="1258">
        <f>SUM(R258:R261)</f>
        <v>1271740.4924650535</v>
      </c>
      <c r="S262" s="1684">
        <f>+R262/I262</f>
        <v>0.35199773212210661</v>
      </c>
      <c r="T262" s="562">
        <f>+H262</f>
        <v>3567188.893783818</v>
      </c>
      <c r="U262" s="562"/>
      <c r="V262" s="562"/>
      <c r="W262" s="1348">
        <f>+O262+R262</f>
        <v>3612922.444265116</v>
      </c>
      <c r="X262" s="562">
        <f>+T262-W262</f>
        <v>-45733.550481298007</v>
      </c>
    </row>
    <row r="263" spans="1:24" s="561" customFormat="1">
      <c r="B263" s="1244"/>
      <c r="C263" s="1246"/>
      <c r="D263" s="1247"/>
      <c r="E263" s="1248"/>
      <c r="F263" s="1247"/>
      <c r="G263" s="1247"/>
      <c r="H263" s="1250"/>
      <c r="I263" s="1735">
        <f>I258-H258</f>
        <v>45733.509999998845</v>
      </c>
      <c r="J263" s="1251"/>
      <c r="K263" s="1252"/>
      <c r="L263" s="1685"/>
      <c r="M263" s="1427"/>
      <c r="N263" s="1247"/>
      <c r="O263" s="1251"/>
      <c r="P263" s="1686" t="str">
        <f t="shared" si="40"/>
        <v/>
      </c>
      <c r="Q263" s="1687"/>
      <c r="R263" s="1246"/>
      <c r="S263" s="1246"/>
      <c r="T263" s="562"/>
      <c r="U263" s="562"/>
      <c r="V263" s="562"/>
      <c r="W263" s="1173"/>
    </row>
    <row r="264" spans="1:24" s="561" customFormat="1" ht="12.75">
      <c r="B264" s="1688"/>
      <c r="C264" s="1689"/>
      <c r="D264" s="638"/>
      <c r="E264" s="1690"/>
      <c r="F264" s="638"/>
      <c r="G264" s="638"/>
      <c r="H264" s="1691"/>
      <c r="I264" s="1691"/>
      <c r="J264" s="1692"/>
      <c r="K264" s="638"/>
      <c r="L264" s="1693"/>
      <c r="M264" s="1589"/>
      <c r="N264" s="638"/>
      <c r="O264" s="1692"/>
      <c r="P264" s="1675" t="str">
        <f t="shared" si="40"/>
        <v/>
      </c>
      <c r="Q264" s="1694">
        <f t="shared" si="31"/>
        <v>0</v>
      </c>
      <c r="R264" s="1689"/>
      <c r="S264" s="1689"/>
      <c r="W264" s="1173"/>
    </row>
    <row r="265" spans="1:24" s="561" customFormat="1">
      <c r="B265" s="1695"/>
      <c r="C265" s="1696"/>
      <c r="D265" s="3191" t="s">
        <v>62</v>
      </c>
      <c r="E265" s="3192"/>
      <c r="F265" s="3192"/>
      <c r="G265" s="3192"/>
      <c r="H265" s="3192"/>
      <c r="I265" s="3192"/>
      <c r="J265" s="3193"/>
      <c r="K265" s="1697">
        <f>+K258/H258</f>
        <v>0.64671749080635577</v>
      </c>
      <c r="L265" s="1698"/>
      <c r="M265" s="668">
        <f>+M258/H258</f>
        <v>1.2347572206393735E-2</v>
      </c>
      <c r="N265" s="683"/>
      <c r="O265" s="1699"/>
      <c r="P265" s="1700">
        <f>+O258/H258</f>
        <v>0.65906506301274936</v>
      </c>
      <c r="Q265" s="1694">
        <f t="shared" si="31"/>
        <v>0</v>
      </c>
      <c r="R265" s="1701"/>
      <c r="S265" s="1702">
        <f>+R258/H258</f>
        <v>0.35443337051465074</v>
      </c>
      <c r="T265" s="1703"/>
      <c r="U265" s="1703"/>
      <c r="V265" s="1703"/>
      <c r="W265" s="1173"/>
    </row>
    <row r="266" spans="1:24" s="561" customFormat="1">
      <c r="B266" s="1688"/>
      <c r="C266" s="1689"/>
      <c r="D266" s="683"/>
      <c r="E266" s="1704"/>
      <c r="F266" s="683"/>
      <c r="G266" s="683"/>
      <c r="H266" s="1705"/>
      <c r="I266" s="1705"/>
      <c r="J266" s="683"/>
      <c r="K266" s="683"/>
      <c r="L266" s="1698"/>
      <c r="M266" s="1590"/>
      <c r="N266" s="683"/>
      <c r="O266" s="1699"/>
      <c r="P266" s="683"/>
      <c r="Q266" s="1694">
        <f t="shared" si="31"/>
        <v>0</v>
      </c>
      <c r="R266" s="1701"/>
      <c r="S266" s="1706"/>
      <c r="W266" s="1173"/>
    </row>
    <row r="267" spans="1:24" s="18" customFormat="1" ht="12.75">
      <c r="D267" s="97"/>
      <c r="E267" s="26"/>
      <c r="F267" s="523"/>
      <c r="G267" s="523"/>
      <c r="J267" s="1208"/>
      <c r="K267" s="97"/>
      <c r="L267" s="1433"/>
      <c r="M267" s="524"/>
      <c r="N267" s="524"/>
      <c r="O267" s="524"/>
      <c r="P267" s="524"/>
      <c r="Q267" s="1707"/>
      <c r="R267" s="26"/>
    </row>
    <row r="268" spans="1:24" s="18" customFormat="1">
      <c r="D268" s="97"/>
      <c r="E268" s="26"/>
      <c r="F268" s="523"/>
      <c r="G268" s="523"/>
      <c r="H268" s="26"/>
      <c r="I268" s="26"/>
      <c r="J268" s="1208"/>
      <c r="K268" s="1708"/>
      <c r="L268" s="1433"/>
      <c r="M268" s="1446">
        <f>+K258+M258</f>
        <v>2232954.3104813006</v>
      </c>
      <c r="N268" s="524"/>
      <c r="O268" s="524">
        <f>+O258+R258</f>
        <v>3433797.0904812999</v>
      </c>
      <c r="P268" s="524"/>
      <c r="Q268" s="1710"/>
      <c r="R268" s="26">
        <f>+R258+O258</f>
        <v>3433797.0904812999</v>
      </c>
    </row>
    <row r="269" spans="1:24" s="18" customFormat="1">
      <c r="D269" s="1711"/>
      <c r="E269" s="26"/>
      <c r="F269" s="523">
        <v>457948.8995</v>
      </c>
      <c r="G269" s="523"/>
      <c r="H269" s="26">
        <v>15398736.550000001</v>
      </c>
      <c r="I269" s="26"/>
      <c r="J269" s="1209"/>
      <c r="K269" s="1708">
        <v>616776.95999999996</v>
      </c>
      <c r="L269" s="1433"/>
      <c r="M269" s="524"/>
      <c r="N269" s="1709">
        <f>+M270-N258</f>
        <v>-0.35028721207658425</v>
      </c>
      <c r="O269" s="524">
        <f>+N269*H258</f>
        <v>-1186795.3317649236</v>
      </c>
      <c r="P269" s="524"/>
      <c r="Q269" s="1710"/>
      <c r="S269" s="200"/>
    </row>
    <row r="270" spans="1:24" s="18" customFormat="1">
      <c r="D270" s="97"/>
      <c r="E270" s="26"/>
      <c r="F270" s="523"/>
      <c r="G270" s="523"/>
      <c r="H270" s="26"/>
      <c r="I270" s="26"/>
      <c r="J270" s="1209"/>
      <c r="K270" s="1712"/>
      <c r="L270" s="1713"/>
      <c r="M270" s="524">
        <v>0.3</v>
      </c>
      <c r="N270" s="524"/>
      <c r="O270" s="524"/>
      <c r="P270" s="524"/>
      <c r="Q270" s="1710"/>
      <c r="R270" s="26"/>
      <c r="S270" s="1714">
        <f>+R262+H262</f>
        <v>4838929.3862488717</v>
      </c>
      <c r="T270" s="1715"/>
    </row>
    <row r="271" spans="1:24" s="18" customFormat="1">
      <c r="D271" s="97"/>
      <c r="E271" s="1216"/>
      <c r="F271" s="97"/>
      <c r="G271" s="97"/>
      <c r="H271" s="26">
        <f>+H269-H258</f>
        <v>12010673.009999998</v>
      </c>
      <c r="I271" s="26"/>
      <c r="J271" s="1209"/>
      <c r="K271" s="1405">
        <f>+K269-K259</f>
        <v>532996.97867792484</v>
      </c>
      <c r="L271" s="1433"/>
      <c r="M271" s="524"/>
      <c r="N271" s="524"/>
      <c r="O271" s="524"/>
      <c r="P271" s="524"/>
      <c r="Q271" s="1710"/>
    </row>
    <row r="272" spans="1:24">
      <c r="F272" s="1237">
        <f>+H259/H258</f>
        <v>4.1769011972489736E-2</v>
      </c>
      <c r="H272" s="1716"/>
      <c r="I272" s="1716"/>
      <c r="J272" s="1716"/>
      <c r="K272" s="1320"/>
      <c r="M272" s="1717" t="e">
        <f>SUM(#REF!)</f>
        <v>#REF!</v>
      </c>
      <c r="N272" s="1718" t="e">
        <f>SUM(#REF!)</f>
        <v>#REF!</v>
      </c>
      <c r="O272" s="1718"/>
      <c r="P272" s="1718"/>
      <c r="Q272" s="1710"/>
      <c r="W272" s="1215"/>
    </row>
    <row r="273" spans="4:23">
      <c r="F273" s="1237">
        <f>+H260/H258</f>
        <v>9.4454202107859229E-3</v>
      </c>
      <c r="H273" s="1716"/>
      <c r="I273" s="1716"/>
      <c r="J273" s="1716"/>
      <c r="K273" s="1320">
        <v>3211.18999999994</v>
      </c>
      <c r="L273" s="1435"/>
      <c r="M273" s="1717"/>
      <c r="N273" s="1718"/>
      <c r="O273" s="1718"/>
      <c r="P273" s="1718"/>
      <c r="Q273" s="1710"/>
      <c r="W273" s="1215"/>
    </row>
    <row r="274" spans="4:23">
      <c r="H274" s="1716"/>
      <c r="I274" s="1716"/>
      <c r="J274" s="1716"/>
      <c r="K274" s="1321"/>
      <c r="L274" s="1435"/>
      <c r="M274" s="1717"/>
      <c r="N274" s="1709" t="e">
        <f>+N272/H258</f>
        <v>#REF!</v>
      </c>
      <c r="O274" s="1718"/>
      <c r="P274" s="1718"/>
      <c r="Q274" s="1710"/>
      <c r="R274" s="1719"/>
      <c r="W274" s="1215"/>
    </row>
    <row r="275" spans="4:23" ht="15.75">
      <c r="D275" s="1237"/>
      <c r="H275" s="1716"/>
      <c r="I275" s="1716"/>
      <c r="J275" s="1716"/>
      <c r="K275" s="1302"/>
      <c r="L275" s="1435"/>
      <c r="M275" s="1717"/>
      <c r="N275" s="1718"/>
      <c r="O275" s="1718"/>
      <c r="P275" s="1718"/>
      <c r="Q275" s="1710"/>
      <c r="R275" s="1719"/>
      <c r="W275" s="1215"/>
    </row>
    <row r="276" spans="4:23">
      <c r="H276" s="1716"/>
      <c r="I276" s="1716"/>
      <c r="J276" s="1716"/>
      <c r="K276" s="18"/>
      <c r="L276" s="1435"/>
      <c r="M276" s="1717"/>
      <c r="N276" s="1718"/>
      <c r="O276" s="1718"/>
      <c r="P276" s="1718"/>
      <c r="Q276" s="1710"/>
      <c r="R276" s="1719"/>
      <c r="W276" s="1215"/>
    </row>
    <row r="277" spans="4:23">
      <c r="H277" s="1716"/>
      <c r="I277" s="1716"/>
      <c r="J277" s="1716"/>
      <c r="K277" s="1716"/>
      <c r="L277" s="1435"/>
      <c r="M277" s="1717"/>
      <c r="N277" s="1718"/>
      <c r="O277" s="1718"/>
      <c r="P277" s="1718"/>
      <c r="Q277" s="1710"/>
      <c r="R277" s="1719"/>
      <c r="W277" s="1215"/>
    </row>
    <row r="278" spans="4:23">
      <c r="H278" s="1716"/>
      <c r="I278" s="1716"/>
      <c r="J278" s="1716"/>
      <c r="K278" s="1716"/>
      <c r="L278" s="1435"/>
      <c r="M278" s="1717"/>
      <c r="N278" s="1718"/>
      <c r="O278" s="1718"/>
      <c r="P278" s="1718"/>
      <c r="Q278" s="1710"/>
      <c r="R278" s="1719"/>
      <c r="W278" s="1215"/>
    </row>
    <row r="279" spans="4:23">
      <c r="H279" s="1716"/>
      <c r="I279" s="1716"/>
      <c r="J279" s="1716"/>
      <c r="K279" s="1716"/>
      <c r="L279" s="1435"/>
      <c r="M279" s="1717"/>
      <c r="N279" s="1718"/>
      <c r="O279" s="1718">
        <f>SUM(M92:M150)</f>
        <v>33153.800700000007</v>
      </c>
      <c r="P279" s="1718"/>
      <c r="Q279" s="1710"/>
      <c r="R279" s="1719"/>
      <c r="W279" s="1215"/>
    </row>
    <row r="280" spans="4:23">
      <c r="H280" s="1716"/>
      <c r="I280" s="1716"/>
      <c r="J280" s="1716"/>
      <c r="K280" s="1716"/>
      <c r="L280" s="1435"/>
      <c r="M280" s="1717"/>
      <c r="N280" s="1718"/>
      <c r="O280" s="1718"/>
      <c r="P280" s="1718"/>
      <c r="Q280" s="1710"/>
      <c r="R280" s="1719"/>
      <c r="W280" s="1215"/>
    </row>
    <row r="281" spans="4:23">
      <c r="H281" s="1716"/>
      <c r="I281" s="1716"/>
      <c r="J281" s="1716"/>
      <c r="K281" s="1716"/>
      <c r="L281" s="1435"/>
      <c r="M281" s="1717"/>
      <c r="N281" s="1718"/>
      <c r="O281" s="1718"/>
      <c r="P281" s="1718"/>
      <c r="Q281" s="1710"/>
      <c r="R281" s="1719"/>
      <c r="W281" s="1215"/>
    </row>
    <row r="282" spans="4:23">
      <c r="H282" s="1716"/>
      <c r="I282" s="1716"/>
      <c r="J282" s="1716"/>
      <c r="K282" s="1720"/>
      <c r="L282" s="1435"/>
      <c r="M282" s="1717"/>
      <c r="N282" s="1718"/>
      <c r="O282" s="1718"/>
      <c r="P282" s="1718"/>
      <c r="Q282" s="1710"/>
      <c r="R282" s="1719"/>
      <c r="W282" s="1215"/>
    </row>
    <row r="283" spans="4:23">
      <c r="H283" s="1716"/>
      <c r="I283" s="1716"/>
      <c r="J283" s="1716"/>
      <c r="K283" s="1716"/>
      <c r="L283" s="1435"/>
      <c r="M283" s="1717"/>
      <c r="N283" s="1718"/>
      <c r="O283" s="1718"/>
      <c r="P283" s="1718"/>
      <c r="Q283" s="1710"/>
      <c r="R283" s="1719"/>
      <c r="W283" s="1215"/>
    </row>
  </sheetData>
  <autoFilter ref="C1:C283" xr:uid="{00000000-0009-0000-0000-00001E000000}"/>
  <mergeCells count="31">
    <mergeCell ref="W11:Y11"/>
    <mergeCell ref="D265:J265"/>
    <mergeCell ref="K11:K12"/>
    <mergeCell ref="L11:L12"/>
    <mergeCell ref="M11:M12"/>
    <mergeCell ref="N11:N12"/>
    <mergeCell ref="O11:O12"/>
    <mergeCell ref="P11:P12"/>
    <mergeCell ref="Q9:S10"/>
    <mergeCell ref="J10:K10"/>
    <mergeCell ref="L10:M10"/>
    <mergeCell ref="N10:P10"/>
    <mergeCell ref="E11:E12"/>
    <mergeCell ref="F11:F12"/>
    <mergeCell ref="G11:G12"/>
    <mergeCell ref="H11:H12"/>
    <mergeCell ref="I11:I12"/>
    <mergeCell ref="J11:J12"/>
    <mergeCell ref="Q11:Q12"/>
    <mergeCell ref="R11:R12"/>
    <mergeCell ref="S11:S12"/>
    <mergeCell ref="B1:S1"/>
    <mergeCell ref="B2:S2"/>
    <mergeCell ref="B3:S3"/>
    <mergeCell ref="E4:O4"/>
    <mergeCell ref="R4:S4"/>
    <mergeCell ref="B9:B12"/>
    <mergeCell ref="C9:C12"/>
    <mergeCell ref="D9:D12"/>
    <mergeCell ref="J9:P9"/>
    <mergeCell ref="E9:I10"/>
  </mergeCells>
  <conditionalFormatting sqref="S263:S1048576 S2:S3 S5:S261">
    <cfRule type="cellIs" dxfId="6" priority="4" operator="lessThan">
      <formula>0</formula>
    </cfRule>
  </conditionalFormatting>
  <conditionalFormatting sqref="Q259:Q261 Q263:Q1048576 Q2:Q257">
    <cfRule type="cellIs" dxfId="5" priority="2" operator="lessThan">
      <formula>0</formula>
    </cfRule>
    <cfRule type="cellIs" dxfId="4" priority="3" operator="lessThan">
      <formula>0</formula>
    </cfRule>
  </conditionalFormatting>
  <conditionalFormatting sqref="S4">
    <cfRule type="cellIs" dxfId="3" priority="1" operator="lessThan">
      <formula>0</formula>
    </cfRule>
  </conditionalFormatting>
  <pageMargins left="3.937007874015748E-2" right="3.937007874015748E-2" top="0.55000000000000004" bottom="0.67" header="0.31496062992125984" footer="0.31496062992125984"/>
  <pageSetup paperSize="9" scale="64" fitToHeight="0" orientation="landscape" r:id="rId1"/>
  <rowBreaks count="7" manualBreakCount="7">
    <brk id="56" min="1" max="18" man="1"/>
    <brk id="96" min="1" max="18" man="1"/>
    <brk id="130" min="1" max="18" man="1"/>
    <brk id="167" min="1" max="18" man="1"/>
    <brk id="208" min="1" max="18" man="1"/>
    <brk id="244" min="1" max="18" man="1"/>
    <brk id="267"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B10" zoomScaleNormal="70" zoomScaleSheetLayoutView="100" workbookViewId="0">
      <selection activeCell="B2" sqref="B2:S2"/>
    </sheetView>
  </sheetViews>
  <sheetFormatPr baseColWidth="10" defaultRowHeight="13.5"/>
  <cols>
    <col min="1" max="1" width="4.140625" style="1215" customWidth="1"/>
    <col min="2" max="2" width="11.140625" style="1215" customWidth="1"/>
    <col min="3" max="3" width="71.85546875" style="1225" customWidth="1"/>
    <col min="4" max="4" width="9.42578125" style="1218" customWidth="1"/>
    <col min="5" max="5" width="10.5703125" style="1237" customWidth="1"/>
    <col min="6" max="7" width="10.5703125" style="1237" hidden="1" customWidth="1"/>
    <col min="8" max="8" width="17.42578125" style="1226" hidden="1" customWidth="1"/>
    <col min="9" max="9" width="15.5703125" style="1226" customWidth="1"/>
    <col min="10" max="11" width="12.5703125" style="1218" customWidth="1"/>
    <col min="12" max="12" width="12.5703125" style="1432" customWidth="1"/>
    <col min="13" max="13" width="12.5703125" style="1406" customWidth="1"/>
    <col min="14" max="16" width="12.5703125" style="1218" customWidth="1"/>
    <col min="17" max="17" width="12.5703125" style="1215" customWidth="1"/>
    <col min="18" max="18" width="13.5703125" style="1215" customWidth="1"/>
    <col min="19" max="20" width="12.5703125" style="1215" customWidth="1"/>
    <col min="21" max="21" width="13" style="1215" bestFit="1" customWidth="1"/>
    <col min="22" max="23" width="13" style="1215" customWidth="1"/>
    <col min="24" max="24" width="10.85546875" style="1218"/>
    <col min="25" max="25" width="10.85546875" style="1215"/>
    <col min="26" max="26" width="14.140625" style="1215" customWidth="1"/>
    <col min="27" max="262" width="10.85546875" style="1215"/>
    <col min="263" max="263" width="8.85546875" style="1215" customWidth="1"/>
    <col min="264" max="264" width="50" style="1215" customWidth="1"/>
    <col min="265" max="265" width="6.42578125" style="1215" bestFit="1" customWidth="1"/>
    <col min="266" max="266" width="8.85546875" style="1215" customWidth="1"/>
    <col min="267" max="267" width="8.5703125" style="1215" customWidth="1"/>
    <col min="268" max="268" width="11.42578125" style="1215" bestFit="1" customWidth="1"/>
    <col min="269" max="269" width="7.85546875" style="1215" bestFit="1" customWidth="1"/>
    <col min="270" max="270" width="11.5703125" style="1215" bestFit="1" customWidth="1"/>
    <col min="271" max="271" width="8" style="1215" bestFit="1" customWidth="1"/>
    <col min="272" max="272" width="11.5703125" style="1215" bestFit="1" customWidth="1"/>
    <col min="273" max="273" width="8.140625" style="1215" bestFit="1" customWidth="1"/>
    <col min="274" max="274" width="11.5703125" style="1215" bestFit="1" customWidth="1"/>
    <col min="275" max="275" width="8.42578125" style="1215" customWidth="1"/>
    <col min="276" max="276" width="7.42578125" style="1215" bestFit="1" customWidth="1"/>
    <col min="277" max="277" width="11.5703125" style="1215" bestFit="1" customWidth="1"/>
    <col min="278" max="278" width="8.140625" style="1215" customWidth="1"/>
    <col min="279" max="279" width="13" style="1215" bestFit="1" customWidth="1"/>
    <col min="280" max="518" width="10.85546875" style="1215"/>
    <col min="519" max="519" width="8.85546875" style="1215" customWidth="1"/>
    <col min="520" max="520" width="50" style="1215" customWidth="1"/>
    <col min="521" max="521" width="6.42578125" style="1215" bestFit="1" customWidth="1"/>
    <col min="522" max="522" width="8.85546875" style="1215" customWidth="1"/>
    <col min="523" max="523" width="8.5703125" style="1215" customWidth="1"/>
    <col min="524" max="524" width="11.42578125" style="1215" bestFit="1" customWidth="1"/>
    <col min="525" max="525" width="7.85546875" style="1215" bestFit="1" customWidth="1"/>
    <col min="526" max="526" width="11.5703125" style="1215" bestFit="1" customWidth="1"/>
    <col min="527" max="527" width="8" style="1215" bestFit="1" customWidth="1"/>
    <col min="528" max="528" width="11.5703125" style="1215" bestFit="1" customWidth="1"/>
    <col min="529" max="529" width="8.140625" style="1215" bestFit="1" customWidth="1"/>
    <col min="530" max="530" width="11.5703125" style="1215" bestFit="1" customWidth="1"/>
    <col min="531" max="531" width="8.42578125" style="1215" customWidth="1"/>
    <col min="532" max="532" width="7.42578125" style="1215" bestFit="1" customWidth="1"/>
    <col min="533" max="533" width="11.5703125" style="1215" bestFit="1" customWidth="1"/>
    <col min="534" max="534" width="8.140625" style="1215" customWidth="1"/>
    <col min="535" max="535" width="13" style="1215" bestFit="1" customWidth="1"/>
    <col min="536" max="774" width="10.85546875" style="1215"/>
    <col min="775" max="775" width="8.85546875" style="1215" customWidth="1"/>
    <col min="776" max="776" width="50" style="1215" customWidth="1"/>
    <col min="777" max="777" width="6.42578125" style="1215" bestFit="1" customWidth="1"/>
    <col min="778" max="778" width="8.85546875" style="1215" customWidth="1"/>
    <col min="779" max="779" width="8.5703125" style="1215" customWidth="1"/>
    <col min="780" max="780" width="11.42578125" style="1215" bestFit="1" customWidth="1"/>
    <col min="781" max="781" width="7.85546875" style="1215" bestFit="1" customWidth="1"/>
    <col min="782" max="782" width="11.5703125" style="1215" bestFit="1" customWidth="1"/>
    <col min="783" max="783" width="8" style="1215" bestFit="1" customWidth="1"/>
    <col min="784" max="784" width="11.5703125" style="1215" bestFit="1" customWidth="1"/>
    <col min="785" max="785" width="8.140625" style="1215" bestFit="1" customWidth="1"/>
    <col min="786" max="786" width="11.5703125" style="1215" bestFit="1" customWidth="1"/>
    <col min="787" max="787" width="8.42578125" style="1215" customWidth="1"/>
    <col min="788" max="788" width="7.42578125" style="1215" bestFit="1" customWidth="1"/>
    <col min="789" max="789" width="11.5703125" style="1215" bestFit="1" customWidth="1"/>
    <col min="790" max="790" width="8.140625" style="1215" customWidth="1"/>
    <col min="791" max="791" width="13" style="1215" bestFit="1" customWidth="1"/>
    <col min="792" max="1030" width="10.85546875" style="1215"/>
    <col min="1031" max="1031" width="8.85546875" style="1215" customWidth="1"/>
    <col min="1032" max="1032" width="50" style="1215" customWidth="1"/>
    <col min="1033" max="1033" width="6.42578125" style="1215" bestFit="1" customWidth="1"/>
    <col min="1034" max="1034" width="8.85546875" style="1215" customWidth="1"/>
    <col min="1035" max="1035" width="8.5703125" style="1215" customWidth="1"/>
    <col min="1036" max="1036" width="11.42578125" style="1215" bestFit="1" customWidth="1"/>
    <col min="1037" max="1037" width="7.85546875" style="1215" bestFit="1" customWidth="1"/>
    <col min="1038" max="1038" width="11.5703125" style="1215" bestFit="1" customWidth="1"/>
    <col min="1039" max="1039" width="8" style="1215" bestFit="1" customWidth="1"/>
    <col min="1040" max="1040" width="11.5703125" style="1215" bestFit="1" customWidth="1"/>
    <col min="1041" max="1041" width="8.140625" style="1215" bestFit="1" customWidth="1"/>
    <col min="1042" max="1042" width="11.5703125" style="1215" bestFit="1" customWidth="1"/>
    <col min="1043" max="1043" width="8.42578125" style="1215" customWidth="1"/>
    <col min="1044" max="1044" width="7.42578125" style="1215" bestFit="1" customWidth="1"/>
    <col min="1045" max="1045" width="11.5703125" style="1215" bestFit="1" customWidth="1"/>
    <col min="1046" max="1046" width="8.140625" style="1215" customWidth="1"/>
    <col min="1047" max="1047" width="13" style="1215" bestFit="1" customWidth="1"/>
    <col min="1048" max="1286" width="10.85546875" style="1215"/>
    <col min="1287" max="1287" width="8.85546875" style="1215" customWidth="1"/>
    <col min="1288" max="1288" width="50" style="1215" customWidth="1"/>
    <col min="1289" max="1289" width="6.42578125" style="1215" bestFit="1" customWidth="1"/>
    <col min="1290" max="1290" width="8.85546875" style="1215" customWidth="1"/>
    <col min="1291" max="1291" width="8.5703125" style="1215" customWidth="1"/>
    <col min="1292" max="1292" width="11.42578125" style="1215" bestFit="1" customWidth="1"/>
    <col min="1293" max="1293" width="7.85546875" style="1215" bestFit="1" customWidth="1"/>
    <col min="1294" max="1294" width="11.5703125" style="1215" bestFit="1" customWidth="1"/>
    <col min="1295" max="1295" width="8" style="1215" bestFit="1" customWidth="1"/>
    <col min="1296" max="1296" width="11.5703125" style="1215" bestFit="1" customWidth="1"/>
    <col min="1297" max="1297" width="8.140625" style="1215" bestFit="1" customWidth="1"/>
    <col min="1298" max="1298" width="11.5703125" style="1215" bestFit="1" customWidth="1"/>
    <col min="1299" max="1299" width="8.42578125" style="1215" customWidth="1"/>
    <col min="1300" max="1300" width="7.42578125" style="1215" bestFit="1" customWidth="1"/>
    <col min="1301" max="1301" width="11.5703125" style="1215" bestFit="1" customWidth="1"/>
    <col min="1302" max="1302" width="8.140625" style="1215" customWidth="1"/>
    <col min="1303" max="1303" width="13" style="1215" bestFit="1" customWidth="1"/>
    <col min="1304" max="1542" width="10.85546875" style="1215"/>
    <col min="1543" max="1543" width="8.85546875" style="1215" customWidth="1"/>
    <col min="1544" max="1544" width="50" style="1215" customWidth="1"/>
    <col min="1545" max="1545" width="6.42578125" style="1215" bestFit="1" customWidth="1"/>
    <col min="1546" max="1546" width="8.85546875" style="1215" customWidth="1"/>
    <col min="1547" max="1547" width="8.5703125" style="1215" customWidth="1"/>
    <col min="1548" max="1548" width="11.42578125" style="1215" bestFit="1" customWidth="1"/>
    <col min="1549" max="1549" width="7.85546875" style="1215" bestFit="1" customWidth="1"/>
    <col min="1550" max="1550" width="11.5703125" style="1215" bestFit="1" customWidth="1"/>
    <col min="1551" max="1551" width="8" style="1215" bestFit="1" customWidth="1"/>
    <col min="1552" max="1552" width="11.5703125" style="1215" bestFit="1" customWidth="1"/>
    <col min="1553" max="1553" width="8.140625" style="1215" bestFit="1" customWidth="1"/>
    <col min="1554" max="1554" width="11.5703125" style="1215" bestFit="1" customWidth="1"/>
    <col min="1555" max="1555" width="8.42578125" style="1215" customWidth="1"/>
    <col min="1556" max="1556" width="7.42578125" style="1215" bestFit="1" customWidth="1"/>
    <col min="1557" max="1557" width="11.5703125" style="1215" bestFit="1" customWidth="1"/>
    <col min="1558" max="1558" width="8.140625" style="1215" customWidth="1"/>
    <col min="1559" max="1559" width="13" style="1215" bestFit="1" customWidth="1"/>
    <col min="1560" max="1798" width="10.85546875" style="1215"/>
    <col min="1799" max="1799" width="8.85546875" style="1215" customWidth="1"/>
    <col min="1800" max="1800" width="50" style="1215" customWidth="1"/>
    <col min="1801" max="1801" width="6.42578125" style="1215" bestFit="1" customWidth="1"/>
    <col min="1802" max="1802" width="8.85546875" style="1215" customWidth="1"/>
    <col min="1803" max="1803" width="8.5703125" style="1215" customWidth="1"/>
    <col min="1804" max="1804" width="11.42578125" style="1215" bestFit="1" customWidth="1"/>
    <col min="1805" max="1805" width="7.85546875" style="1215" bestFit="1" customWidth="1"/>
    <col min="1806" max="1806" width="11.5703125" style="1215" bestFit="1" customWidth="1"/>
    <col min="1807" max="1807" width="8" style="1215" bestFit="1" customWidth="1"/>
    <col min="1808" max="1808" width="11.5703125" style="1215" bestFit="1" customWidth="1"/>
    <col min="1809" max="1809" width="8.140625" style="1215" bestFit="1" customWidth="1"/>
    <col min="1810" max="1810" width="11.5703125" style="1215" bestFit="1" customWidth="1"/>
    <col min="1811" max="1811" width="8.42578125" style="1215" customWidth="1"/>
    <col min="1812" max="1812" width="7.42578125" style="1215" bestFit="1" customWidth="1"/>
    <col min="1813" max="1813" width="11.5703125" style="1215" bestFit="1" customWidth="1"/>
    <col min="1814" max="1814" width="8.140625" style="1215" customWidth="1"/>
    <col min="1815" max="1815" width="13" style="1215" bestFit="1" customWidth="1"/>
    <col min="1816" max="2054" width="10.85546875" style="1215"/>
    <col min="2055" max="2055" width="8.85546875" style="1215" customWidth="1"/>
    <col min="2056" max="2056" width="50" style="1215" customWidth="1"/>
    <col min="2057" max="2057" width="6.42578125" style="1215" bestFit="1" customWidth="1"/>
    <col min="2058" max="2058" width="8.85546875" style="1215" customWidth="1"/>
    <col min="2059" max="2059" width="8.5703125" style="1215" customWidth="1"/>
    <col min="2060" max="2060" width="11.42578125" style="1215" bestFit="1" customWidth="1"/>
    <col min="2061" max="2061" width="7.85546875" style="1215" bestFit="1" customWidth="1"/>
    <col min="2062" max="2062" width="11.5703125" style="1215" bestFit="1" customWidth="1"/>
    <col min="2063" max="2063" width="8" style="1215" bestFit="1" customWidth="1"/>
    <col min="2064" max="2064" width="11.5703125" style="1215" bestFit="1" customWidth="1"/>
    <col min="2065" max="2065" width="8.140625" style="1215" bestFit="1" customWidth="1"/>
    <col min="2066" max="2066" width="11.5703125" style="1215" bestFit="1" customWidth="1"/>
    <col min="2067" max="2067" width="8.42578125" style="1215" customWidth="1"/>
    <col min="2068" max="2068" width="7.42578125" style="1215" bestFit="1" customWidth="1"/>
    <col min="2069" max="2069" width="11.5703125" style="1215" bestFit="1" customWidth="1"/>
    <col min="2070" max="2070" width="8.140625" style="1215" customWidth="1"/>
    <col min="2071" max="2071" width="13" style="1215" bestFit="1" customWidth="1"/>
    <col min="2072" max="2310" width="10.85546875" style="1215"/>
    <col min="2311" max="2311" width="8.85546875" style="1215" customWidth="1"/>
    <col min="2312" max="2312" width="50" style="1215" customWidth="1"/>
    <col min="2313" max="2313" width="6.42578125" style="1215" bestFit="1" customWidth="1"/>
    <col min="2314" max="2314" width="8.85546875" style="1215" customWidth="1"/>
    <col min="2315" max="2315" width="8.5703125" style="1215" customWidth="1"/>
    <col min="2316" max="2316" width="11.42578125" style="1215" bestFit="1" customWidth="1"/>
    <col min="2317" max="2317" width="7.85546875" style="1215" bestFit="1" customWidth="1"/>
    <col min="2318" max="2318" width="11.5703125" style="1215" bestFit="1" customWidth="1"/>
    <col min="2319" max="2319" width="8" style="1215" bestFit="1" customWidth="1"/>
    <col min="2320" max="2320" width="11.5703125" style="1215" bestFit="1" customWidth="1"/>
    <col min="2321" max="2321" width="8.140625" style="1215" bestFit="1" customWidth="1"/>
    <col min="2322" max="2322" width="11.5703125" style="1215" bestFit="1" customWidth="1"/>
    <col min="2323" max="2323" width="8.42578125" style="1215" customWidth="1"/>
    <col min="2324" max="2324" width="7.42578125" style="1215" bestFit="1" customWidth="1"/>
    <col min="2325" max="2325" width="11.5703125" style="1215" bestFit="1" customWidth="1"/>
    <col min="2326" max="2326" width="8.140625" style="1215" customWidth="1"/>
    <col min="2327" max="2327" width="13" style="1215" bestFit="1" customWidth="1"/>
    <col min="2328" max="2566" width="10.85546875" style="1215"/>
    <col min="2567" max="2567" width="8.85546875" style="1215" customWidth="1"/>
    <col min="2568" max="2568" width="50" style="1215" customWidth="1"/>
    <col min="2569" max="2569" width="6.42578125" style="1215" bestFit="1" customWidth="1"/>
    <col min="2570" max="2570" width="8.85546875" style="1215" customWidth="1"/>
    <col min="2571" max="2571" width="8.5703125" style="1215" customWidth="1"/>
    <col min="2572" max="2572" width="11.42578125" style="1215" bestFit="1" customWidth="1"/>
    <col min="2573" max="2573" width="7.85546875" style="1215" bestFit="1" customWidth="1"/>
    <col min="2574" max="2574" width="11.5703125" style="1215" bestFit="1" customWidth="1"/>
    <col min="2575" max="2575" width="8" style="1215" bestFit="1" customWidth="1"/>
    <col min="2576" max="2576" width="11.5703125" style="1215" bestFit="1" customWidth="1"/>
    <col min="2577" max="2577" width="8.140625" style="1215" bestFit="1" customWidth="1"/>
    <col min="2578" max="2578" width="11.5703125" style="1215" bestFit="1" customWidth="1"/>
    <col min="2579" max="2579" width="8.42578125" style="1215" customWidth="1"/>
    <col min="2580" max="2580" width="7.42578125" style="1215" bestFit="1" customWidth="1"/>
    <col min="2581" max="2581" width="11.5703125" style="1215" bestFit="1" customWidth="1"/>
    <col min="2582" max="2582" width="8.140625" style="1215" customWidth="1"/>
    <col min="2583" max="2583" width="13" style="1215" bestFit="1" customWidth="1"/>
    <col min="2584" max="2822" width="10.85546875" style="1215"/>
    <col min="2823" max="2823" width="8.85546875" style="1215" customWidth="1"/>
    <col min="2824" max="2824" width="50" style="1215" customWidth="1"/>
    <col min="2825" max="2825" width="6.42578125" style="1215" bestFit="1" customWidth="1"/>
    <col min="2826" max="2826" width="8.85546875" style="1215" customWidth="1"/>
    <col min="2827" max="2827" width="8.5703125" style="1215" customWidth="1"/>
    <col min="2828" max="2828" width="11.42578125" style="1215" bestFit="1" customWidth="1"/>
    <col min="2829" max="2829" width="7.85546875" style="1215" bestFit="1" customWidth="1"/>
    <col min="2830" max="2830" width="11.5703125" style="1215" bestFit="1" customWidth="1"/>
    <col min="2831" max="2831" width="8" style="1215" bestFit="1" customWidth="1"/>
    <col min="2832" max="2832" width="11.5703125" style="1215" bestFit="1" customWidth="1"/>
    <col min="2833" max="2833" width="8.140625" style="1215" bestFit="1" customWidth="1"/>
    <col min="2834" max="2834" width="11.5703125" style="1215" bestFit="1" customWidth="1"/>
    <col min="2835" max="2835" width="8.42578125" style="1215" customWidth="1"/>
    <col min="2836" max="2836" width="7.42578125" style="1215" bestFit="1" customWidth="1"/>
    <col min="2837" max="2837" width="11.5703125" style="1215" bestFit="1" customWidth="1"/>
    <col min="2838" max="2838" width="8.140625" style="1215" customWidth="1"/>
    <col min="2839" max="2839" width="13" style="1215" bestFit="1" customWidth="1"/>
    <col min="2840" max="3078" width="10.85546875" style="1215"/>
    <col min="3079" max="3079" width="8.85546875" style="1215" customWidth="1"/>
    <col min="3080" max="3080" width="50" style="1215" customWidth="1"/>
    <col min="3081" max="3081" width="6.42578125" style="1215" bestFit="1" customWidth="1"/>
    <col min="3082" max="3082" width="8.85546875" style="1215" customWidth="1"/>
    <col min="3083" max="3083" width="8.5703125" style="1215" customWidth="1"/>
    <col min="3084" max="3084" width="11.42578125" style="1215" bestFit="1" customWidth="1"/>
    <col min="3085" max="3085" width="7.85546875" style="1215" bestFit="1" customWidth="1"/>
    <col min="3086" max="3086" width="11.5703125" style="1215" bestFit="1" customWidth="1"/>
    <col min="3087" max="3087" width="8" style="1215" bestFit="1" customWidth="1"/>
    <col min="3088" max="3088" width="11.5703125" style="1215" bestFit="1" customWidth="1"/>
    <col min="3089" max="3089" width="8.140625" style="1215" bestFit="1" customWidth="1"/>
    <col min="3090" max="3090" width="11.5703125" style="1215" bestFit="1" customWidth="1"/>
    <col min="3091" max="3091" width="8.42578125" style="1215" customWidth="1"/>
    <col min="3092" max="3092" width="7.42578125" style="1215" bestFit="1" customWidth="1"/>
    <col min="3093" max="3093" width="11.5703125" style="1215" bestFit="1" customWidth="1"/>
    <col min="3094" max="3094" width="8.140625" style="1215" customWidth="1"/>
    <col min="3095" max="3095" width="13" style="1215" bestFit="1" customWidth="1"/>
    <col min="3096" max="3334" width="10.85546875" style="1215"/>
    <col min="3335" max="3335" width="8.85546875" style="1215" customWidth="1"/>
    <col min="3336" max="3336" width="50" style="1215" customWidth="1"/>
    <col min="3337" max="3337" width="6.42578125" style="1215" bestFit="1" customWidth="1"/>
    <col min="3338" max="3338" width="8.85546875" style="1215" customWidth="1"/>
    <col min="3339" max="3339" width="8.5703125" style="1215" customWidth="1"/>
    <col min="3340" max="3340" width="11.42578125" style="1215" bestFit="1" customWidth="1"/>
    <col min="3341" max="3341" width="7.85546875" style="1215" bestFit="1" customWidth="1"/>
    <col min="3342" max="3342" width="11.5703125" style="1215" bestFit="1" customWidth="1"/>
    <col min="3343" max="3343" width="8" style="1215" bestFit="1" customWidth="1"/>
    <col min="3344" max="3344" width="11.5703125" style="1215" bestFit="1" customWidth="1"/>
    <col min="3345" max="3345" width="8.140625" style="1215" bestFit="1" customWidth="1"/>
    <col min="3346" max="3346" width="11.5703125" style="1215" bestFit="1" customWidth="1"/>
    <col min="3347" max="3347" width="8.42578125" style="1215" customWidth="1"/>
    <col min="3348" max="3348" width="7.42578125" style="1215" bestFit="1" customWidth="1"/>
    <col min="3349" max="3349" width="11.5703125" style="1215" bestFit="1" customWidth="1"/>
    <col min="3350" max="3350" width="8.140625" style="1215" customWidth="1"/>
    <col min="3351" max="3351" width="13" style="1215" bestFit="1" customWidth="1"/>
    <col min="3352" max="3590" width="10.85546875" style="1215"/>
    <col min="3591" max="3591" width="8.85546875" style="1215" customWidth="1"/>
    <col min="3592" max="3592" width="50" style="1215" customWidth="1"/>
    <col min="3593" max="3593" width="6.42578125" style="1215" bestFit="1" customWidth="1"/>
    <col min="3594" max="3594" width="8.85546875" style="1215" customWidth="1"/>
    <col min="3595" max="3595" width="8.5703125" style="1215" customWidth="1"/>
    <col min="3596" max="3596" width="11.42578125" style="1215" bestFit="1" customWidth="1"/>
    <col min="3597" max="3597" width="7.85546875" style="1215" bestFit="1" customWidth="1"/>
    <col min="3598" max="3598" width="11.5703125" style="1215" bestFit="1" customWidth="1"/>
    <col min="3599" max="3599" width="8" style="1215" bestFit="1" customWidth="1"/>
    <col min="3600" max="3600" width="11.5703125" style="1215" bestFit="1" customWidth="1"/>
    <col min="3601" max="3601" width="8.140625" style="1215" bestFit="1" customWidth="1"/>
    <col min="3602" max="3602" width="11.5703125" style="1215" bestFit="1" customWidth="1"/>
    <col min="3603" max="3603" width="8.42578125" style="1215" customWidth="1"/>
    <col min="3604" max="3604" width="7.42578125" style="1215" bestFit="1" customWidth="1"/>
    <col min="3605" max="3605" width="11.5703125" style="1215" bestFit="1" customWidth="1"/>
    <col min="3606" max="3606" width="8.140625" style="1215" customWidth="1"/>
    <col min="3607" max="3607" width="13" style="1215" bestFit="1" customWidth="1"/>
    <col min="3608" max="3846" width="10.85546875" style="1215"/>
    <col min="3847" max="3847" width="8.85546875" style="1215" customWidth="1"/>
    <col min="3848" max="3848" width="50" style="1215" customWidth="1"/>
    <col min="3849" max="3849" width="6.42578125" style="1215" bestFit="1" customWidth="1"/>
    <col min="3850" max="3850" width="8.85546875" style="1215" customWidth="1"/>
    <col min="3851" max="3851" width="8.5703125" style="1215" customWidth="1"/>
    <col min="3852" max="3852" width="11.42578125" style="1215" bestFit="1" customWidth="1"/>
    <col min="3853" max="3853" width="7.85546875" style="1215" bestFit="1" customWidth="1"/>
    <col min="3854" max="3854" width="11.5703125" style="1215" bestFit="1" customWidth="1"/>
    <col min="3855" max="3855" width="8" style="1215" bestFit="1" customWidth="1"/>
    <col min="3856" max="3856" width="11.5703125" style="1215" bestFit="1" customWidth="1"/>
    <col min="3857" max="3857" width="8.140625" style="1215" bestFit="1" customWidth="1"/>
    <col min="3858" max="3858" width="11.5703125" style="1215" bestFit="1" customWidth="1"/>
    <col min="3859" max="3859" width="8.42578125" style="1215" customWidth="1"/>
    <col min="3860" max="3860" width="7.42578125" style="1215" bestFit="1" customWidth="1"/>
    <col min="3861" max="3861" width="11.5703125" style="1215" bestFit="1" customWidth="1"/>
    <col min="3862" max="3862" width="8.140625" style="1215" customWidth="1"/>
    <col min="3863" max="3863" width="13" style="1215" bestFit="1" customWidth="1"/>
    <col min="3864" max="4102" width="10.85546875" style="1215"/>
    <col min="4103" max="4103" width="8.85546875" style="1215" customWidth="1"/>
    <col min="4104" max="4104" width="50" style="1215" customWidth="1"/>
    <col min="4105" max="4105" width="6.42578125" style="1215" bestFit="1" customWidth="1"/>
    <col min="4106" max="4106" width="8.85546875" style="1215" customWidth="1"/>
    <col min="4107" max="4107" width="8.5703125" style="1215" customWidth="1"/>
    <col min="4108" max="4108" width="11.42578125" style="1215" bestFit="1" customWidth="1"/>
    <col min="4109" max="4109" width="7.85546875" style="1215" bestFit="1" customWidth="1"/>
    <col min="4110" max="4110" width="11.5703125" style="1215" bestFit="1" customWidth="1"/>
    <col min="4111" max="4111" width="8" style="1215" bestFit="1" customWidth="1"/>
    <col min="4112" max="4112" width="11.5703125" style="1215" bestFit="1" customWidth="1"/>
    <col min="4113" max="4113" width="8.140625" style="1215" bestFit="1" customWidth="1"/>
    <col min="4114" max="4114" width="11.5703125" style="1215" bestFit="1" customWidth="1"/>
    <col min="4115" max="4115" width="8.42578125" style="1215" customWidth="1"/>
    <col min="4116" max="4116" width="7.42578125" style="1215" bestFit="1" customWidth="1"/>
    <col min="4117" max="4117" width="11.5703125" style="1215" bestFit="1" customWidth="1"/>
    <col min="4118" max="4118" width="8.140625" style="1215" customWidth="1"/>
    <col min="4119" max="4119" width="13" style="1215" bestFit="1" customWidth="1"/>
    <col min="4120" max="4358" width="10.85546875" style="1215"/>
    <col min="4359" max="4359" width="8.85546875" style="1215" customWidth="1"/>
    <col min="4360" max="4360" width="50" style="1215" customWidth="1"/>
    <col min="4361" max="4361" width="6.42578125" style="1215" bestFit="1" customWidth="1"/>
    <col min="4362" max="4362" width="8.85546875" style="1215" customWidth="1"/>
    <col min="4363" max="4363" width="8.5703125" style="1215" customWidth="1"/>
    <col min="4364" max="4364" width="11.42578125" style="1215" bestFit="1" customWidth="1"/>
    <col min="4365" max="4365" width="7.85546875" style="1215" bestFit="1" customWidth="1"/>
    <col min="4366" max="4366" width="11.5703125" style="1215" bestFit="1" customWidth="1"/>
    <col min="4367" max="4367" width="8" style="1215" bestFit="1" customWidth="1"/>
    <col min="4368" max="4368" width="11.5703125" style="1215" bestFit="1" customWidth="1"/>
    <col min="4369" max="4369" width="8.140625" style="1215" bestFit="1" customWidth="1"/>
    <col min="4370" max="4370" width="11.5703125" style="1215" bestFit="1" customWidth="1"/>
    <col min="4371" max="4371" width="8.42578125" style="1215" customWidth="1"/>
    <col min="4372" max="4372" width="7.42578125" style="1215" bestFit="1" customWidth="1"/>
    <col min="4373" max="4373" width="11.5703125" style="1215" bestFit="1" customWidth="1"/>
    <col min="4374" max="4374" width="8.140625" style="1215" customWidth="1"/>
    <col min="4375" max="4375" width="13" style="1215" bestFit="1" customWidth="1"/>
    <col min="4376" max="4614" width="10.85546875" style="1215"/>
    <col min="4615" max="4615" width="8.85546875" style="1215" customWidth="1"/>
    <col min="4616" max="4616" width="50" style="1215" customWidth="1"/>
    <col min="4617" max="4617" width="6.42578125" style="1215" bestFit="1" customWidth="1"/>
    <col min="4618" max="4618" width="8.85546875" style="1215" customWidth="1"/>
    <col min="4619" max="4619" width="8.5703125" style="1215" customWidth="1"/>
    <col min="4620" max="4620" width="11.42578125" style="1215" bestFit="1" customWidth="1"/>
    <col min="4621" max="4621" width="7.85546875" style="1215" bestFit="1" customWidth="1"/>
    <col min="4622" max="4622" width="11.5703125" style="1215" bestFit="1" customWidth="1"/>
    <col min="4623" max="4623" width="8" style="1215" bestFit="1" customWidth="1"/>
    <col min="4624" max="4624" width="11.5703125" style="1215" bestFit="1" customWidth="1"/>
    <col min="4625" max="4625" width="8.140625" style="1215" bestFit="1" customWidth="1"/>
    <col min="4626" max="4626" width="11.5703125" style="1215" bestFit="1" customWidth="1"/>
    <col min="4627" max="4627" width="8.42578125" style="1215" customWidth="1"/>
    <col min="4628" max="4628" width="7.42578125" style="1215" bestFit="1" customWidth="1"/>
    <col min="4629" max="4629" width="11.5703125" style="1215" bestFit="1" customWidth="1"/>
    <col min="4630" max="4630" width="8.140625" style="1215" customWidth="1"/>
    <col min="4631" max="4631" width="13" style="1215" bestFit="1" customWidth="1"/>
    <col min="4632" max="4870" width="10.85546875" style="1215"/>
    <col min="4871" max="4871" width="8.85546875" style="1215" customWidth="1"/>
    <col min="4872" max="4872" width="50" style="1215" customWidth="1"/>
    <col min="4873" max="4873" width="6.42578125" style="1215" bestFit="1" customWidth="1"/>
    <col min="4874" max="4874" width="8.85546875" style="1215" customWidth="1"/>
    <col min="4875" max="4875" width="8.5703125" style="1215" customWidth="1"/>
    <col min="4876" max="4876" width="11.42578125" style="1215" bestFit="1" customWidth="1"/>
    <col min="4877" max="4877" width="7.85546875" style="1215" bestFit="1" customWidth="1"/>
    <col min="4878" max="4878" width="11.5703125" style="1215" bestFit="1" customWidth="1"/>
    <col min="4879" max="4879" width="8" style="1215" bestFit="1" customWidth="1"/>
    <col min="4880" max="4880" width="11.5703125" style="1215" bestFit="1" customWidth="1"/>
    <col min="4881" max="4881" width="8.140625" style="1215" bestFit="1" customWidth="1"/>
    <col min="4882" max="4882" width="11.5703125" style="1215" bestFit="1" customWidth="1"/>
    <col min="4883" max="4883" width="8.42578125" style="1215" customWidth="1"/>
    <col min="4884" max="4884" width="7.42578125" style="1215" bestFit="1" customWidth="1"/>
    <col min="4885" max="4885" width="11.5703125" style="1215" bestFit="1" customWidth="1"/>
    <col min="4886" max="4886" width="8.140625" style="1215" customWidth="1"/>
    <col min="4887" max="4887" width="13" style="1215" bestFit="1" customWidth="1"/>
    <col min="4888" max="5126" width="10.85546875" style="1215"/>
    <col min="5127" max="5127" width="8.85546875" style="1215" customWidth="1"/>
    <col min="5128" max="5128" width="50" style="1215" customWidth="1"/>
    <col min="5129" max="5129" width="6.42578125" style="1215" bestFit="1" customWidth="1"/>
    <col min="5130" max="5130" width="8.85546875" style="1215" customWidth="1"/>
    <col min="5131" max="5131" width="8.5703125" style="1215" customWidth="1"/>
    <col min="5132" max="5132" width="11.42578125" style="1215" bestFit="1" customWidth="1"/>
    <col min="5133" max="5133" width="7.85546875" style="1215" bestFit="1" customWidth="1"/>
    <col min="5134" max="5134" width="11.5703125" style="1215" bestFit="1" customWidth="1"/>
    <col min="5135" max="5135" width="8" style="1215" bestFit="1" customWidth="1"/>
    <col min="5136" max="5136" width="11.5703125" style="1215" bestFit="1" customWidth="1"/>
    <col min="5137" max="5137" width="8.140625" style="1215" bestFit="1" customWidth="1"/>
    <col min="5138" max="5138" width="11.5703125" style="1215" bestFit="1" customWidth="1"/>
    <col min="5139" max="5139" width="8.42578125" style="1215" customWidth="1"/>
    <col min="5140" max="5140" width="7.42578125" style="1215" bestFit="1" customWidth="1"/>
    <col min="5141" max="5141" width="11.5703125" style="1215" bestFit="1" customWidth="1"/>
    <col min="5142" max="5142" width="8.140625" style="1215" customWidth="1"/>
    <col min="5143" max="5143" width="13" style="1215" bestFit="1" customWidth="1"/>
    <col min="5144" max="5382" width="10.85546875" style="1215"/>
    <col min="5383" max="5383" width="8.85546875" style="1215" customWidth="1"/>
    <col min="5384" max="5384" width="50" style="1215" customWidth="1"/>
    <col min="5385" max="5385" width="6.42578125" style="1215" bestFit="1" customWidth="1"/>
    <col min="5386" max="5386" width="8.85546875" style="1215" customWidth="1"/>
    <col min="5387" max="5387" width="8.5703125" style="1215" customWidth="1"/>
    <col min="5388" max="5388" width="11.42578125" style="1215" bestFit="1" customWidth="1"/>
    <col min="5389" max="5389" width="7.85546875" style="1215" bestFit="1" customWidth="1"/>
    <col min="5390" max="5390" width="11.5703125" style="1215" bestFit="1" customWidth="1"/>
    <col min="5391" max="5391" width="8" style="1215" bestFit="1" customWidth="1"/>
    <col min="5392" max="5392" width="11.5703125" style="1215" bestFit="1" customWidth="1"/>
    <col min="5393" max="5393" width="8.140625" style="1215" bestFit="1" customWidth="1"/>
    <col min="5394" max="5394" width="11.5703125" style="1215" bestFit="1" customWidth="1"/>
    <col min="5395" max="5395" width="8.42578125" style="1215" customWidth="1"/>
    <col min="5396" max="5396" width="7.42578125" style="1215" bestFit="1" customWidth="1"/>
    <col min="5397" max="5397" width="11.5703125" style="1215" bestFit="1" customWidth="1"/>
    <col min="5398" max="5398" width="8.140625" style="1215" customWidth="1"/>
    <col min="5399" max="5399" width="13" style="1215" bestFit="1" customWidth="1"/>
    <col min="5400" max="5638" width="10.85546875" style="1215"/>
    <col min="5639" max="5639" width="8.85546875" style="1215" customWidth="1"/>
    <col min="5640" max="5640" width="50" style="1215" customWidth="1"/>
    <col min="5641" max="5641" width="6.42578125" style="1215" bestFit="1" customWidth="1"/>
    <col min="5642" max="5642" width="8.85546875" style="1215" customWidth="1"/>
    <col min="5643" max="5643" width="8.5703125" style="1215" customWidth="1"/>
    <col min="5644" max="5644" width="11.42578125" style="1215" bestFit="1" customWidth="1"/>
    <col min="5645" max="5645" width="7.85546875" style="1215" bestFit="1" customWidth="1"/>
    <col min="5646" max="5646" width="11.5703125" style="1215" bestFit="1" customWidth="1"/>
    <col min="5647" max="5647" width="8" style="1215" bestFit="1" customWidth="1"/>
    <col min="5648" max="5648" width="11.5703125" style="1215" bestFit="1" customWidth="1"/>
    <col min="5649" max="5649" width="8.140625" style="1215" bestFit="1" customWidth="1"/>
    <col min="5650" max="5650" width="11.5703125" style="1215" bestFit="1" customWidth="1"/>
    <col min="5651" max="5651" width="8.42578125" style="1215" customWidth="1"/>
    <col min="5652" max="5652" width="7.42578125" style="1215" bestFit="1" customWidth="1"/>
    <col min="5653" max="5653" width="11.5703125" style="1215" bestFit="1" customWidth="1"/>
    <col min="5654" max="5654" width="8.140625" style="1215" customWidth="1"/>
    <col min="5655" max="5655" width="13" style="1215" bestFit="1" customWidth="1"/>
    <col min="5656" max="5894" width="10.85546875" style="1215"/>
    <col min="5895" max="5895" width="8.85546875" style="1215" customWidth="1"/>
    <col min="5896" max="5896" width="50" style="1215" customWidth="1"/>
    <col min="5897" max="5897" width="6.42578125" style="1215" bestFit="1" customWidth="1"/>
    <col min="5898" max="5898" width="8.85546875" style="1215" customWidth="1"/>
    <col min="5899" max="5899" width="8.5703125" style="1215" customWidth="1"/>
    <col min="5900" max="5900" width="11.42578125" style="1215" bestFit="1" customWidth="1"/>
    <col min="5901" max="5901" width="7.85546875" style="1215" bestFit="1" customWidth="1"/>
    <col min="5902" max="5902" width="11.5703125" style="1215" bestFit="1" customWidth="1"/>
    <col min="5903" max="5903" width="8" style="1215" bestFit="1" customWidth="1"/>
    <col min="5904" max="5904" width="11.5703125" style="1215" bestFit="1" customWidth="1"/>
    <col min="5905" max="5905" width="8.140625" style="1215" bestFit="1" customWidth="1"/>
    <col min="5906" max="5906" width="11.5703125" style="1215" bestFit="1" customWidth="1"/>
    <col min="5907" max="5907" width="8.42578125" style="1215" customWidth="1"/>
    <col min="5908" max="5908" width="7.42578125" style="1215" bestFit="1" customWidth="1"/>
    <col min="5909" max="5909" width="11.5703125" style="1215" bestFit="1" customWidth="1"/>
    <col min="5910" max="5910" width="8.140625" style="1215" customWidth="1"/>
    <col min="5911" max="5911" width="13" style="1215" bestFit="1" customWidth="1"/>
    <col min="5912" max="6150" width="10.85546875" style="1215"/>
    <col min="6151" max="6151" width="8.85546875" style="1215" customWidth="1"/>
    <col min="6152" max="6152" width="50" style="1215" customWidth="1"/>
    <col min="6153" max="6153" width="6.42578125" style="1215" bestFit="1" customWidth="1"/>
    <col min="6154" max="6154" width="8.85546875" style="1215" customWidth="1"/>
    <col min="6155" max="6155" width="8.5703125" style="1215" customWidth="1"/>
    <col min="6156" max="6156" width="11.42578125" style="1215" bestFit="1" customWidth="1"/>
    <col min="6157" max="6157" width="7.85546875" style="1215" bestFit="1" customWidth="1"/>
    <col min="6158" max="6158" width="11.5703125" style="1215" bestFit="1" customWidth="1"/>
    <col min="6159" max="6159" width="8" style="1215" bestFit="1" customWidth="1"/>
    <col min="6160" max="6160" width="11.5703125" style="1215" bestFit="1" customWidth="1"/>
    <col min="6161" max="6161" width="8.140625" style="1215" bestFit="1" customWidth="1"/>
    <col min="6162" max="6162" width="11.5703125" style="1215" bestFit="1" customWidth="1"/>
    <col min="6163" max="6163" width="8.42578125" style="1215" customWidth="1"/>
    <col min="6164" max="6164" width="7.42578125" style="1215" bestFit="1" customWidth="1"/>
    <col min="6165" max="6165" width="11.5703125" style="1215" bestFit="1" customWidth="1"/>
    <col min="6166" max="6166" width="8.140625" style="1215" customWidth="1"/>
    <col min="6167" max="6167" width="13" style="1215" bestFit="1" customWidth="1"/>
    <col min="6168" max="6406" width="10.85546875" style="1215"/>
    <col min="6407" max="6407" width="8.85546875" style="1215" customWidth="1"/>
    <col min="6408" max="6408" width="50" style="1215" customWidth="1"/>
    <col min="6409" max="6409" width="6.42578125" style="1215" bestFit="1" customWidth="1"/>
    <col min="6410" max="6410" width="8.85546875" style="1215" customWidth="1"/>
    <col min="6411" max="6411" width="8.5703125" style="1215" customWidth="1"/>
    <col min="6412" max="6412" width="11.42578125" style="1215" bestFit="1" customWidth="1"/>
    <col min="6413" max="6413" width="7.85546875" style="1215" bestFit="1" customWidth="1"/>
    <col min="6414" max="6414" width="11.5703125" style="1215" bestFit="1" customWidth="1"/>
    <col min="6415" max="6415" width="8" style="1215" bestFit="1" customWidth="1"/>
    <col min="6416" max="6416" width="11.5703125" style="1215" bestFit="1" customWidth="1"/>
    <col min="6417" max="6417" width="8.140625" style="1215" bestFit="1" customWidth="1"/>
    <col min="6418" max="6418" width="11.5703125" style="1215" bestFit="1" customWidth="1"/>
    <col min="6419" max="6419" width="8.42578125" style="1215" customWidth="1"/>
    <col min="6420" max="6420" width="7.42578125" style="1215" bestFit="1" customWidth="1"/>
    <col min="6421" max="6421" width="11.5703125" style="1215" bestFit="1" customWidth="1"/>
    <col min="6422" max="6422" width="8.140625" style="1215" customWidth="1"/>
    <col min="6423" max="6423" width="13" style="1215" bestFit="1" customWidth="1"/>
    <col min="6424" max="6662" width="10.85546875" style="1215"/>
    <col min="6663" max="6663" width="8.85546875" style="1215" customWidth="1"/>
    <col min="6664" max="6664" width="50" style="1215" customWidth="1"/>
    <col min="6665" max="6665" width="6.42578125" style="1215" bestFit="1" customWidth="1"/>
    <col min="6666" max="6666" width="8.85546875" style="1215" customWidth="1"/>
    <col min="6667" max="6667" width="8.5703125" style="1215" customWidth="1"/>
    <col min="6668" max="6668" width="11.42578125" style="1215" bestFit="1" customWidth="1"/>
    <col min="6669" max="6669" width="7.85546875" style="1215" bestFit="1" customWidth="1"/>
    <col min="6670" max="6670" width="11.5703125" style="1215" bestFit="1" customWidth="1"/>
    <col min="6671" max="6671" width="8" style="1215" bestFit="1" customWidth="1"/>
    <col min="6672" max="6672" width="11.5703125" style="1215" bestFit="1" customWidth="1"/>
    <col min="6673" max="6673" width="8.140625" style="1215" bestFit="1" customWidth="1"/>
    <col min="6674" max="6674" width="11.5703125" style="1215" bestFit="1" customWidth="1"/>
    <col min="6675" max="6675" width="8.42578125" style="1215" customWidth="1"/>
    <col min="6676" max="6676" width="7.42578125" style="1215" bestFit="1" customWidth="1"/>
    <col min="6677" max="6677" width="11.5703125" style="1215" bestFit="1" customWidth="1"/>
    <col min="6678" max="6678" width="8.140625" style="1215" customWidth="1"/>
    <col min="6679" max="6679" width="13" style="1215" bestFit="1" customWidth="1"/>
    <col min="6680" max="6918" width="10.85546875" style="1215"/>
    <col min="6919" max="6919" width="8.85546875" style="1215" customWidth="1"/>
    <col min="6920" max="6920" width="50" style="1215" customWidth="1"/>
    <col min="6921" max="6921" width="6.42578125" style="1215" bestFit="1" customWidth="1"/>
    <col min="6922" max="6922" width="8.85546875" style="1215" customWidth="1"/>
    <col min="6923" max="6923" width="8.5703125" style="1215" customWidth="1"/>
    <col min="6924" max="6924" width="11.42578125" style="1215" bestFit="1" customWidth="1"/>
    <col min="6925" max="6925" width="7.85546875" style="1215" bestFit="1" customWidth="1"/>
    <col min="6926" max="6926" width="11.5703125" style="1215" bestFit="1" customWidth="1"/>
    <col min="6927" max="6927" width="8" style="1215" bestFit="1" customWidth="1"/>
    <col min="6928" max="6928" width="11.5703125" style="1215" bestFit="1" customWidth="1"/>
    <col min="6929" max="6929" width="8.140625" style="1215" bestFit="1" customWidth="1"/>
    <col min="6930" max="6930" width="11.5703125" style="1215" bestFit="1" customWidth="1"/>
    <col min="6931" max="6931" width="8.42578125" style="1215" customWidth="1"/>
    <col min="6932" max="6932" width="7.42578125" style="1215" bestFit="1" customWidth="1"/>
    <col min="6933" max="6933" width="11.5703125" style="1215" bestFit="1" customWidth="1"/>
    <col min="6934" max="6934" width="8.140625" style="1215" customWidth="1"/>
    <col min="6935" max="6935" width="13" style="1215" bestFit="1" customWidth="1"/>
    <col min="6936" max="7174" width="10.85546875" style="1215"/>
    <col min="7175" max="7175" width="8.85546875" style="1215" customWidth="1"/>
    <col min="7176" max="7176" width="50" style="1215" customWidth="1"/>
    <col min="7177" max="7177" width="6.42578125" style="1215" bestFit="1" customWidth="1"/>
    <col min="7178" max="7178" width="8.85546875" style="1215" customWidth="1"/>
    <col min="7179" max="7179" width="8.5703125" style="1215" customWidth="1"/>
    <col min="7180" max="7180" width="11.42578125" style="1215" bestFit="1" customWidth="1"/>
    <col min="7181" max="7181" width="7.85546875" style="1215" bestFit="1" customWidth="1"/>
    <col min="7182" max="7182" width="11.5703125" style="1215" bestFit="1" customWidth="1"/>
    <col min="7183" max="7183" width="8" style="1215" bestFit="1" customWidth="1"/>
    <col min="7184" max="7184" width="11.5703125" style="1215" bestFit="1" customWidth="1"/>
    <col min="7185" max="7185" width="8.140625" style="1215" bestFit="1" customWidth="1"/>
    <col min="7186" max="7186" width="11.5703125" style="1215" bestFit="1" customWidth="1"/>
    <col min="7187" max="7187" width="8.42578125" style="1215" customWidth="1"/>
    <col min="7188" max="7188" width="7.42578125" style="1215" bestFit="1" customWidth="1"/>
    <col min="7189" max="7189" width="11.5703125" style="1215" bestFit="1" customWidth="1"/>
    <col min="7190" max="7190" width="8.140625" style="1215" customWidth="1"/>
    <col min="7191" max="7191" width="13" style="1215" bestFit="1" customWidth="1"/>
    <col min="7192" max="7430" width="10.85546875" style="1215"/>
    <col min="7431" max="7431" width="8.85546875" style="1215" customWidth="1"/>
    <col min="7432" max="7432" width="50" style="1215" customWidth="1"/>
    <col min="7433" max="7433" width="6.42578125" style="1215" bestFit="1" customWidth="1"/>
    <col min="7434" max="7434" width="8.85546875" style="1215" customWidth="1"/>
    <col min="7435" max="7435" width="8.5703125" style="1215" customWidth="1"/>
    <col min="7436" max="7436" width="11.42578125" style="1215" bestFit="1" customWidth="1"/>
    <col min="7437" max="7437" width="7.85546875" style="1215" bestFit="1" customWidth="1"/>
    <col min="7438" max="7438" width="11.5703125" style="1215" bestFit="1" customWidth="1"/>
    <col min="7439" max="7439" width="8" style="1215" bestFit="1" customWidth="1"/>
    <col min="7440" max="7440" width="11.5703125" style="1215" bestFit="1" customWidth="1"/>
    <col min="7441" max="7441" width="8.140625" style="1215" bestFit="1" customWidth="1"/>
    <col min="7442" max="7442" width="11.5703125" style="1215" bestFit="1" customWidth="1"/>
    <col min="7443" max="7443" width="8.42578125" style="1215" customWidth="1"/>
    <col min="7444" max="7444" width="7.42578125" style="1215" bestFit="1" customWidth="1"/>
    <col min="7445" max="7445" width="11.5703125" style="1215" bestFit="1" customWidth="1"/>
    <col min="7446" max="7446" width="8.140625" style="1215" customWidth="1"/>
    <col min="7447" max="7447" width="13" style="1215" bestFit="1" customWidth="1"/>
    <col min="7448" max="7686" width="10.85546875" style="1215"/>
    <col min="7687" max="7687" width="8.85546875" style="1215" customWidth="1"/>
    <col min="7688" max="7688" width="50" style="1215" customWidth="1"/>
    <col min="7689" max="7689" width="6.42578125" style="1215" bestFit="1" customWidth="1"/>
    <col min="7690" max="7690" width="8.85546875" style="1215" customWidth="1"/>
    <col min="7691" max="7691" width="8.5703125" style="1215" customWidth="1"/>
    <col min="7692" max="7692" width="11.42578125" style="1215" bestFit="1" customWidth="1"/>
    <col min="7693" max="7693" width="7.85546875" style="1215" bestFit="1" customWidth="1"/>
    <col min="7694" max="7694" width="11.5703125" style="1215" bestFit="1" customWidth="1"/>
    <col min="7695" max="7695" width="8" style="1215" bestFit="1" customWidth="1"/>
    <col min="7696" max="7696" width="11.5703125" style="1215" bestFit="1" customWidth="1"/>
    <col min="7697" max="7697" width="8.140625" style="1215" bestFit="1" customWidth="1"/>
    <col min="7698" max="7698" width="11.5703125" style="1215" bestFit="1" customWidth="1"/>
    <col min="7699" max="7699" width="8.42578125" style="1215" customWidth="1"/>
    <col min="7700" max="7700" width="7.42578125" style="1215" bestFit="1" customWidth="1"/>
    <col min="7701" max="7701" width="11.5703125" style="1215" bestFit="1" customWidth="1"/>
    <col min="7702" max="7702" width="8.140625" style="1215" customWidth="1"/>
    <col min="7703" max="7703" width="13" style="1215" bestFit="1" customWidth="1"/>
    <col min="7704" max="7942" width="10.85546875" style="1215"/>
    <col min="7943" max="7943" width="8.85546875" style="1215" customWidth="1"/>
    <col min="7944" max="7944" width="50" style="1215" customWidth="1"/>
    <col min="7945" max="7945" width="6.42578125" style="1215" bestFit="1" customWidth="1"/>
    <col min="7946" max="7946" width="8.85546875" style="1215" customWidth="1"/>
    <col min="7947" max="7947" width="8.5703125" style="1215" customWidth="1"/>
    <col min="7948" max="7948" width="11.42578125" style="1215" bestFit="1" customWidth="1"/>
    <col min="7949" max="7949" width="7.85546875" style="1215" bestFit="1" customWidth="1"/>
    <col min="7950" max="7950" width="11.5703125" style="1215" bestFit="1" customWidth="1"/>
    <col min="7951" max="7951" width="8" style="1215" bestFit="1" customWidth="1"/>
    <col min="7952" max="7952" width="11.5703125" style="1215" bestFit="1" customWidth="1"/>
    <col min="7953" max="7953" width="8.140625" style="1215" bestFit="1" customWidth="1"/>
    <col min="7954" max="7954" width="11.5703125" style="1215" bestFit="1" customWidth="1"/>
    <col min="7955" max="7955" width="8.42578125" style="1215" customWidth="1"/>
    <col min="7956" max="7956" width="7.42578125" style="1215" bestFit="1" customWidth="1"/>
    <col min="7957" max="7957" width="11.5703125" style="1215" bestFit="1" customWidth="1"/>
    <col min="7958" max="7958" width="8.140625" style="1215" customWidth="1"/>
    <col min="7959" max="7959" width="13" style="1215" bestFit="1" customWidth="1"/>
    <col min="7960" max="8198" width="10.85546875" style="1215"/>
    <col min="8199" max="8199" width="8.85546875" style="1215" customWidth="1"/>
    <col min="8200" max="8200" width="50" style="1215" customWidth="1"/>
    <col min="8201" max="8201" width="6.42578125" style="1215" bestFit="1" customWidth="1"/>
    <col min="8202" max="8202" width="8.85546875" style="1215" customWidth="1"/>
    <col min="8203" max="8203" width="8.5703125" style="1215" customWidth="1"/>
    <col min="8204" max="8204" width="11.42578125" style="1215" bestFit="1" customWidth="1"/>
    <col min="8205" max="8205" width="7.85546875" style="1215" bestFit="1" customWidth="1"/>
    <col min="8206" max="8206" width="11.5703125" style="1215" bestFit="1" customWidth="1"/>
    <col min="8207" max="8207" width="8" style="1215" bestFit="1" customWidth="1"/>
    <col min="8208" max="8208" width="11.5703125" style="1215" bestFit="1" customWidth="1"/>
    <col min="8209" max="8209" width="8.140625" style="1215" bestFit="1" customWidth="1"/>
    <col min="8210" max="8210" width="11.5703125" style="1215" bestFit="1" customWidth="1"/>
    <col min="8211" max="8211" width="8.42578125" style="1215" customWidth="1"/>
    <col min="8212" max="8212" width="7.42578125" style="1215" bestFit="1" customWidth="1"/>
    <col min="8213" max="8213" width="11.5703125" style="1215" bestFit="1" customWidth="1"/>
    <col min="8214" max="8214" width="8.140625" style="1215" customWidth="1"/>
    <col min="8215" max="8215" width="13" style="1215" bestFit="1" customWidth="1"/>
    <col min="8216" max="8454" width="10.85546875" style="1215"/>
    <col min="8455" max="8455" width="8.85546875" style="1215" customWidth="1"/>
    <col min="8456" max="8456" width="50" style="1215" customWidth="1"/>
    <col min="8457" max="8457" width="6.42578125" style="1215" bestFit="1" customWidth="1"/>
    <col min="8458" max="8458" width="8.85546875" style="1215" customWidth="1"/>
    <col min="8459" max="8459" width="8.5703125" style="1215" customWidth="1"/>
    <col min="8460" max="8460" width="11.42578125" style="1215" bestFit="1" customWidth="1"/>
    <col min="8461" max="8461" width="7.85546875" style="1215" bestFit="1" customWidth="1"/>
    <col min="8462" max="8462" width="11.5703125" style="1215" bestFit="1" customWidth="1"/>
    <col min="8463" max="8463" width="8" style="1215" bestFit="1" customWidth="1"/>
    <col min="8464" max="8464" width="11.5703125" style="1215" bestFit="1" customWidth="1"/>
    <col min="8465" max="8465" width="8.140625" style="1215" bestFit="1" customWidth="1"/>
    <col min="8466" max="8466" width="11.5703125" style="1215" bestFit="1" customWidth="1"/>
    <col min="8467" max="8467" width="8.42578125" style="1215" customWidth="1"/>
    <col min="8468" max="8468" width="7.42578125" style="1215" bestFit="1" customWidth="1"/>
    <col min="8469" max="8469" width="11.5703125" style="1215" bestFit="1" customWidth="1"/>
    <col min="8470" max="8470" width="8.140625" style="1215" customWidth="1"/>
    <col min="8471" max="8471" width="13" style="1215" bestFit="1" customWidth="1"/>
    <col min="8472" max="8710" width="10.85546875" style="1215"/>
    <col min="8711" max="8711" width="8.85546875" style="1215" customWidth="1"/>
    <col min="8712" max="8712" width="50" style="1215" customWidth="1"/>
    <col min="8713" max="8713" width="6.42578125" style="1215" bestFit="1" customWidth="1"/>
    <col min="8714" max="8714" width="8.85546875" style="1215" customWidth="1"/>
    <col min="8715" max="8715" width="8.5703125" style="1215" customWidth="1"/>
    <col min="8716" max="8716" width="11.42578125" style="1215" bestFit="1" customWidth="1"/>
    <col min="8717" max="8717" width="7.85546875" style="1215" bestFit="1" customWidth="1"/>
    <col min="8718" max="8718" width="11.5703125" style="1215" bestFit="1" customWidth="1"/>
    <col min="8719" max="8719" width="8" style="1215" bestFit="1" customWidth="1"/>
    <col min="8720" max="8720" width="11.5703125" style="1215" bestFit="1" customWidth="1"/>
    <col min="8721" max="8721" width="8.140625" style="1215" bestFit="1" customWidth="1"/>
    <col min="8722" max="8722" width="11.5703125" style="1215" bestFit="1" customWidth="1"/>
    <col min="8723" max="8723" width="8.42578125" style="1215" customWidth="1"/>
    <col min="8724" max="8724" width="7.42578125" style="1215" bestFit="1" customWidth="1"/>
    <col min="8725" max="8725" width="11.5703125" style="1215" bestFit="1" customWidth="1"/>
    <col min="8726" max="8726" width="8.140625" style="1215" customWidth="1"/>
    <col min="8727" max="8727" width="13" style="1215" bestFit="1" customWidth="1"/>
    <col min="8728" max="8966" width="10.85546875" style="1215"/>
    <col min="8967" max="8967" width="8.85546875" style="1215" customWidth="1"/>
    <col min="8968" max="8968" width="50" style="1215" customWidth="1"/>
    <col min="8969" max="8969" width="6.42578125" style="1215" bestFit="1" customWidth="1"/>
    <col min="8970" max="8970" width="8.85546875" style="1215" customWidth="1"/>
    <col min="8971" max="8971" width="8.5703125" style="1215" customWidth="1"/>
    <col min="8972" max="8972" width="11.42578125" style="1215" bestFit="1" customWidth="1"/>
    <col min="8973" max="8973" width="7.85546875" style="1215" bestFit="1" customWidth="1"/>
    <col min="8974" max="8974" width="11.5703125" style="1215" bestFit="1" customWidth="1"/>
    <col min="8975" max="8975" width="8" style="1215" bestFit="1" customWidth="1"/>
    <col min="8976" max="8976" width="11.5703125" style="1215" bestFit="1" customWidth="1"/>
    <col min="8977" max="8977" width="8.140625" style="1215" bestFit="1" customWidth="1"/>
    <col min="8978" max="8978" width="11.5703125" style="1215" bestFit="1" customWidth="1"/>
    <col min="8979" max="8979" width="8.42578125" style="1215" customWidth="1"/>
    <col min="8980" max="8980" width="7.42578125" style="1215" bestFit="1" customWidth="1"/>
    <col min="8981" max="8981" width="11.5703125" style="1215" bestFit="1" customWidth="1"/>
    <col min="8982" max="8982" width="8.140625" style="1215" customWidth="1"/>
    <col min="8983" max="8983" width="13" style="1215" bestFit="1" customWidth="1"/>
    <col min="8984" max="9222" width="10.85546875" style="1215"/>
    <col min="9223" max="9223" width="8.85546875" style="1215" customWidth="1"/>
    <col min="9224" max="9224" width="50" style="1215" customWidth="1"/>
    <col min="9225" max="9225" width="6.42578125" style="1215" bestFit="1" customWidth="1"/>
    <col min="9226" max="9226" width="8.85546875" style="1215" customWidth="1"/>
    <col min="9227" max="9227" width="8.5703125" style="1215" customWidth="1"/>
    <col min="9228" max="9228" width="11.42578125" style="1215" bestFit="1" customWidth="1"/>
    <col min="9229" max="9229" width="7.85546875" style="1215" bestFit="1" customWidth="1"/>
    <col min="9230" max="9230" width="11.5703125" style="1215" bestFit="1" customWidth="1"/>
    <col min="9231" max="9231" width="8" style="1215" bestFit="1" customWidth="1"/>
    <col min="9232" max="9232" width="11.5703125" style="1215" bestFit="1" customWidth="1"/>
    <col min="9233" max="9233" width="8.140625" style="1215" bestFit="1" customWidth="1"/>
    <col min="9234" max="9234" width="11.5703125" style="1215" bestFit="1" customWidth="1"/>
    <col min="9235" max="9235" width="8.42578125" style="1215" customWidth="1"/>
    <col min="9236" max="9236" width="7.42578125" style="1215" bestFit="1" customWidth="1"/>
    <col min="9237" max="9237" width="11.5703125" style="1215" bestFit="1" customWidth="1"/>
    <col min="9238" max="9238" width="8.140625" style="1215" customWidth="1"/>
    <col min="9239" max="9239" width="13" style="1215" bestFit="1" customWidth="1"/>
    <col min="9240" max="9478" width="10.85546875" style="1215"/>
    <col min="9479" max="9479" width="8.85546875" style="1215" customWidth="1"/>
    <col min="9480" max="9480" width="50" style="1215" customWidth="1"/>
    <col min="9481" max="9481" width="6.42578125" style="1215" bestFit="1" customWidth="1"/>
    <col min="9482" max="9482" width="8.85546875" style="1215" customWidth="1"/>
    <col min="9483" max="9483" width="8.5703125" style="1215" customWidth="1"/>
    <col min="9484" max="9484" width="11.42578125" style="1215" bestFit="1" customWidth="1"/>
    <col min="9485" max="9485" width="7.85546875" style="1215" bestFit="1" customWidth="1"/>
    <col min="9486" max="9486" width="11.5703125" style="1215" bestFit="1" customWidth="1"/>
    <col min="9487" max="9487" width="8" style="1215" bestFit="1" customWidth="1"/>
    <col min="9488" max="9488" width="11.5703125" style="1215" bestFit="1" customWidth="1"/>
    <col min="9489" max="9489" width="8.140625" style="1215" bestFit="1" customWidth="1"/>
    <col min="9490" max="9490" width="11.5703125" style="1215" bestFit="1" customWidth="1"/>
    <col min="9491" max="9491" width="8.42578125" style="1215" customWidth="1"/>
    <col min="9492" max="9492" width="7.42578125" style="1215" bestFit="1" customWidth="1"/>
    <col min="9493" max="9493" width="11.5703125" style="1215" bestFit="1" customWidth="1"/>
    <col min="9494" max="9494" width="8.140625" style="1215" customWidth="1"/>
    <col min="9495" max="9495" width="13" style="1215" bestFit="1" customWidth="1"/>
    <col min="9496" max="9734" width="10.85546875" style="1215"/>
    <col min="9735" max="9735" width="8.85546875" style="1215" customWidth="1"/>
    <col min="9736" max="9736" width="50" style="1215" customWidth="1"/>
    <col min="9737" max="9737" width="6.42578125" style="1215" bestFit="1" customWidth="1"/>
    <col min="9738" max="9738" width="8.85546875" style="1215" customWidth="1"/>
    <col min="9739" max="9739" width="8.5703125" style="1215" customWidth="1"/>
    <col min="9740" max="9740" width="11.42578125" style="1215" bestFit="1" customWidth="1"/>
    <col min="9741" max="9741" width="7.85546875" style="1215" bestFit="1" customWidth="1"/>
    <col min="9742" max="9742" width="11.5703125" style="1215" bestFit="1" customWidth="1"/>
    <col min="9743" max="9743" width="8" style="1215" bestFit="1" customWidth="1"/>
    <col min="9744" max="9744" width="11.5703125" style="1215" bestFit="1" customWidth="1"/>
    <col min="9745" max="9745" width="8.140625" style="1215" bestFit="1" customWidth="1"/>
    <col min="9746" max="9746" width="11.5703125" style="1215" bestFit="1" customWidth="1"/>
    <col min="9747" max="9747" width="8.42578125" style="1215" customWidth="1"/>
    <col min="9748" max="9748" width="7.42578125" style="1215" bestFit="1" customWidth="1"/>
    <col min="9749" max="9749" width="11.5703125" style="1215" bestFit="1" customWidth="1"/>
    <col min="9750" max="9750" width="8.140625" style="1215" customWidth="1"/>
    <col min="9751" max="9751" width="13" style="1215" bestFit="1" customWidth="1"/>
    <col min="9752" max="9990" width="10.85546875" style="1215"/>
    <col min="9991" max="9991" width="8.85546875" style="1215" customWidth="1"/>
    <col min="9992" max="9992" width="50" style="1215" customWidth="1"/>
    <col min="9993" max="9993" width="6.42578125" style="1215" bestFit="1" customWidth="1"/>
    <col min="9994" max="9994" width="8.85546875" style="1215" customWidth="1"/>
    <col min="9995" max="9995" width="8.5703125" style="1215" customWidth="1"/>
    <col min="9996" max="9996" width="11.42578125" style="1215" bestFit="1" customWidth="1"/>
    <col min="9997" max="9997" width="7.85546875" style="1215" bestFit="1" customWidth="1"/>
    <col min="9998" max="9998" width="11.5703125" style="1215" bestFit="1" customWidth="1"/>
    <col min="9999" max="9999" width="8" style="1215" bestFit="1" customWidth="1"/>
    <col min="10000" max="10000" width="11.5703125" style="1215" bestFit="1" customWidth="1"/>
    <col min="10001" max="10001" width="8.140625" style="1215" bestFit="1" customWidth="1"/>
    <col min="10002" max="10002" width="11.5703125" style="1215" bestFit="1" customWidth="1"/>
    <col min="10003" max="10003" width="8.42578125" style="1215" customWidth="1"/>
    <col min="10004" max="10004" width="7.42578125" style="1215" bestFit="1" customWidth="1"/>
    <col min="10005" max="10005" width="11.5703125" style="1215" bestFit="1" customWidth="1"/>
    <col min="10006" max="10006" width="8.140625" style="1215" customWidth="1"/>
    <col min="10007" max="10007" width="13" style="1215" bestFit="1" customWidth="1"/>
    <col min="10008" max="10246" width="10.85546875" style="1215"/>
    <col min="10247" max="10247" width="8.85546875" style="1215" customWidth="1"/>
    <col min="10248" max="10248" width="50" style="1215" customWidth="1"/>
    <col min="10249" max="10249" width="6.42578125" style="1215" bestFit="1" customWidth="1"/>
    <col min="10250" max="10250" width="8.85546875" style="1215" customWidth="1"/>
    <col min="10251" max="10251" width="8.5703125" style="1215" customWidth="1"/>
    <col min="10252" max="10252" width="11.42578125" style="1215" bestFit="1" customWidth="1"/>
    <col min="10253" max="10253" width="7.85546875" style="1215" bestFit="1" customWidth="1"/>
    <col min="10254" max="10254" width="11.5703125" style="1215" bestFit="1" customWidth="1"/>
    <col min="10255" max="10255" width="8" style="1215" bestFit="1" customWidth="1"/>
    <col min="10256" max="10256" width="11.5703125" style="1215" bestFit="1" customWidth="1"/>
    <col min="10257" max="10257" width="8.140625" style="1215" bestFit="1" customWidth="1"/>
    <col min="10258" max="10258" width="11.5703125" style="1215" bestFit="1" customWidth="1"/>
    <col min="10259" max="10259" width="8.42578125" style="1215" customWidth="1"/>
    <col min="10260" max="10260" width="7.42578125" style="1215" bestFit="1" customWidth="1"/>
    <col min="10261" max="10261" width="11.5703125" style="1215" bestFit="1" customWidth="1"/>
    <col min="10262" max="10262" width="8.140625" style="1215" customWidth="1"/>
    <col min="10263" max="10263" width="13" style="1215" bestFit="1" customWidth="1"/>
    <col min="10264" max="10502" width="10.85546875" style="1215"/>
    <col min="10503" max="10503" width="8.85546875" style="1215" customWidth="1"/>
    <col min="10504" max="10504" width="50" style="1215" customWidth="1"/>
    <col min="10505" max="10505" width="6.42578125" style="1215" bestFit="1" customWidth="1"/>
    <col min="10506" max="10506" width="8.85546875" style="1215" customWidth="1"/>
    <col min="10507" max="10507" width="8.5703125" style="1215" customWidth="1"/>
    <col min="10508" max="10508" width="11.42578125" style="1215" bestFit="1" customWidth="1"/>
    <col min="10509" max="10509" width="7.85546875" style="1215" bestFit="1" customWidth="1"/>
    <col min="10510" max="10510" width="11.5703125" style="1215" bestFit="1" customWidth="1"/>
    <col min="10511" max="10511" width="8" style="1215" bestFit="1" customWidth="1"/>
    <col min="10512" max="10512" width="11.5703125" style="1215" bestFit="1" customWidth="1"/>
    <col min="10513" max="10513" width="8.140625" style="1215" bestFit="1" customWidth="1"/>
    <col min="10514" max="10514" width="11.5703125" style="1215" bestFit="1" customWidth="1"/>
    <col min="10515" max="10515" width="8.42578125" style="1215" customWidth="1"/>
    <col min="10516" max="10516" width="7.42578125" style="1215" bestFit="1" customWidth="1"/>
    <col min="10517" max="10517" width="11.5703125" style="1215" bestFit="1" customWidth="1"/>
    <col min="10518" max="10518" width="8.140625" style="1215" customWidth="1"/>
    <col min="10519" max="10519" width="13" style="1215" bestFit="1" customWidth="1"/>
    <col min="10520" max="10758" width="10.85546875" style="1215"/>
    <col min="10759" max="10759" width="8.85546875" style="1215" customWidth="1"/>
    <col min="10760" max="10760" width="50" style="1215" customWidth="1"/>
    <col min="10761" max="10761" width="6.42578125" style="1215" bestFit="1" customWidth="1"/>
    <col min="10762" max="10762" width="8.85546875" style="1215" customWidth="1"/>
    <col min="10763" max="10763" width="8.5703125" style="1215" customWidth="1"/>
    <col min="10764" max="10764" width="11.42578125" style="1215" bestFit="1" customWidth="1"/>
    <col min="10765" max="10765" width="7.85546875" style="1215" bestFit="1" customWidth="1"/>
    <col min="10766" max="10766" width="11.5703125" style="1215" bestFit="1" customWidth="1"/>
    <col min="10767" max="10767" width="8" style="1215" bestFit="1" customWidth="1"/>
    <col min="10768" max="10768" width="11.5703125" style="1215" bestFit="1" customWidth="1"/>
    <col min="10769" max="10769" width="8.140625" style="1215" bestFit="1" customWidth="1"/>
    <col min="10770" max="10770" width="11.5703125" style="1215" bestFit="1" customWidth="1"/>
    <col min="10771" max="10771" width="8.42578125" style="1215" customWidth="1"/>
    <col min="10772" max="10772" width="7.42578125" style="1215" bestFit="1" customWidth="1"/>
    <col min="10773" max="10773" width="11.5703125" style="1215" bestFit="1" customWidth="1"/>
    <col min="10774" max="10774" width="8.140625" style="1215" customWidth="1"/>
    <col min="10775" max="10775" width="13" style="1215" bestFit="1" customWidth="1"/>
    <col min="10776" max="11014" width="10.85546875" style="1215"/>
    <col min="11015" max="11015" width="8.85546875" style="1215" customWidth="1"/>
    <col min="11016" max="11016" width="50" style="1215" customWidth="1"/>
    <col min="11017" max="11017" width="6.42578125" style="1215" bestFit="1" customWidth="1"/>
    <col min="11018" max="11018" width="8.85546875" style="1215" customWidth="1"/>
    <col min="11019" max="11019" width="8.5703125" style="1215" customWidth="1"/>
    <col min="11020" max="11020" width="11.42578125" style="1215" bestFit="1" customWidth="1"/>
    <col min="11021" max="11021" width="7.85546875" style="1215" bestFit="1" customWidth="1"/>
    <col min="11022" max="11022" width="11.5703125" style="1215" bestFit="1" customWidth="1"/>
    <col min="11023" max="11023" width="8" style="1215" bestFit="1" customWidth="1"/>
    <col min="11024" max="11024" width="11.5703125" style="1215" bestFit="1" customWidth="1"/>
    <col min="11025" max="11025" width="8.140625" style="1215" bestFit="1" customWidth="1"/>
    <col min="11026" max="11026" width="11.5703125" style="1215" bestFit="1" customWidth="1"/>
    <col min="11027" max="11027" width="8.42578125" style="1215" customWidth="1"/>
    <col min="11028" max="11028" width="7.42578125" style="1215" bestFit="1" customWidth="1"/>
    <col min="11029" max="11029" width="11.5703125" style="1215" bestFit="1" customWidth="1"/>
    <col min="11030" max="11030" width="8.140625" style="1215" customWidth="1"/>
    <col min="11031" max="11031" width="13" style="1215" bestFit="1" customWidth="1"/>
    <col min="11032" max="11270" width="10.85546875" style="1215"/>
    <col min="11271" max="11271" width="8.85546875" style="1215" customWidth="1"/>
    <col min="11272" max="11272" width="50" style="1215" customWidth="1"/>
    <col min="11273" max="11273" width="6.42578125" style="1215" bestFit="1" customWidth="1"/>
    <col min="11274" max="11274" width="8.85546875" style="1215" customWidth="1"/>
    <col min="11275" max="11275" width="8.5703125" style="1215" customWidth="1"/>
    <col min="11276" max="11276" width="11.42578125" style="1215" bestFit="1" customWidth="1"/>
    <col min="11277" max="11277" width="7.85546875" style="1215" bestFit="1" customWidth="1"/>
    <col min="11278" max="11278" width="11.5703125" style="1215" bestFit="1" customWidth="1"/>
    <col min="11279" max="11279" width="8" style="1215" bestFit="1" customWidth="1"/>
    <col min="11280" max="11280" width="11.5703125" style="1215" bestFit="1" customWidth="1"/>
    <col min="11281" max="11281" width="8.140625" style="1215" bestFit="1" customWidth="1"/>
    <col min="11282" max="11282" width="11.5703125" style="1215" bestFit="1" customWidth="1"/>
    <col min="11283" max="11283" width="8.42578125" style="1215" customWidth="1"/>
    <col min="11284" max="11284" width="7.42578125" style="1215" bestFit="1" customWidth="1"/>
    <col min="11285" max="11285" width="11.5703125" style="1215" bestFit="1" customWidth="1"/>
    <col min="11286" max="11286" width="8.140625" style="1215" customWidth="1"/>
    <col min="11287" max="11287" width="13" style="1215" bestFit="1" customWidth="1"/>
    <col min="11288" max="11526" width="10.85546875" style="1215"/>
    <col min="11527" max="11527" width="8.85546875" style="1215" customWidth="1"/>
    <col min="11528" max="11528" width="50" style="1215" customWidth="1"/>
    <col min="11529" max="11529" width="6.42578125" style="1215" bestFit="1" customWidth="1"/>
    <col min="11530" max="11530" width="8.85546875" style="1215" customWidth="1"/>
    <col min="11531" max="11531" width="8.5703125" style="1215" customWidth="1"/>
    <col min="11532" max="11532" width="11.42578125" style="1215" bestFit="1" customWidth="1"/>
    <col min="11533" max="11533" width="7.85546875" style="1215" bestFit="1" customWidth="1"/>
    <col min="11534" max="11534" width="11.5703125" style="1215" bestFit="1" customWidth="1"/>
    <col min="11535" max="11535" width="8" style="1215" bestFit="1" customWidth="1"/>
    <col min="11536" max="11536" width="11.5703125" style="1215" bestFit="1" customWidth="1"/>
    <col min="11537" max="11537" width="8.140625" style="1215" bestFit="1" customWidth="1"/>
    <col min="11538" max="11538" width="11.5703125" style="1215" bestFit="1" customWidth="1"/>
    <col min="11539" max="11539" width="8.42578125" style="1215" customWidth="1"/>
    <col min="11540" max="11540" width="7.42578125" style="1215" bestFit="1" customWidth="1"/>
    <col min="11541" max="11541" width="11.5703125" style="1215" bestFit="1" customWidth="1"/>
    <col min="11542" max="11542" width="8.140625" style="1215" customWidth="1"/>
    <col min="11543" max="11543" width="13" style="1215" bestFit="1" customWidth="1"/>
    <col min="11544" max="11782" width="10.85546875" style="1215"/>
    <col min="11783" max="11783" width="8.85546875" style="1215" customWidth="1"/>
    <col min="11784" max="11784" width="50" style="1215" customWidth="1"/>
    <col min="11785" max="11785" width="6.42578125" style="1215" bestFit="1" customWidth="1"/>
    <col min="11786" max="11786" width="8.85546875" style="1215" customWidth="1"/>
    <col min="11787" max="11787" width="8.5703125" style="1215" customWidth="1"/>
    <col min="11788" max="11788" width="11.42578125" style="1215" bestFit="1" customWidth="1"/>
    <col min="11789" max="11789" width="7.85546875" style="1215" bestFit="1" customWidth="1"/>
    <col min="11790" max="11790" width="11.5703125" style="1215" bestFit="1" customWidth="1"/>
    <col min="11791" max="11791" width="8" style="1215" bestFit="1" customWidth="1"/>
    <col min="11792" max="11792" width="11.5703125" style="1215" bestFit="1" customWidth="1"/>
    <col min="11793" max="11793" width="8.140625" style="1215" bestFit="1" customWidth="1"/>
    <col min="11794" max="11794" width="11.5703125" style="1215" bestFit="1" customWidth="1"/>
    <col min="11795" max="11795" width="8.42578125" style="1215" customWidth="1"/>
    <col min="11796" max="11796" width="7.42578125" style="1215" bestFit="1" customWidth="1"/>
    <col min="11797" max="11797" width="11.5703125" style="1215" bestFit="1" customWidth="1"/>
    <col min="11798" max="11798" width="8.140625" style="1215" customWidth="1"/>
    <col min="11799" max="11799" width="13" style="1215" bestFit="1" customWidth="1"/>
    <col min="11800" max="12038" width="10.85546875" style="1215"/>
    <col min="12039" max="12039" width="8.85546875" style="1215" customWidth="1"/>
    <col min="12040" max="12040" width="50" style="1215" customWidth="1"/>
    <col min="12041" max="12041" width="6.42578125" style="1215" bestFit="1" customWidth="1"/>
    <col min="12042" max="12042" width="8.85546875" style="1215" customWidth="1"/>
    <col min="12043" max="12043" width="8.5703125" style="1215" customWidth="1"/>
    <col min="12044" max="12044" width="11.42578125" style="1215" bestFit="1" customWidth="1"/>
    <col min="12045" max="12045" width="7.85546875" style="1215" bestFit="1" customWidth="1"/>
    <col min="12046" max="12046" width="11.5703125" style="1215" bestFit="1" customWidth="1"/>
    <col min="12047" max="12047" width="8" style="1215" bestFit="1" customWidth="1"/>
    <col min="12048" max="12048" width="11.5703125" style="1215" bestFit="1" customWidth="1"/>
    <col min="12049" max="12049" width="8.140625" style="1215" bestFit="1" customWidth="1"/>
    <col min="12050" max="12050" width="11.5703125" style="1215" bestFit="1" customWidth="1"/>
    <col min="12051" max="12051" width="8.42578125" style="1215" customWidth="1"/>
    <col min="12052" max="12052" width="7.42578125" style="1215" bestFit="1" customWidth="1"/>
    <col min="12053" max="12053" width="11.5703125" style="1215" bestFit="1" customWidth="1"/>
    <col min="12054" max="12054" width="8.140625" style="1215" customWidth="1"/>
    <col min="12055" max="12055" width="13" style="1215" bestFit="1" customWidth="1"/>
    <col min="12056" max="12294" width="10.85546875" style="1215"/>
    <col min="12295" max="12295" width="8.85546875" style="1215" customWidth="1"/>
    <col min="12296" max="12296" width="50" style="1215" customWidth="1"/>
    <col min="12297" max="12297" width="6.42578125" style="1215" bestFit="1" customWidth="1"/>
    <col min="12298" max="12298" width="8.85546875" style="1215" customWidth="1"/>
    <col min="12299" max="12299" width="8.5703125" style="1215" customWidth="1"/>
    <col min="12300" max="12300" width="11.42578125" style="1215" bestFit="1" customWidth="1"/>
    <col min="12301" max="12301" width="7.85546875" style="1215" bestFit="1" customWidth="1"/>
    <col min="12302" max="12302" width="11.5703125" style="1215" bestFit="1" customWidth="1"/>
    <col min="12303" max="12303" width="8" style="1215" bestFit="1" customWidth="1"/>
    <col min="12304" max="12304" width="11.5703125" style="1215" bestFit="1" customWidth="1"/>
    <col min="12305" max="12305" width="8.140625" style="1215" bestFit="1" customWidth="1"/>
    <col min="12306" max="12306" width="11.5703125" style="1215" bestFit="1" customWidth="1"/>
    <col min="12307" max="12307" width="8.42578125" style="1215" customWidth="1"/>
    <col min="12308" max="12308" width="7.42578125" style="1215" bestFit="1" customWidth="1"/>
    <col min="12309" max="12309" width="11.5703125" style="1215" bestFit="1" customWidth="1"/>
    <col min="12310" max="12310" width="8.140625" style="1215" customWidth="1"/>
    <col min="12311" max="12311" width="13" style="1215" bestFit="1" customWidth="1"/>
    <col min="12312" max="12550" width="10.85546875" style="1215"/>
    <col min="12551" max="12551" width="8.85546875" style="1215" customWidth="1"/>
    <col min="12552" max="12552" width="50" style="1215" customWidth="1"/>
    <col min="12553" max="12553" width="6.42578125" style="1215" bestFit="1" customWidth="1"/>
    <col min="12554" max="12554" width="8.85546875" style="1215" customWidth="1"/>
    <col min="12555" max="12555" width="8.5703125" style="1215" customWidth="1"/>
    <col min="12556" max="12556" width="11.42578125" style="1215" bestFit="1" customWidth="1"/>
    <col min="12557" max="12557" width="7.85546875" style="1215" bestFit="1" customWidth="1"/>
    <col min="12558" max="12558" width="11.5703125" style="1215" bestFit="1" customWidth="1"/>
    <col min="12559" max="12559" width="8" style="1215" bestFit="1" customWidth="1"/>
    <col min="12560" max="12560" width="11.5703125" style="1215" bestFit="1" customWidth="1"/>
    <col min="12561" max="12561" width="8.140625" style="1215" bestFit="1" customWidth="1"/>
    <col min="12562" max="12562" width="11.5703125" style="1215" bestFit="1" customWidth="1"/>
    <col min="12563" max="12563" width="8.42578125" style="1215" customWidth="1"/>
    <col min="12564" max="12564" width="7.42578125" style="1215" bestFit="1" customWidth="1"/>
    <col min="12565" max="12565" width="11.5703125" style="1215" bestFit="1" customWidth="1"/>
    <col min="12566" max="12566" width="8.140625" style="1215" customWidth="1"/>
    <col min="12567" max="12567" width="13" style="1215" bestFit="1" customWidth="1"/>
    <col min="12568" max="12806" width="10.85546875" style="1215"/>
    <col min="12807" max="12807" width="8.85546875" style="1215" customWidth="1"/>
    <col min="12808" max="12808" width="50" style="1215" customWidth="1"/>
    <col min="12809" max="12809" width="6.42578125" style="1215" bestFit="1" customWidth="1"/>
    <col min="12810" max="12810" width="8.85546875" style="1215" customWidth="1"/>
    <col min="12811" max="12811" width="8.5703125" style="1215" customWidth="1"/>
    <col min="12812" max="12812" width="11.42578125" style="1215" bestFit="1" customWidth="1"/>
    <col min="12813" max="12813" width="7.85546875" style="1215" bestFit="1" customWidth="1"/>
    <col min="12814" max="12814" width="11.5703125" style="1215" bestFit="1" customWidth="1"/>
    <col min="12815" max="12815" width="8" style="1215" bestFit="1" customWidth="1"/>
    <col min="12816" max="12816" width="11.5703125" style="1215" bestFit="1" customWidth="1"/>
    <col min="12817" max="12817" width="8.140625" style="1215" bestFit="1" customWidth="1"/>
    <col min="12818" max="12818" width="11.5703125" style="1215" bestFit="1" customWidth="1"/>
    <col min="12819" max="12819" width="8.42578125" style="1215" customWidth="1"/>
    <col min="12820" max="12820" width="7.42578125" style="1215" bestFit="1" customWidth="1"/>
    <col min="12821" max="12821" width="11.5703125" style="1215" bestFit="1" customWidth="1"/>
    <col min="12822" max="12822" width="8.140625" style="1215" customWidth="1"/>
    <col min="12823" max="12823" width="13" style="1215" bestFit="1" customWidth="1"/>
    <col min="12824" max="13062" width="10.85546875" style="1215"/>
    <col min="13063" max="13063" width="8.85546875" style="1215" customWidth="1"/>
    <col min="13064" max="13064" width="50" style="1215" customWidth="1"/>
    <col min="13065" max="13065" width="6.42578125" style="1215" bestFit="1" customWidth="1"/>
    <col min="13066" max="13066" width="8.85546875" style="1215" customWidth="1"/>
    <col min="13067" max="13067" width="8.5703125" style="1215" customWidth="1"/>
    <col min="13068" max="13068" width="11.42578125" style="1215" bestFit="1" customWidth="1"/>
    <col min="13069" max="13069" width="7.85546875" style="1215" bestFit="1" customWidth="1"/>
    <col min="13070" max="13070" width="11.5703125" style="1215" bestFit="1" customWidth="1"/>
    <col min="13071" max="13071" width="8" style="1215" bestFit="1" customWidth="1"/>
    <col min="13072" max="13072" width="11.5703125" style="1215" bestFit="1" customWidth="1"/>
    <col min="13073" max="13073" width="8.140625" style="1215" bestFit="1" customWidth="1"/>
    <col min="13074" max="13074" width="11.5703125" style="1215" bestFit="1" customWidth="1"/>
    <col min="13075" max="13075" width="8.42578125" style="1215" customWidth="1"/>
    <col min="13076" max="13076" width="7.42578125" style="1215" bestFit="1" customWidth="1"/>
    <col min="13077" max="13077" width="11.5703125" style="1215" bestFit="1" customWidth="1"/>
    <col min="13078" max="13078" width="8.140625" style="1215" customWidth="1"/>
    <col min="13079" max="13079" width="13" style="1215" bestFit="1" customWidth="1"/>
    <col min="13080" max="13318" width="10.85546875" style="1215"/>
    <col min="13319" max="13319" width="8.85546875" style="1215" customWidth="1"/>
    <col min="13320" max="13320" width="50" style="1215" customWidth="1"/>
    <col min="13321" max="13321" width="6.42578125" style="1215" bestFit="1" customWidth="1"/>
    <col min="13322" max="13322" width="8.85546875" style="1215" customWidth="1"/>
    <col min="13323" max="13323" width="8.5703125" style="1215" customWidth="1"/>
    <col min="13324" max="13324" width="11.42578125" style="1215" bestFit="1" customWidth="1"/>
    <col min="13325" max="13325" width="7.85546875" style="1215" bestFit="1" customWidth="1"/>
    <col min="13326" max="13326" width="11.5703125" style="1215" bestFit="1" customWidth="1"/>
    <col min="13327" max="13327" width="8" style="1215" bestFit="1" customWidth="1"/>
    <col min="13328" max="13328" width="11.5703125" style="1215" bestFit="1" customWidth="1"/>
    <col min="13329" max="13329" width="8.140625" style="1215" bestFit="1" customWidth="1"/>
    <col min="13330" max="13330" width="11.5703125" style="1215" bestFit="1" customWidth="1"/>
    <col min="13331" max="13331" width="8.42578125" style="1215" customWidth="1"/>
    <col min="13332" max="13332" width="7.42578125" style="1215" bestFit="1" customWidth="1"/>
    <col min="13333" max="13333" width="11.5703125" style="1215" bestFit="1" customWidth="1"/>
    <col min="13334" max="13334" width="8.140625" style="1215" customWidth="1"/>
    <col min="13335" max="13335" width="13" style="1215" bestFit="1" customWidth="1"/>
    <col min="13336" max="13574" width="10.85546875" style="1215"/>
    <col min="13575" max="13575" width="8.85546875" style="1215" customWidth="1"/>
    <col min="13576" max="13576" width="50" style="1215" customWidth="1"/>
    <col min="13577" max="13577" width="6.42578125" style="1215" bestFit="1" customWidth="1"/>
    <col min="13578" max="13578" width="8.85546875" style="1215" customWidth="1"/>
    <col min="13579" max="13579" width="8.5703125" style="1215" customWidth="1"/>
    <col min="13580" max="13580" width="11.42578125" style="1215" bestFit="1" customWidth="1"/>
    <col min="13581" max="13581" width="7.85546875" style="1215" bestFit="1" customWidth="1"/>
    <col min="13582" max="13582" width="11.5703125" style="1215" bestFit="1" customWidth="1"/>
    <col min="13583" max="13583" width="8" style="1215" bestFit="1" customWidth="1"/>
    <col min="13584" max="13584" width="11.5703125" style="1215" bestFit="1" customWidth="1"/>
    <col min="13585" max="13585" width="8.140625" style="1215" bestFit="1" customWidth="1"/>
    <col min="13586" max="13586" width="11.5703125" style="1215" bestFit="1" customWidth="1"/>
    <col min="13587" max="13587" width="8.42578125" style="1215" customWidth="1"/>
    <col min="13588" max="13588" width="7.42578125" style="1215" bestFit="1" customWidth="1"/>
    <col min="13589" max="13589" width="11.5703125" style="1215" bestFit="1" customWidth="1"/>
    <col min="13590" max="13590" width="8.140625" style="1215" customWidth="1"/>
    <col min="13591" max="13591" width="13" style="1215" bestFit="1" customWidth="1"/>
    <col min="13592" max="13830" width="10.85546875" style="1215"/>
    <col min="13831" max="13831" width="8.85546875" style="1215" customWidth="1"/>
    <col min="13832" max="13832" width="50" style="1215" customWidth="1"/>
    <col min="13833" max="13833" width="6.42578125" style="1215" bestFit="1" customWidth="1"/>
    <col min="13834" max="13834" width="8.85546875" style="1215" customWidth="1"/>
    <col min="13835" max="13835" width="8.5703125" style="1215" customWidth="1"/>
    <col min="13836" max="13836" width="11.42578125" style="1215" bestFit="1" customWidth="1"/>
    <col min="13837" max="13837" width="7.85546875" style="1215" bestFit="1" customWidth="1"/>
    <col min="13838" max="13838" width="11.5703125" style="1215" bestFit="1" customWidth="1"/>
    <col min="13839" max="13839" width="8" style="1215" bestFit="1" customWidth="1"/>
    <col min="13840" max="13840" width="11.5703125" style="1215" bestFit="1" customWidth="1"/>
    <col min="13841" max="13841" width="8.140625" style="1215" bestFit="1" customWidth="1"/>
    <col min="13842" max="13842" width="11.5703125" style="1215" bestFit="1" customWidth="1"/>
    <col min="13843" max="13843" width="8.42578125" style="1215" customWidth="1"/>
    <col min="13844" max="13844" width="7.42578125" style="1215" bestFit="1" customWidth="1"/>
    <col min="13845" max="13845" width="11.5703125" style="1215" bestFit="1" customWidth="1"/>
    <col min="13846" max="13846" width="8.140625" style="1215" customWidth="1"/>
    <col min="13847" max="13847" width="13" style="1215" bestFit="1" customWidth="1"/>
    <col min="13848" max="14086" width="10.85546875" style="1215"/>
    <col min="14087" max="14087" width="8.85546875" style="1215" customWidth="1"/>
    <col min="14088" max="14088" width="50" style="1215" customWidth="1"/>
    <col min="14089" max="14089" width="6.42578125" style="1215" bestFit="1" customWidth="1"/>
    <col min="14090" max="14090" width="8.85546875" style="1215" customWidth="1"/>
    <col min="14091" max="14091" width="8.5703125" style="1215" customWidth="1"/>
    <col min="14092" max="14092" width="11.42578125" style="1215" bestFit="1" customWidth="1"/>
    <col min="14093" max="14093" width="7.85546875" style="1215" bestFit="1" customWidth="1"/>
    <col min="14094" max="14094" width="11.5703125" style="1215" bestFit="1" customWidth="1"/>
    <col min="14095" max="14095" width="8" style="1215" bestFit="1" customWidth="1"/>
    <col min="14096" max="14096" width="11.5703125" style="1215" bestFit="1" customWidth="1"/>
    <col min="14097" max="14097" width="8.140625" style="1215" bestFit="1" customWidth="1"/>
    <col min="14098" max="14098" width="11.5703125" style="1215" bestFit="1" customWidth="1"/>
    <col min="14099" max="14099" width="8.42578125" style="1215" customWidth="1"/>
    <col min="14100" max="14100" width="7.42578125" style="1215" bestFit="1" customWidth="1"/>
    <col min="14101" max="14101" width="11.5703125" style="1215" bestFit="1" customWidth="1"/>
    <col min="14102" max="14102" width="8.140625" style="1215" customWidth="1"/>
    <col min="14103" max="14103" width="13" style="1215" bestFit="1" customWidth="1"/>
    <col min="14104" max="14342" width="10.85546875" style="1215"/>
    <col min="14343" max="14343" width="8.85546875" style="1215" customWidth="1"/>
    <col min="14344" max="14344" width="50" style="1215" customWidth="1"/>
    <col min="14345" max="14345" width="6.42578125" style="1215" bestFit="1" customWidth="1"/>
    <col min="14346" max="14346" width="8.85546875" style="1215" customWidth="1"/>
    <col min="14347" max="14347" width="8.5703125" style="1215" customWidth="1"/>
    <col min="14348" max="14348" width="11.42578125" style="1215" bestFit="1" customWidth="1"/>
    <col min="14349" max="14349" width="7.85546875" style="1215" bestFit="1" customWidth="1"/>
    <col min="14350" max="14350" width="11.5703125" style="1215" bestFit="1" customWidth="1"/>
    <col min="14351" max="14351" width="8" style="1215" bestFit="1" customWidth="1"/>
    <col min="14352" max="14352" width="11.5703125" style="1215" bestFit="1" customWidth="1"/>
    <col min="14353" max="14353" width="8.140625" style="1215" bestFit="1" customWidth="1"/>
    <col min="14354" max="14354" width="11.5703125" style="1215" bestFit="1" customWidth="1"/>
    <col min="14355" max="14355" width="8.42578125" style="1215" customWidth="1"/>
    <col min="14356" max="14356" width="7.42578125" style="1215" bestFit="1" customWidth="1"/>
    <col min="14357" max="14357" width="11.5703125" style="1215" bestFit="1" customWidth="1"/>
    <col min="14358" max="14358" width="8.140625" style="1215" customWidth="1"/>
    <col min="14359" max="14359" width="13" style="1215" bestFit="1" customWidth="1"/>
    <col min="14360" max="14598" width="10.85546875" style="1215"/>
    <col min="14599" max="14599" width="8.85546875" style="1215" customWidth="1"/>
    <col min="14600" max="14600" width="50" style="1215" customWidth="1"/>
    <col min="14601" max="14601" width="6.42578125" style="1215" bestFit="1" customWidth="1"/>
    <col min="14602" max="14602" width="8.85546875" style="1215" customWidth="1"/>
    <col min="14603" max="14603" width="8.5703125" style="1215" customWidth="1"/>
    <col min="14604" max="14604" width="11.42578125" style="1215" bestFit="1" customWidth="1"/>
    <col min="14605" max="14605" width="7.85546875" style="1215" bestFit="1" customWidth="1"/>
    <col min="14606" max="14606" width="11.5703125" style="1215" bestFit="1" customWidth="1"/>
    <col min="14607" max="14607" width="8" style="1215" bestFit="1" customWidth="1"/>
    <col min="14608" max="14608" width="11.5703125" style="1215" bestFit="1" customWidth="1"/>
    <col min="14609" max="14609" width="8.140625" style="1215" bestFit="1" customWidth="1"/>
    <col min="14610" max="14610" width="11.5703125" style="1215" bestFit="1" customWidth="1"/>
    <col min="14611" max="14611" width="8.42578125" style="1215" customWidth="1"/>
    <col min="14612" max="14612" width="7.42578125" style="1215" bestFit="1" customWidth="1"/>
    <col min="14613" max="14613" width="11.5703125" style="1215" bestFit="1" customWidth="1"/>
    <col min="14614" max="14614" width="8.140625" style="1215" customWidth="1"/>
    <col min="14615" max="14615" width="13" style="1215" bestFit="1" customWidth="1"/>
    <col min="14616" max="14854" width="10.85546875" style="1215"/>
    <col min="14855" max="14855" width="8.85546875" style="1215" customWidth="1"/>
    <col min="14856" max="14856" width="50" style="1215" customWidth="1"/>
    <col min="14857" max="14857" width="6.42578125" style="1215" bestFit="1" customWidth="1"/>
    <col min="14858" max="14858" width="8.85546875" style="1215" customWidth="1"/>
    <col min="14859" max="14859" width="8.5703125" style="1215" customWidth="1"/>
    <col min="14860" max="14860" width="11.42578125" style="1215" bestFit="1" customWidth="1"/>
    <col min="14861" max="14861" width="7.85546875" style="1215" bestFit="1" customWidth="1"/>
    <col min="14862" max="14862" width="11.5703125" style="1215" bestFit="1" customWidth="1"/>
    <col min="14863" max="14863" width="8" style="1215" bestFit="1" customWidth="1"/>
    <col min="14864" max="14864" width="11.5703125" style="1215" bestFit="1" customWidth="1"/>
    <col min="14865" max="14865" width="8.140625" style="1215" bestFit="1" customWidth="1"/>
    <col min="14866" max="14866" width="11.5703125" style="1215" bestFit="1" customWidth="1"/>
    <col min="14867" max="14867" width="8.42578125" style="1215" customWidth="1"/>
    <col min="14868" max="14868" width="7.42578125" style="1215" bestFit="1" customWidth="1"/>
    <col min="14869" max="14869" width="11.5703125" style="1215" bestFit="1" customWidth="1"/>
    <col min="14870" max="14870" width="8.140625" style="1215" customWidth="1"/>
    <col min="14871" max="14871" width="13" style="1215" bestFit="1" customWidth="1"/>
    <col min="14872" max="15110" width="10.85546875" style="1215"/>
    <col min="15111" max="15111" width="8.85546875" style="1215" customWidth="1"/>
    <col min="15112" max="15112" width="50" style="1215" customWidth="1"/>
    <col min="15113" max="15113" width="6.42578125" style="1215" bestFit="1" customWidth="1"/>
    <col min="15114" max="15114" width="8.85546875" style="1215" customWidth="1"/>
    <col min="15115" max="15115" width="8.5703125" style="1215" customWidth="1"/>
    <col min="15116" max="15116" width="11.42578125" style="1215" bestFit="1" customWidth="1"/>
    <col min="15117" max="15117" width="7.85546875" style="1215" bestFit="1" customWidth="1"/>
    <col min="15118" max="15118" width="11.5703125" style="1215" bestFit="1" customWidth="1"/>
    <col min="15119" max="15119" width="8" style="1215" bestFit="1" customWidth="1"/>
    <col min="15120" max="15120" width="11.5703125" style="1215" bestFit="1" customWidth="1"/>
    <col min="15121" max="15121" width="8.140625" style="1215" bestFit="1" customWidth="1"/>
    <col min="15122" max="15122" width="11.5703125" style="1215" bestFit="1" customWidth="1"/>
    <col min="15123" max="15123" width="8.42578125" style="1215" customWidth="1"/>
    <col min="15124" max="15124" width="7.42578125" style="1215" bestFit="1" customWidth="1"/>
    <col min="15125" max="15125" width="11.5703125" style="1215" bestFit="1" customWidth="1"/>
    <col min="15126" max="15126" width="8.140625" style="1215" customWidth="1"/>
    <col min="15127" max="15127" width="13" style="1215" bestFit="1" customWidth="1"/>
    <col min="15128" max="15366" width="10.85546875" style="1215"/>
    <col min="15367" max="15367" width="8.85546875" style="1215" customWidth="1"/>
    <col min="15368" max="15368" width="50" style="1215" customWidth="1"/>
    <col min="15369" max="15369" width="6.42578125" style="1215" bestFit="1" customWidth="1"/>
    <col min="15370" max="15370" width="8.85546875" style="1215" customWidth="1"/>
    <col min="15371" max="15371" width="8.5703125" style="1215" customWidth="1"/>
    <col min="15372" max="15372" width="11.42578125" style="1215" bestFit="1" customWidth="1"/>
    <col min="15373" max="15373" width="7.85546875" style="1215" bestFit="1" customWidth="1"/>
    <col min="15374" max="15374" width="11.5703125" style="1215" bestFit="1" customWidth="1"/>
    <col min="15375" max="15375" width="8" style="1215" bestFit="1" customWidth="1"/>
    <col min="15376" max="15376" width="11.5703125" style="1215" bestFit="1" customWidth="1"/>
    <col min="15377" max="15377" width="8.140625" style="1215" bestFit="1" customWidth="1"/>
    <col min="15378" max="15378" width="11.5703125" style="1215" bestFit="1" customWidth="1"/>
    <col min="15379" max="15379" width="8.42578125" style="1215" customWidth="1"/>
    <col min="15380" max="15380" width="7.42578125" style="1215" bestFit="1" customWidth="1"/>
    <col min="15381" max="15381" width="11.5703125" style="1215" bestFit="1" customWidth="1"/>
    <col min="15382" max="15382" width="8.140625" style="1215" customWidth="1"/>
    <col min="15383" max="15383" width="13" style="1215" bestFit="1" customWidth="1"/>
    <col min="15384" max="15622" width="10.85546875" style="1215"/>
    <col min="15623" max="15623" width="8.85546875" style="1215" customWidth="1"/>
    <col min="15624" max="15624" width="50" style="1215" customWidth="1"/>
    <col min="15625" max="15625" width="6.42578125" style="1215" bestFit="1" customWidth="1"/>
    <col min="15626" max="15626" width="8.85546875" style="1215" customWidth="1"/>
    <col min="15627" max="15627" width="8.5703125" style="1215" customWidth="1"/>
    <col min="15628" max="15628" width="11.42578125" style="1215" bestFit="1" customWidth="1"/>
    <col min="15629" max="15629" width="7.85546875" style="1215" bestFit="1" customWidth="1"/>
    <col min="15630" max="15630" width="11.5703125" style="1215" bestFit="1" customWidth="1"/>
    <col min="15631" max="15631" width="8" style="1215" bestFit="1" customWidth="1"/>
    <col min="15632" max="15632" width="11.5703125" style="1215" bestFit="1" customWidth="1"/>
    <col min="15633" max="15633" width="8.140625" style="1215" bestFit="1" customWidth="1"/>
    <col min="15634" max="15634" width="11.5703125" style="1215" bestFit="1" customWidth="1"/>
    <col min="15635" max="15635" width="8.42578125" style="1215" customWidth="1"/>
    <col min="15636" max="15636" width="7.42578125" style="1215" bestFit="1" customWidth="1"/>
    <col min="15637" max="15637" width="11.5703125" style="1215" bestFit="1" customWidth="1"/>
    <col min="15638" max="15638" width="8.140625" style="1215" customWidth="1"/>
    <col min="15639" max="15639" width="13" style="1215" bestFit="1" customWidth="1"/>
    <col min="15640" max="15878" width="10.85546875" style="1215"/>
    <col min="15879" max="15879" width="8.85546875" style="1215" customWidth="1"/>
    <col min="15880" max="15880" width="50" style="1215" customWidth="1"/>
    <col min="15881" max="15881" width="6.42578125" style="1215" bestFit="1" customWidth="1"/>
    <col min="15882" max="15882" width="8.85546875" style="1215" customWidth="1"/>
    <col min="15883" max="15883" width="8.5703125" style="1215" customWidth="1"/>
    <col min="15884" max="15884" width="11.42578125" style="1215" bestFit="1" customWidth="1"/>
    <col min="15885" max="15885" width="7.85546875" style="1215" bestFit="1" customWidth="1"/>
    <col min="15886" max="15886" width="11.5703125" style="1215" bestFit="1" customWidth="1"/>
    <col min="15887" max="15887" width="8" style="1215" bestFit="1" customWidth="1"/>
    <col min="15888" max="15888" width="11.5703125" style="1215" bestFit="1" customWidth="1"/>
    <col min="15889" max="15889" width="8.140625" style="1215" bestFit="1" customWidth="1"/>
    <col min="15890" max="15890" width="11.5703125" style="1215" bestFit="1" customWidth="1"/>
    <col min="15891" max="15891" width="8.42578125" style="1215" customWidth="1"/>
    <col min="15892" max="15892" width="7.42578125" style="1215" bestFit="1" customWidth="1"/>
    <col min="15893" max="15893" width="11.5703125" style="1215" bestFit="1" customWidth="1"/>
    <col min="15894" max="15894" width="8.140625" style="1215" customWidth="1"/>
    <col min="15895" max="15895" width="13" style="1215" bestFit="1" customWidth="1"/>
    <col min="15896" max="16134" width="10.85546875" style="1215"/>
    <col min="16135" max="16135" width="8.85546875" style="1215" customWidth="1"/>
    <col min="16136" max="16136" width="50" style="1215" customWidth="1"/>
    <col min="16137" max="16137" width="6.42578125" style="1215" bestFit="1" customWidth="1"/>
    <col min="16138" max="16138" width="8.85546875" style="1215" customWidth="1"/>
    <col min="16139" max="16139" width="8.5703125" style="1215" customWidth="1"/>
    <col min="16140" max="16140" width="11.42578125" style="1215" bestFit="1" customWidth="1"/>
    <col min="16141" max="16141" width="7.85546875" style="1215" bestFit="1" customWidth="1"/>
    <col min="16142" max="16142" width="11.5703125" style="1215" bestFit="1" customWidth="1"/>
    <col min="16143" max="16143" width="8" style="1215" bestFit="1" customWidth="1"/>
    <col min="16144" max="16144" width="11.5703125" style="1215" bestFit="1" customWidth="1"/>
    <col min="16145" max="16145" width="8.140625" style="1215" bestFit="1" customWidth="1"/>
    <col min="16146" max="16146" width="11.5703125" style="1215" bestFit="1" customWidth="1"/>
    <col min="16147" max="16147" width="8.42578125" style="1215" customWidth="1"/>
    <col min="16148" max="16148" width="7.42578125" style="1215" bestFit="1" customWidth="1"/>
    <col min="16149" max="16149" width="11.5703125" style="1215" bestFit="1" customWidth="1"/>
    <col min="16150" max="16150" width="8.140625" style="1215" customWidth="1"/>
    <col min="16151" max="16151" width="13" style="1215" bestFit="1" customWidth="1"/>
    <col min="16152" max="16384" width="10.85546875" style="1215"/>
  </cols>
  <sheetData>
    <row r="1" spans="2:26">
      <c r="B1" s="3179" t="s">
        <v>12</v>
      </c>
      <c r="C1" s="3179"/>
      <c r="D1" s="3179"/>
      <c r="E1" s="3179"/>
      <c r="F1" s="3179"/>
      <c r="G1" s="3179"/>
      <c r="H1" s="3179"/>
      <c r="I1" s="3179"/>
      <c r="J1" s="3179"/>
      <c r="K1" s="3179"/>
      <c r="L1" s="3207"/>
      <c r="M1" s="3208"/>
      <c r="N1" s="3179"/>
      <c r="O1" s="3179"/>
      <c r="P1" s="3179"/>
      <c r="Q1" s="3179"/>
      <c r="R1" s="3179"/>
      <c r="S1" s="3179"/>
      <c r="T1" s="2194"/>
    </row>
    <row r="2" spans="2:26">
      <c r="B2" s="3179" t="s">
        <v>4412</v>
      </c>
      <c r="C2" s="3179"/>
      <c r="D2" s="3179"/>
      <c r="E2" s="3179"/>
      <c r="F2" s="3179"/>
      <c r="G2" s="3179"/>
      <c r="H2" s="3179"/>
      <c r="I2" s="3179"/>
      <c r="J2" s="3179"/>
      <c r="K2" s="3179"/>
      <c r="L2" s="3207"/>
      <c r="M2" s="3208"/>
      <c r="N2" s="3179"/>
      <c r="O2" s="3179"/>
      <c r="P2" s="3179"/>
      <c r="Q2" s="3179"/>
      <c r="R2" s="3179"/>
      <c r="S2" s="3179"/>
      <c r="T2" s="2194"/>
    </row>
    <row r="3" spans="2:26">
      <c r="B3" s="3254" t="s">
        <v>4381</v>
      </c>
      <c r="C3" s="3254"/>
      <c r="D3" s="3254"/>
      <c r="E3" s="3254"/>
      <c r="F3" s="3254"/>
      <c r="G3" s="3254"/>
      <c r="H3" s="3254"/>
      <c r="I3" s="3254"/>
      <c r="J3" s="3254"/>
      <c r="K3" s="3254"/>
      <c r="L3" s="3255"/>
      <c r="M3" s="3256"/>
      <c r="N3" s="3254"/>
      <c r="O3" s="3254"/>
      <c r="P3" s="3254"/>
      <c r="Q3" s="3254"/>
      <c r="R3" s="3254"/>
      <c r="S3" s="3254"/>
      <c r="T3" s="2196"/>
    </row>
    <row r="4" spans="2:26">
      <c r="B4" s="3257"/>
      <c r="C4" s="3257"/>
      <c r="D4" s="3257"/>
      <c r="E4" s="3257"/>
      <c r="F4" s="3257"/>
      <c r="G4" s="3257"/>
      <c r="H4" s="3257"/>
      <c r="I4" s="3257"/>
      <c r="J4" s="3257"/>
      <c r="K4" s="3257"/>
      <c r="L4" s="3258"/>
      <c r="M4" s="3259"/>
      <c r="N4" s="3257"/>
      <c r="O4" s="3257"/>
      <c r="P4" s="3257"/>
      <c r="Q4" s="3257"/>
      <c r="R4" s="3257"/>
      <c r="S4" s="3257"/>
      <c r="T4" s="2197"/>
    </row>
    <row r="5" spans="2:26">
      <c r="B5" s="1218"/>
      <c r="C5" s="1827" t="s">
        <v>6</v>
      </c>
      <c r="D5" s="1240" t="s">
        <v>4</v>
      </c>
      <c r="E5" s="1828" t="s">
        <v>2826</v>
      </c>
      <c r="F5" s="1829"/>
      <c r="G5" s="1829"/>
      <c r="H5" s="1829"/>
      <c r="I5" s="1829"/>
      <c r="J5" s="1829"/>
      <c r="K5" s="1829"/>
      <c r="L5" s="1829"/>
      <c r="M5" s="1829"/>
      <c r="N5" s="1829"/>
      <c r="O5" s="1829"/>
      <c r="X5" s="1215"/>
    </row>
    <row r="6" spans="2:26">
      <c r="B6" s="1588"/>
      <c r="C6" s="1220" t="s">
        <v>5</v>
      </c>
      <c r="D6" s="1221" t="s">
        <v>4</v>
      </c>
      <c r="E6" s="1222" t="s">
        <v>532</v>
      </c>
      <c r="F6" s="1588"/>
      <c r="G6" s="1588"/>
      <c r="H6" s="1588"/>
      <c r="I6" s="1588"/>
      <c r="J6" s="1588"/>
      <c r="L6" s="1347"/>
      <c r="P6" s="1238" t="s">
        <v>13</v>
      </c>
      <c r="Q6" s="1217"/>
      <c r="R6" s="3181">
        <v>44681</v>
      </c>
      <c r="S6" s="3181"/>
      <c r="T6" s="2195"/>
    </row>
    <row r="7" spans="2:26">
      <c r="C7" s="1220" t="s">
        <v>15</v>
      </c>
      <c r="D7" s="1221" t="s">
        <v>4</v>
      </c>
      <c r="E7" s="1741" t="s">
        <v>3964</v>
      </c>
      <c r="F7" s="1346"/>
      <c r="G7" s="1346"/>
      <c r="H7" s="1346"/>
      <c r="I7" s="1346"/>
      <c r="L7" s="1346"/>
      <c r="P7" s="1588" t="s">
        <v>14</v>
      </c>
      <c r="R7" s="1588"/>
      <c r="S7" s="1239" t="s">
        <v>535</v>
      </c>
      <c r="T7" s="1239"/>
    </row>
    <row r="8" spans="2:26">
      <c r="C8" s="1220" t="s">
        <v>17</v>
      </c>
      <c r="D8" s="1221" t="s">
        <v>4</v>
      </c>
      <c r="E8" s="1222" t="s">
        <v>11</v>
      </c>
      <c r="F8" s="1218"/>
      <c r="G8" s="1218"/>
      <c r="H8" s="1218"/>
      <c r="I8" s="1218"/>
      <c r="L8" s="1346"/>
      <c r="M8" s="1221"/>
      <c r="N8" s="1237"/>
      <c r="P8" s="1588" t="s">
        <v>16</v>
      </c>
      <c r="S8" s="1239" t="s">
        <v>535</v>
      </c>
      <c r="T8" s="1239"/>
    </row>
    <row r="9" spans="2:26">
      <c r="C9" s="1220" t="s">
        <v>19</v>
      </c>
      <c r="D9" s="1221" t="s">
        <v>4</v>
      </c>
      <c r="E9" s="1224">
        <v>2022</v>
      </c>
      <c r="F9" s="1218"/>
      <c r="G9" s="1218"/>
      <c r="H9" s="1215"/>
      <c r="I9" s="1215"/>
      <c r="L9" s="1346"/>
      <c r="N9" s="1237"/>
      <c r="O9" s="1299"/>
      <c r="P9" s="1588" t="s">
        <v>18</v>
      </c>
      <c r="R9" s="1223"/>
      <c r="S9" s="1239" t="s">
        <v>10</v>
      </c>
      <c r="T9" s="1239"/>
    </row>
    <row r="10" spans="2:26" ht="14.25" thickBot="1">
      <c r="L10" s="1346"/>
    </row>
    <row r="11" spans="2:26" ht="14.25" thickBot="1">
      <c r="B11" s="3038" t="s">
        <v>20</v>
      </c>
      <c r="C11" s="3038" t="s">
        <v>21</v>
      </c>
      <c r="D11" s="3167" t="s">
        <v>22</v>
      </c>
      <c r="E11" s="3170" t="s">
        <v>23</v>
      </c>
      <c r="F11" s="3171"/>
      <c r="G11" s="3171"/>
      <c r="H11" s="3172"/>
      <c r="I11" s="1586"/>
      <c r="J11" s="3176" t="s">
        <v>24</v>
      </c>
      <c r="K11" s="3177"/>
      <c r="L11" s="3196"/>
      <c r="M11" s="3197"/>
      <c r="N11" s="3177"/>
      <c r="O11" s="3177"/>
      <c r="P11" s="3178"/>
      <c r="Q11" s="3170" t="s">
        <v>25</v>
      </c>
      <c r="R11" s="3171"/>
      <c r="S11" s="3172"/>
      <c r="T11" s="1355"/>
    </row>
    <row r="12" spans="2:26" ht="14.25" thickBot="1">
      <c r="B12" s="3039"/>
      <c r="C12" s="3039"/>
      <c r="D12" s="3168"/>
      <c r="E12" s="3173"/>
      <c r="F12" s="3174"/>
      <c r="G12" s="3174"/>
      <c r="H12" s="3175"/>
      <c r="I12" s="1587"/>
      <c r="J12" s="3176" t="s">
        <v>26</v>
      </c>
      <c r="K12" s="3178"/>
      <c r="L12" s="3176" t="s">
        <v>27</v>
      </c>
      <c r="M12" s="3178"/>
      <c r="N12" s="3176" t="s">
        <v>28</v>
      </c>
      <c r="O12" s="3177"/>
      <c r="P12" s="3178"/>
      <c r="Q12" s="3173"/>
      <c r="R12" s="3174"/>
      <c r="S12" s="3175"/>
      <c r="T12" s="1355"/>
    </row>
    <row r="13" spans="2:26" ht="14.25" thickBot="1">
      <c r="B13" s="3039"/>
      <c r="C13" s="3039"/>
      <c r="D13" s="3168"/>
      <c r="E13" s="3038" t="s">
        <v>29</v>
      </c>
      <c r="F13" s="3038" t="s">
        <v>30</v>
      </c>
      <c r="G13" s="3182" t="s">
        <v>3924</v>
      </c>
      <c r="H13" s="3038" t="s">
        <v>31</v>
      </c>
      <c r="I13" s="3184" t="s">
        <v>3922</v>
      </c>
      <c r="J13" s="3038" t="s">
        <v>3</v>
      </c>
      <c r="K13" s="3038" t="s">
        <v>32</v>
      </c>
      <c r="L13" s="3038" t="s">
        <v>3</v>
      </c>
      <c r="M13" s="3038" t="s">
        <v>32</v>
      </c>
      <c r="N13" s="3038" t="s">
        <v>3</v>
      </c>
      <c r="O13" s="3038" t="s">
        <v>32</v>
      </c>
      <c r="P13" s="3038" t="s">
        <v>0</v>
      </c>
      <c r="Q13" s="3038" t="s">
        <v>3</v>
      </c>
      <c r="R13" s="3186" t="s">
        <v>32</v>
      </c>
      <c r="S13" s="3038" t="s">
        <v>0</v>
      </c>
      <c r="T13" s="1355"/>
      <c r="X13" s="3188" t="s">
        <v>3613</v>
      </c>
      <c r="Y13" s="3189"/>
      <c r="Z13" s="3190"/>
    </row>
    <row r="14" spans="2:26" ht="14.25" thickBot="1">
      <c r="B14" s="3040"/>
      <c r="C14" s="3040"/>
      <c r="D14" s="3169"/>
      <c r="E14" s="3040"/>
      <c r="F14" s="3040"/>
      <c r="G14" s="3183"/>
      <c r="H14" s="3040"/>
      <c r="I14" s="3185"/>
      <c r="J14" s="3040"/>
      <c r="K14" s="3040"/>
      <c r="L14" s="3040"/>
      <c r="M14" s="3040"/>
      <c r="N14" s="3040"/>
      <c r="O14" s="3040"/>
      <c r="P14" s="3040"/>
      <c r="Q14" s="3040"/>
      <c r="R14" s="3187"/>
      <c r="S14" s="3040"/>
      <c r="T14" s="1355"/>
    </row>
    <row r="15" spans="2:26" s="1631" customFormat="1" ht="14.25" thickBot="1">
      <c r="B15" s="1830"/>
      <c r="C15" s="1831" t="s">
        <v>3965</v>
      </c>
      <c r="D15" s="1832"/>
      <c r="E15" s="1833"/>
      <c r="F15" s="1833"/>
      <c r="G15" s="1834"/>
      <c r="H15" s="1835"/>
      <c r="I15" s="1836"/>
      <c r="J15" s="1837"/>
      <c r="K15" s="1838"/>
      <c r="L15" s="1839"/>
      <c r="M15" s="1840"/>
      <c r="N15" s="1841"/>
      <c r="O15" s="1842"/>
      <c r="P15" s="1843"/>
      <c r="Q15" s="1841"/>
      <c r="R15" s="1844"/>
      <c r="S15" s="1843"/>
      <c r="T15" s="2213"/>
      <c r="U15" s="1628"/>
      <c r="V15" s="1628"/>
      <c r="W15" s="1628"/>
      <c r="X15" s="1629" t="s">
        <v>3614</v>
      </c>
      <c r="Y15" s="1423"/>
      <c r="Z15" s="1630">
        <f>SUM(M17:M190)</f>
        <v>51580.697499999995</v>
      </c>
    </row>
    <row r="16" spans="2:26" s="1423" customFormat="1">
      <c r="B16" s="2263" t="s">
        <v>33</v>
      </c>
      <c r="C16" s="2264" t="s">
        <v>3615</v>
      </c>
      <c r="D16" s="1847"/>
      <c r="E16" s="1848"/>
      <c r="F16" s="1848"/>
      <c r="G16" s="1849"/>
      <c r="H16" s="1850"/>
      <c r="I16" s="1851"/>
      <c r="J16" s="1852"/>
      <c r="K16" s="1853"/>
      <c r="L16" s="1854"/>
      <c r="M16" s="1855"/>
      <c r="N16" s="1856"/>
      <c r="O16" s="1857"/>
      <c r="P16" s="1858" t="str">
        <f t="shared" ref="P16" si="0">+IF(D16=0,"",O16/H16)</f>
        <v/>
      </c>
      <c r="Q16" s="1856"/>
      <c r="R16" s="1857"/>
      <c r="S16" s="1858"/>
      <c r="T16" s="2214"/>
      <c r="U16" s="1630"/>
      <c r="V16" s="1630"/>
      <c r="W16" s="1630"/>
      <c r="X16" s="1629" t="s">
        <v>3615</v>
      </c>
      <c r="Z16" s="1643" t="e">
        <f>SUM(#REF!)</f>
        <v>#REF!</v>
      </c>
    </row>
    <row r="17" spans="1:28" s="1410" customFormat="1">
      <c r="B17" s="2265" t="s">
        <v>35</v>
      </c>
      <c r="C17" s="2266" t="s">
        <v>2892</v>
      </c>
      <c r="D17" s="1861"/>
      <c r="E17" s="1722"/>
      <c r="F17" s="1722"/>
      <c r="G17" s="1862"/>
      <c r="H17" s="1863"/>
      <c r="I17" s="1864"/>
      <c r="J17" s="1865"/>
      <c r="K17" s="1866"/>
      <c r="L17" s="1867"/>
      <c r="M17" s="1868"/>
      <c r="N17" s="1869"/>
      <c r="O17" s="1870"/>
      <c r="P17" s="1871"/>
      <c r="Q17" s="1694"/>
      <c r="R17" s="1872"/>
      <c r="S17" s="1873"/>
      <c r="T17" s="2215"/>
      <c r="U17" s="1418">
        <f>+R17+O17</f>
        <v>0</v>
      </c>
      <c r="V17" s="1418">
        <f t="shared" ref="V17:V24" si="1">+H17</f>
        <v>0</v>
      </c>
      <c r="W17" s="1418">
        <f>+V17-U17</f>
        <v>0</v>
      </c>
      <c r="X17" s="1428" t="s">
        <v>1233</v>
      </c>
      <c r="Z17" s="1419" t="e">
        <f>SUM(#REF!)</f>
        <v>#REF!</v>
      </c>
    </row>
    <row r="18" spans="1:28" s="1409" customFormat="1">
      <c r="B18" s="1874" t="s">
        <v>536</v>
      </c>
      <c r="C18" s="1875" t="s">
        <v>3966</v>
      </c>
      <c r="D18" s="1861" t="s">
        <v>40</v>
      </c>
      <c r="E18" s="1722">
        <v>1777.55</v>
      </c>
      <c r="F18" s="1722">
        <v>37.119999999999997</v>
      </c>
      <c r="G18" s="1862">
        <v>37.380000000000003</v>
      </c>
      <c r="H18" s="1863">
        <f t="shared" ref="H18:H81" si="2">+E18*F18</f>
        <v>65982.655999999988</v>
      </c>
      <c r="I18" s="1863">
        <f>ROUND(E18*G18,2)</f>
        <v>66444.820000000007</v>
      </c>
      <c r="J18" s="1865">
        <v>1777.55</v>
      </c>
      <c r="K18" s="1866">
        <v>66444.819000000003</v>
      </c>
      <c r="L18" s="1867"/>
      <c r="M18" s="1868">
        <f>L18*G18</f>
        <v>0</v>
      </c>
      <c r="N18" s="1869">
        <f>J18+L18</f>
        <v>1777.55</v>
      </c>
      <c r="O18" s="1870">
        <f>N18*G18</f>
        <v>66444.819000000003</v>
      </c>
      <c r="P18" s="1871">
        <f>+IF(D18=0,"",O18/I18)</f>
        <v>0.99999998494991782</v>
      </c>
      <c r="Q18" s="1694">
        <f t="shared" ref="Q18:Q81" si="3">E18-N18</f>
        <v>0</v>
      </c>
      <c r="R18" s="1872">
        <f>ROUND((Q18*G18),2)</f>
        <v>0</v>
      </c>
      <c r="S18" s="1873">
        <f>+IF(I18=0,"",R18/I18)</f>
        <v>0</v>
      </c>
      <c r="T18" s="1867">
        <v>90.96</v>
      </c>
      <c r="U18" s="1418">
        <f t="shared" ref="U18:U24" si="4">+R18+O18</f>
        <v>66444.819000000003</v>
      </c>
      <c r="V18" s="1418">
        <f t="shared" si="1"/>
        <v>65982.655999999988</v>
      </c>
      <c r="W18" s="1418">
        <f t="shared" ref="W18:W24" si="5">+V18-U18</f>
        <v>-462.16300000001502</v>
      </c>
      <c r="X18" s="1428" t="s">
        <v>3616</v>
      </c>
      <c r="Y18" s="1410"/>
      <c r="Z18" s="1419" t="e">
        <f>SUM(#REF!)</f>
        <v>#REF!</v>
      </c>
    </row>
    <row r="19" spans="1:28" s="1409" customFormat="1">
      <c r="A19" s="1423"/>
      <c r="B19" s="2265" t="s">
        <v>39</v>
      </c>
      <c r="C19" s="2266" t="s">
        <v>2928</v>
      </c>
      <c r="D19" s="1861"/>
      <c r="E19" s="1722"/>
      <c r="F19" s="1722"/>
      <c r="G19" s="1862"/>
      <c r="H19" s="1863"/>
      <c r="I19" s="1863"/>
      <c r="J19" s="1865"/>
      <c r="K19" s="1866"/>
      <c r="L19" s="1867"/>
      <c r="M19" s="1868"/>
      <c r="N19" s="1869"/>
      <c r="O19" s="1870"/>
      <c r="P19" s="1871"/>
      <c r="Q19" s="1694"/>
      <c r="R19" s="1872"/>
      <c r="S19" s="1873" t="str">
        <f t="shared" ref="S19:S76" si="6">+IF(H19=0,"",R19/H19)</f>
        <v/>
      </c>
      <c r="T19" s="1867"/>
      <c r="U19" s="1418">
        <f t="shared" si="4"/>
        <v>0</v>
      </c>
      <c r="V19" s="1418">
        <f t="shared" si="1"/>
        <v>0</v>
      </c>
      <c r="W19" s="1418">
        <f t="shared" si="5"/>
        <v>0</v>
      </c>
      <c r="X19" s="1428" t="s">
        <v>3617</v>
      </c>
      <c r="Y19" s="1410"/>
      <c r="Z19" s="1419" t="e">
        <f>SUM(#REF!)</f>
        <v>#REF!</v>
      </c>
    </row>
    <row r="20" spans="1:28" s="1410" customFormat="1">
      <c r="B20" s="2261" t="s">
        <v>541</v>
      </c>
      <c r="C20" s="2262" t="s">
        <v>2929</v>
      </c>
      <c r="D20" s="1861"/>
      <c r="E20" s="1722"/>
      <c r="F20" s="1722"/>
      <c r="G20" s="1862"/>
      <c r="H20" s="1863"/>
      <c r="I20" s="1863"/>
      <c r="J20" s="1865"/>
      <c r="K20" s="1866"/>
      <c r="L20" s="1867"/>
      <c r="M20" s="1868"/>
      <c r="N20" s="1869"/>
      <c r="O20" s="1870"/>
      <c r="P20" s="1871"/>
      <c r="Q20" s="1694"/>
      <c r="R20" s="1872"/>
      <c r="S20" s="1873" t="str">
        <f t="shared" si="6"/>
        <v/>
      </c>
      <c r="T20" s="1867"/>
      <c r="U20" s="1418">
        <f t="shared" si="4"/>
        <v>0</v>
      </c>
      <c r="V20" s="1418">
        <f t="shared" si="1"/>
        <v>0</v>
      </c>
      <c r="W20" s="1418">
        <f t="shared" si="5"/>
        <v>0</v>
      </c>
      <c r="X20" s="1428" t="s">
        <v>3618</v>
      </c>
      <c r="Z20" s="1419" t="e">
        <f>SUM(#REF!)</f>
        <v>#REF!</v>
      </c>
    </row>
    <row r="21" spans="1:28" s="1409" customFormat="1">
      <c r="B21" s="1874" t="s">
        <v>3726</v>
      </c>
      <c r="C21" s="1875" t="s">
        <v>3967</v>
      </c>
      <c r="D21" s="1861" t="s">
        <v>37</v>
      </c>
      <c r="E21" s="1722">
        <v>398.34</v>
      </c>
      <c r="F21" s="1722">
        <v>74.19</v>
      </c>
      <c r="G21" s="1862">
        <v>76.349999999999994</v>
      </c>
      <c r="H21" s="1863">
        <f t="shared" si="2"/>
        <v>29552.844599999997</v>
      </c>
      <c r="I21" s="1863">
        <f t="shared" ref="I21:I84" si="7">ROUND(E21*G21,2)</f>
        <v>30413.26</v>
      </c>
      <c r="J21" s="1865">
        <v>398.34000000000003</v>
      </c>
      <c r="K21" s="1866">
        <v>30413.259000000002</v>
      </c>
      <c r="L21" s="1867"/>
      <c r="M21" s="1868">
        <f>L21*G21</f>
        <v>0</v>
      </c>
      <c r="N21" s="1869">
        <f t="shared" ref="N21:N84" si="8">J21+L21</f>
        <v>398.34000000000003</v>
      </c>
      <c r="O21" s="1870">
        <f>N21*G21</f>
        <v>30413.259000000002</v>
      </c>
      <c r="P21" s="1871">
        <f>+IF(D21=0,"",O21/I21)</f>
        <v>0.99999996711960515</v>
      </c>
      <c r="Q21" s="1694">
        <f t="shared" si="3"/>
        <v>0</v>
      </c>
      <c r="R21" s="1872">
        <f>ROUND((Q21*G21),2)</f>
        <v>0</v>
      </c>
      <c r="S21" s="1873">
        <f>+IF(I21=0,"",R21/I21)</f>
        <v>0</v>
      </c>
      <c r="T21" s="1867">
        <v>80.67</v>
      </c>
      <c r="U21" s="1418">
        <f t="shared" si="4"/>
        <v>30413.259000000002</v>
      </c>
      <c r="V21" s="1418">
        <f t="shared" si="1"/>
        <v>29552.844599999997</v>
      </c>
      <c r="W21" s="1418">
        <f t="shared" si="5"/>
        <v>-860.41440000000512</v>
      </c>
      <c r="X21" s="1429"/>
    </row>
    <row r="22" spans="1:28" s="1410" customFormat="1">
      <c r="A22" s="1423"/>
      <c r="B22" s="2261" t="s">
        <v>542</v>
      </c>
      <c r="C22" s="2262" t="s">
        <v>3968</v>
      </c>
      <c r="D22" s="1861"/>
      <c r="E22" s="1722"/>
      <c r="F22" s="1722"/>
      <c r="G22" s="1862"/>
      <c r="H22" s="1863"/>
      <c r="I22" s="1863"/>
      <c r="J22" s="1865"/>
      <c r="K22" s="1866"/>
      <c r="L22" s="1867"/>
      <c r="M22" s="1868"/>
      <c r="N22" s="1869"/>
      <c r="O22" s="1870"/>
      <c r="P22" s="1871"/>
      <c r="Q22" s="1694"/>
      <c r="R22" s="1872"/>
      <c r="S22" s="1873" t="str">
        <f t="shared" si="6"/>
        <v/>
      </c>
      <c r="T22" s="2215"/>
      <c r="U22" s="1418">
        <f t="shared" si="4"/>
        <v>0</v>
      </c>
      <c r="V22" s="1418">
        <f t="shared" si="1"/>
        <v>0</v>
      </c>
      <c r="W22" s="1418">
        <f t="shared" si="5"/>
        <v>0</v>
      </c>
      <c r="X22" s="1428"/>
      <c r="Y22" s="1409" t="s">
        <v>2</v>
      </c>
      <c r="Z22" s="1417" t="e">
        <f>SUM(Z15:Z21)</f>
        <v>#REF!</v>
      </c>
      <c r="AA22" s="1418">
        <f>+M191</f>
        <v>51580.697499999995</v>
      </c>
      <c r="AB22" s="1418" t="e">
        <f>+Z22-AA22</f>
        <v>#REF!</v>
      </c>
    </row>
    <row r="23" spans="1:28" s="1410" customFormat="1">
      <c r="B23" s="1874" t="s">
        <v>3728</v>
      </c>
      <c r="C23" s="1875" t="s">
        <v>3969</v>
      </c>
      <c r="D23" s="1861" t="s">
        <v>40</v>
      </c>
      <c r="E23" s="1722">
        <v>2.85</v>
      </c>
      <c r="F23" s="1722">
        <v>441.91</v>
      </c>
      <c r="G23" s="1862">
        <v>448.91</v>
      </c>
      <c r="H23" s="1863">
        <f t="shared" si="2"/>
        <v>1259.4435000000001</v>
      </c>
      <c r="I23" s="1863">
        <f t="shared" si="7"/>
        <v>1279.3900000000001</v>
      </c>
      <c r="J23" s="1865">
        <v>2.25</v>
      </c>
      <c r="K23" s="1866">
        <v>1010.0475</v>
      </c>
      <c r="L23" s="1867"/>
      <c r="M23" s="1868">
        <f t="shared" ref="M23:M25" si="9">L23*G23</f>
        <v>0</v>
      </c>
      <c r="N23" s="1869">
        <f t="shared" si="8"/>
        <v>2.25</v>
      </c>
      <c r="O23" s="1870">
        <f t="shared" ref="O23:O25" si="10">N23*G23</f>
        <v>1010.0475</v>
      </c>
      <c r="P23" s="1871">
        <f t="shared" ref="P23:P25" si="11">+IF(D23=0,"",O23/I23)</f>
        <v>0.78947584395688564</v>
      </c>
      <c r="Q23" s="1694">
        <f t="shared" si="3"/>
        <v>0.60000000000000009</v>
      </c>
      <c r="R23" s="1872">
        <f t="shared" ref="R23:R25" si="12">ROUND((Q23*G23),2)</f>
        <v>269.35000000000002</v>
      </c>
      <c r="S23" s="1873">
        <f t="shared" ref="S23:S25" si="13">+IF(I23=0,"",R23/I23)</f>
        <v>0.21053001821180406</v>
      </c>
      <c r="T23" s="2215"/>
      <c r="U23" s="1418">
        <f t="shared" si="4"/>
        <v>1279.3975</v>
      </c>
      <c r="V23" s="1418">
        <f t="shared" si="1"/>
        <v>1259.4435000000001</v>
      </c>
      <c r="W23" s="1418">
        <f t="shared" si="5"/>
        <v>-19.953999999999951</v>
      </c>
      <c r="X23" s="1428"/>
    </row>
    <row r="24" spans="1:28" s="1410" customFormat="1">
      <c r="A24" s="1423"/>
      <c r="B24" s="1874" t="s">
        <v>3730</v>
      </c>
      <c r="C24" s="1875" t="s">
        <v>3970</v>
      </c>
      <c r="D24" s="1861" t="s">
        <v>37</v>
      </c>
      <c r="E24" s="1722">
        <v>39.450000000000003</v>
      </c>
      <c r="F24" s="1722">
        <v>69.56</v>
      </c>
      <c r="G24" s="1862">
        <v>71.28</v>
      </c>
      <c r="H24" s="1863">
        <f t="shared" si="2"/>
        <v>2744.1420000000003</v>
      </c>
      <c r="I24" s="1863">
        <f t="shared" si="7"/>
        <v>2812</v>
      </c>
      <c r="J24" s="1865">
        <v>39</v>
      </c>
      <c r="K24" s="1866">
        <v>2779.92</v>
      </c>
      <c r="L24" s="1867"/>
      <c r="M24" s="1868">
        <f t="shared" si="9"/>
        <v>0</v>
      </c>
      <c r="N24" s="1869">
        <f t="shared" si="8"/>
        <v>39</v>
      </c>
      <c r="O24" s="1870">
        <f t="shared" si="10"/>
        <v>2779.92</v>
      </c>
      <c r="P24" s="1871">
        <f t="shared" si="11"/>
        <v>0.98859174964438123</v>
      </c>
      <c r="Q24" s="1694">
        <f t="shared" si="3"/>
        <v>0.45000000000000284</v>
      </c>
      <c r="R24" s="1872">
        <f t="shared" si="12"/>
        <v>32.08</v>
      </c>
      <c r="S24" s="1873">
        <f t="shared" si="13"/>
        <v>1.1408250355618776E-2</v>
      </c>
      <c r="T24" s="2215"/>
      <c r="U24" s="1418">
        <f t="shared" si="4"/>
        <v>2812</v>
      </c>
      <c r="V24" s="1418">
        <f t="shared" si="1"/>
        <v>2744.1420000000003</v>
      </c>
      <c r="W24" s="1418">
        <f t="shared" si="5"/>
        <v>-67.85799999999972</v>
      </c>
      <c r="X24" s="1428"/>
    </row>
    <row r="25" spans="1:28" s="1410" customFormat="1">
      <c r="A25" s="1423"/>
      <c r="B25" s="1874" t="s">
        <v>3971</v>
      </c>
      <c r="C25" s="1875" t="s">
        <v>3972</v>
      </c>
      <c r="D25" s="1861" t="s">
        <v>48</v>
      </c>
      <c r="E25" s="1722">
        <v>918.39</v>
      </c>
      <c r="F25" s="1722">
        <v>5.05</v>
      </c>
      <c r="G25" s="1862">
        <v>5.1100000000000003</v>
      </c>
      <c r="H25" s="1863">
        <f t="shared" si="2"/>
        <v>4637.8694999999998</v>
      </c>
      <c r="I25" s="1863">
        <f t="shared" si="7"/>
        <v>4692.97</v>
      </c>
      <c r="J25" s="1865">
        <v>206.26999999999998</v>
      </c>
      <c r="K25" s="1866">
        <v>1054.0397</v>
      </c>
      <c r="L25" s="1867"/>
      <c r="M25" s="1868">
        <f t="shared" si="9"/>
        <v>0</v>
      </c>
      <c r="N25" s="1869">
        <f t="shared" si="8"/>
        <v>206.26999999999998</v>
      </c>
      <c r="O25" s="1870">
        <f t="shared" si="10"/>
        <v>1054.0397</v>
      </c>
      <c r="P25" s="1871">
        <f t="shared" si="11"/>
        <v>0.22459970977866894</v>
      </c>
      <c r="Q25" s="1694">
        <f t="shared" si="3"/>
        <v>712.12</v>
      </c>
      <c r="R25" s="1872">
        <f t="shared" si="12"/>
        <v>3638.93</v>
      </c>
      <c r="S25" s="1873">
        <f t="shared" si="13"/>
        <v>0.77540022629592764</v>
      </c>
      <c r="T25" s="2215"/>
      <c r="U25" s="1418"/>
      <c r="V25" s="1418"/>
      <c r="W25" s="1418"/>
      <c r="X25" s="1428"/>
    </row>
    <row r="26" spans="1:28" s="1410" customFormat="1">
      <c r="B26" s="2265" t="s">
        <v>544</v>
      </c>
      <c r="C26" s="2266" t="s">
        <v>3973</v>
      </c>
      <c r="D26" s="1861"/>
      <c r="E26" s="1722"/>
      <c r="F26" s="1722"/>
      <c r="G26" s="1862"/>
      <c r="H26" s="1863"/>
      <c r="I26" s="1863"/>
      <c r="J26" s="1865"/>
      <c r="K26" s="1866"/>
      <c r="L26" s="1867"/>
      <c r="M26" s="1868"/>
      <c r="N26" s="1869"/>
      <c r="O26" s="1870"/>
      <c r="P26" s="1871"/>
      <c r="Q26" s="1694"/>
      <c r="R26" s="1872"/>
      <c r="S26" s="1873" t="str">
        <f t="shared" si="6"/>
        <v/>
      </c>
      <c r="T26" s="2215"/>
      <c r="U26" s="1418"/>
      <c r="V26" s="1418"/>
      <c r="W26" s="1418"/>
      <c r="X26" s="1428"/>
    </row>
    <row r="27" spans="1:28" s="1410" customFormat="1">
      <c r="A27" s="1409"/>
      <c r="B27" s="1874" t="s">
        <v>545</v>
      </c>
      <c r="C27" s="1875" t="s">
        <v>3974</v>
      </c>
      <c r="D27" s="1861" t="s">
        <v>40</v>
      </c>
      <c r="E27" s="1722">
        <v>63.8</v>
      </c>
      <c r="F27" s="1722">
        <v>435.75</v>
      </c>
      <c r="G27" s="1862">
        <v>436.26</v>
      </c>
      <c r="H27" s="1863">
        <f t="shared" si="2"/>
        <v>27800.85</v>
      </c>
      <c r="I27" s="1863">
        <f t="shared" si="7"/>
        <v>27833.39</v>
      </c>
      <c r="J27" s="1865">
        <v>63.8</v>
      </c>
      <c r="K27" s="1866">
        <v>27833.387999999999</v>
      </c>
      <c r="L27" s="1867"/>
      <c r="M27" s="1868">
        <f t="shared" ref="M27:M32" si="14">L27*G27</f>
        <v>0</v>
      </c>
      <c r="N27" s="1869">
        <f t="shared" si="8"/>
        <v>63.8</v>
      </c>
      <c r="O27" s="1870">
        <f t="shared" ref="O27:O32" si="15">N27*G27</f>
        <v>27833.387999999999</v>
      </c>
      <c r="P27" s="1871">
        <f t="shared" ref="P27:P32" si="16">+IF(D27=0,"",O27/I27)</f>
        <v>0.99999992814385885</v>
      </c>
      <c r="Q27" s="1694">
        <f t="shared" si="3"/>
        <v>0</v>
      </c>
      <c r="R27" s="1872">
        <f t="shared" ref="R27:R32" si="17">ROUND((Q27*G27),2)</f>
        <v>0</v>
      </c>
      <c r="S27" s="1873">
        <f t="shared" ref="S27:S32" si="18">+IF(I27=0,"",R27/I27)</f>
        <v>0</v>
      </c>
      <c r="T27" s="2215"/>
      <c r="U27" s="1418"/>
      <c r="V27" s="1418"/>
      <c r="W27" s="1418"/>
      <c r="X27" s="1428"/>
    </row>
    <row r="28" spans="1:28" s="1410" customFormat="1">
      <c r="A28" s="1423"/>
      <c r="B28" s="1874" t="s">
        <v>546</v>
      </c>
      <c r="C28" s="1875" t="s">
        <v>3975</v>
      </c>
      <c r="D28" s="1861" t="s">
        <v>37</v>
      </c>
      <c r="E28" s="1722">
        <v>52.36</v>
      </c>
      <c r="F28" s="1722">
        <v>61.62</v>
      </c>
      <c r="G28" s="1862">
        <v>63.05</v>
      </c>
      <c r="H28" s="1863">
        <f t="shared" si="2"/>
        <v>3226.4231999999997</v>
      </c>
      <c r="I28" s="1863">
        <f t="shared" si="7"/>
        <v>3301.3</v>
      </c>
      <c r="J28" s="1865">
        <v>4.7</v>
      </c>
      <c r="K28" s="1866">
        <v>296.33499999999998</v>
      </c>
      <c r="L28" s="1867"/>
      <c r="M28" s="1868">
        <f t="shared" si="14"/>
        <v>0</v>
      </c>
      <c r="N28" s="1869">
        <f t="shared" si="8"/>
        <v>4.7</v>
      </c>
      <c r="O28" s="1870">
        <f t="shared" si="15"/>
        <v>296.33499999999998</v>
      </c>
      <c r="P28" s="1871">
        <f t="shared" si="16"/>
        <v>8.9763123617968663E-2</v>
      </c>
      <c r="Q28" s="1694">
        <f t="shared" si="3"/>
        <v>47.66</v>
      </c>
      <c r="R28" s="1872">
        <f t="shared" si="17"/>
        <v>3004.96</v>
      </c>
      <c r="S28" s="1873">
        <f t="shared" si="18"/>
        <v>0.91023536182715892</v>
      </c>
      <c r="T28" s="2215"/>
      <c r="U28" s="1418"/>
      <c r="V28" s="1418"/>
      <c r="W28" s="1418"/>
      <c r="X28" s="1428"/>
    </row>
    <row r="29" spans="1:28" s="1410" customFormat="1">
      <c r="B29" s="1874" t="s">
        <v>2243</v>
      </c>
      <c r="C29" s="1875" t="s">
        <v>3976</v>
      </c>
      <c r="D29" s="1861" t="s">
        <v>36</v>
      </c>
      <c r="E29" s="1722">
        <v>384</v>
      </c>
      <c r="F29" s="1722">
        <v>24.52</v>
      </c>
      <c r="G29" s="1862">
        <v>24.73</v>
      </c>
      <c r="H29" s="1863">
        <f t="shared" si="2"/>
        <v>9415.68</v>
      </c>
      <c r="I29" s="1863">
        <f t="shared" si="7"/>
        <v>9496.32</v>
      </c>
      <c r="J29" s="1865">
        <v>78</v>
      </c>
      <c r="K29" s="1866">
        <v>1928.94</v>
      </c>
      <c r="L29" s="1867"/>
      <c r="M29" s="1868">
        <f t="shared" si="14"/>
        <v>0</v>
      </c>
      <c r="N29" s="1869">
        <f t="shared" si="8"/>
        <v>78</v>
      </c>
      <c r="O29" s="1870">
        <f t="shared" si="15"/>
        <v>1928.94</v>
      </c>
      <c r="P29" s="1871">
        <f t="shared" si="16"/>
        <v>0.203125</v>
      </c>
      <c r="Q29" s="1694">
        <f t="shared" si="3"/>
        <v>306</v>
      </c>
      <c r="R29" s="1872">
        <f t="shared" si="17"/>
        <v>7567.38</v>
      </c>
      <c r="S29" s="1873">
        <f t="shared" si="18"/>
        <v>0.796875</v>
      </c>
      <c r="T29" s="2215"/>
      <c r="U29" s="1418"/>
      <c r="V29" s="1418"/>
      <c r="W29" s="1418"/>
      <c r="X29" s="1428"/>
    </row>
    <row r="30" spans="1:28" s="1410" customFormat="1">
      <c r="A30" s="1409"/>
      <c r="B30" s="1874" t="s">
        <v>2244</v>
      </c>
      <c r="C30" s="1875" t="s">
        <v>3977</v>
      </c>
      <c r="D30" s="1861" t="s">
        <v>3878</v>
      </c>
      <c r="E30" s="1722">
        <v>262</v>
      </c>
      <c r="F30" s="1722">
        <v>8.6199999999999992</v>
      </c>
      <c r="G30" s="1862">
        <v>8.94</v>
      </c>
      <c r="H30" s="1863">
        <f t="shared" si="2"/>
        <v>2258.4399999999996</v>
      </c>
      <c r="I30" s="1863">
        <f t="shared" si="7"/>
        <v>2342.2800000000002</v>
      </c>
      <c r="J30" s="1865">
        <v>17.5</v>
      </c>
      <c r="K30" s="1866">
        <v>156.44999999999999</v>
      </c>
      <c r="L30" s="1867"/>
      <c r="M30" s="1868">
        <f t="shared" si="14"/>
        <v>0</v>
      </c>
      <c r="N30" s="1869">
        <f t="shared" si="8"/>
        <v>17.5</v>
      </c>
      <c r="O30" s="1870">
        <f t="shared" si="15"/>
        <v>156.44999999999999</v>
      </c>
      <c r="P30" s="1871">
        <f t="shared" si="16"/>
        <v>6.6793893129770979E-2</v>
      </c>
      <c r="Q30" s="1694">
        <f t="shared" si="3"/>
        <v>244.5</v>
      </c>
      <c r="R30" s="1872">
        <f t="shared" si="17"/>
        <v>2185.83</v>
      </c>
      <c r="S30" s="1873">
        <f t="shared" si="18"/>
        <v>0.93320610687022887</v>
      </c>
      <c r="T30" s="2215"/>
      <c r="U30" s="1418"/>
      <c r="V30" s="1418"/>
      <c r="W30" s="1418"/>
      <c r="X30" s="1428"/>
    </row>
    <row r="31" spans="1:28" s="1410" customFormat="1">
      <c r="A31" s="1423"/>
      <c r="B31" s="1874" t="s">
        <v>3747</v>
      </c>
      <c r="C31" s="1875" t="s">
        <v>3978</v>
      </c>
      <c r="D31" s="1861" t="s">
        <v>2821</v>
      </c>
      <c r="E31" s="1722">
        <v>1</v>
      </c>
      <c r="F31" s="1722">
        <v>998.14</v>
      </c>
      <c r="G31" s="1862">
        <v>1003.91</v>
      </c>
      <c r="H31" s="1863">
        <f t="shared" si="2"/>
        <v>998.14</v>
      </c>
      <c r="I31" s="1863">
        <f t="shared" si="7"/>
        <v>1003.91</v>
      </c>
      <c r="J31" s="1865">
        <v>0.5</v>
      </c>
      <c r="K31" s="1866">
        <v>501.95499999999998</v>
      </c>
      <c r="L31" s="1867"/>
      <c r="M31" s="1868">
        <f t="shared" si="14"/>
        <v>0</v>
      </c>
      <c r="N31" s="1869">
        <f t="shared" si="8"/>
        <v>0.5</v>
      </c>
      <c r="O31" s="1870">
        <f t="shared" si="15"/>
        <v>501.95499999999998</v>
      </c>
      <c r="P31" s="1871">
        <f t="shared" si="16"/>
        <v>0.5</v>
      </c>
      <c r="Q31" s="1694">
        <f t="shared" si="3"/>
        <v>0.5</v>
      </c>
      <c r="R31" s="1872">
        <f t="shared" si="17"/>
        <v>501.96</v>
      </c>
      <c r="S31" s="1873">
        <f t="shared" si="18"/>
        <v>0.50000498052614273</v>
      </c>
      <c r="T31" s="2215"/>
      <c r="U31" s="1418"/>
      <c r="V31" s="1418"/>
      <c r="W31" s="1418"/>
      <c r="X31" s="1428"/>
    </row>
    <row r="32" spans="1:28" s="1410" customFormat="1">
      <c r="B32" s="1874" t="s">
        <v>3752</v>
      </c>
      <c r="C32" s="1875" t="s">
        <v>3979</v>
      </c>
      <c r="D32" s="1861" t="s">
        <v>3878</v>
      </c>
      <c r="E32" s="1722">
        <v>261.77999999999997</v>
      </c>
      <c r="F32" s="1722">
        <v>10.130000000000001</v>
      </c>
      <c r="G32" s="1862">
        <v>10.4</v>
      </c>
      <c r="H32" s="1863">
        <f t="shared" si="2"/>
        <v>2651.8314</v>
      </c>
      <c r="I32" s="1863">
        <f t="shared" si="7"/>
        <v>2722.51</v>
      </c>
      <c r="J32" s="1865">
        <v>0</v>
      </c>
      <c r="K32" s="1866">
        <v>0</v>
      </c>
      <c r="L32" s="1867"/>
      <c r="M32" s="1868">
        <f t="shared" si="14"/>
        <v>0</v>
      </c>
      <c r="N32" s="1869">
        <f t="shared" si="8"/>
        <v>0</v>
      </c>
      <c r="O32" s="1870">
        <f t="shared" si="15"/>
        <v>0</v>
      </c>
      <c r="P32" s="1871">
        <f t="shared" si="16"/>
        <v>0</v>
      </c>
      <c r="Q32" s="1694">
        <f t="shared" si="3"/>
        <v>261.77999999999997</v>
      </c>
      <c r="R32" s="1872">
        <f t="shared" si="17"/>
        <v>2722.51</v>
      </c>
      <c r="S32" s="1873">
        <f t="shared" si="18"/>
        <v>1</v>
      </c>
      <c r="T32" s="2215"/>
      <c r="U32" s="1418"/>
      <c r="V32" s="1418"/>
      <c r="W32" s="1418"/>
      <c r="X32" s="1428"/>
    </row>
    <row r="33" spans="1:24" s="1410" customFormat="1">
      <c r="A33" s="1423"/>
      <c r="B33" s="2265" t="s">
        <v>547</v>
      </c>
      <c r="C33" s="2266" t="s">
        <v>3018</v>
      </c>
      <c r="D33" s="1861"/>
      <c r="E33" s="1722"/>
      <c r="F33" s="1722"/>
      <c r="G33" s="1862"/>
      <c r="H33" s="1863"/>
      <c r="I33" s="1863"/>
      <c r="J33" s="1865"/>
      <c r="K33" s="1866"/>
      <c r="L33" s="1867"/>
      <c r="M33" s="1868"/>
      <c r="N33" s="1869"/>
      <c r="O33" s="1870"/>
      <c r="P33" s="1871"/>
      <c r="Q33" s="1694"/>
      <c r="R33" s="1872"/>
      <c r="S33" s="1873" t="str">
        <f t="shared" si="6"/>
        <v/>
      </c>
      <c r="T33" s="2215"/>
      <c r="U33" s="1418"/>
      <c r="V33" s="1418"/>
      <c r="W33" s="1418"/>
      <c r="X33" s="1428"/>
    </row>
    <row r="34" spans="1:24" s="1410" customFormat="1">
      <c r="A34" s="1423"/>
      <c r="B34" s="2261" t="s">
        <v>548</v>
      </c>
      <c r="C34" s="2262" t="s">
        <v>3980</v>
      </c>
      <c r="D34" s="1861"/>
      <c r="E34" s="1722"/>
      <c r="F34" s="1722"/>
      <c r="G34" s="1862"/>
      <c r="H34" s="1863"/>
      <c r="I34" s="1863"/>
      <c r="J34" s="1865"/>
      <c r="K34" s="1866"/>
      <c r="L34" s="1867"/>
      <c r="M34" s="1868"/>
      <c r="N34" s="1869"/>
      <c r="O34" s="1870"/>
      <c r="P34" s="1871"/>
      <c r="Q34" s="1694"/>
      <c r="R34" s="1872"/>
      <c r="S34" s="1873" t="str">
        <f t="shared" si="6"/>
        <v/>
      </c>
      <c r="T34" s="2215"/>
      <c r="U34" s="1418"/>
      <c r="V34" s="1418"/>
      <c r="W34" s="1418"/>
      <c r="X34" s="1428"/>
    </row>
    <row r="35" spans="1:24" s="1410" customFormat="1">
      <c r="B35" s="1874" t="s">
        <v>3981</v>
      </c>
      <c r="C35" s="1875" t="s">
        <v>3982</v>
      </c>
      <c r="D35" s="1861" t="s">
        <v>36</v>
      </c>
      <c r="E35" s="1722">
        <v>19</v>
      </c>
      <c r="F35" s="1722">
        <v>172.18</v>
      </c>
      <c r="G35" s="1862">
        <v>177.29</v>
      </c>
      <c r="H35" s="1863">
        <f t="shared" si="2"/>
        <v>3271.42</v>
      </c>
      <c r="I35" s="1863">
        <f t="shared" si="7"/>
        <v>3368.51</v>
      </c>
      <c r="J35" s="1865">
        <v>0</v>
      </c>
      <c r="K35" s="1866">
        <v>0</v>
      </c>
      <c r="L35" s="1867"/>
      <c r="M35" s="1868">
        <f t="shared" ref="M35:M47" si="19">L35*G35</f>
        <v>0</v>
      </c>
      <c r="N35" s="1869">
        <f t="shared" si="8"/>
        <v>0</v>
      </c>
      <c r="O35" s="1870">
        <f t="shared" ref="O35:O47" si="20">N35*G35</f>
        <v>0</v>
      </c>
      <c r="P35" s="1871">
        <f t="shared" ref="P35:P47" si="21">+IF(D35=0,"",O35/I35)</f>
        <v>0</v>
      </c>
      <c r="Q35" s="1694">
        <f t="shared" si="3"/>
        <v>19</v>
      </c>
      <c r="R35" s="1872">
        <f t="shared" ref="R35:R47" si="22">ROUND((Q35*G35),2)</f>
        <v>3368.51</v>
      </c>
      <c r="S35" s="1873">
        <f t="shared" ref="S35:S47" si="23">+IF(I35=0,"",R35/I35)</f>
        <v>1</v>
      </c>
      <c r="T35" s="2215"/>
      <c r="U35" s="1418"/>
      <c r="V35" s="1418"/>
      <c r="W35" s="1418"/>
      <c r="X35" s="1428"/>
    </row>
    <row r="36" spans="1:24" s="1410" customFormat="1">
      <c r="A36" s="1409"/>
      <c r="B36" s="1874" t="s">
        <v>3983</v>
      </c>
      <c r="C36" s="1875" t="s">
        <v>3984</v>
      </c>
      <c r="D36" s="1861" t="s">
        <v>36</v>
      </c>
      <c r="E36" s="1722">
        <v>19</v>
      </c>
      <c r="F36" s="1722">
        <v>1172.99</v>
      </c>
      <c r="G36" s="1862">
        <v>1178.0999999999999</v>
      </c>
      <c r="H36" s="1863">
        <f t="shared" si="2"/>
        <v>22286.81</v>
      </c>
      <c r="I36" s="1863">
        <f t="shared" si="7"/>
        <v>22383.9</v>
      </c>
      <c r="J36" s="1865">
        <v>0</v>
      </c>
      <c r="K36" s="1866">
        <v>0</v>
      </c>
      <c r="L36" s="1867"/>
      <c r="M36" s="1868">
        <f t="shared" si="19"/>
        <v>0</v>
      </c>
      <c r="N36" s="1869">
        <f t="shared" si="8"/>
        <v>0</v>
      </c>
      <c r="O36" s="1870">
        <f t="shared" si="20"/>
        <v>0</v>
      </c>
      <c r="P36" s="1871">
        <f t="shared" si="21"/>
        <v>0</v>
      </c>
      <c r="Q36" s="1694">
        <f t="shared" si="3"/>
        <v>19</v>
      </c>
      <c r="R36" s="1872">
        <f t="shared" si="22"/>
        <v>22383.9</v>
      </c>
      <c r="S36" s="1873">
        <f t="shared" si="23"/>
        <v>1</v>
      </c>
      <c r="T36" s="2215"/>
      <c r="U36" s="1418"/>
      <c r="V36" s="1418"/>
      <c r="W36" s="1418"/>
      <c r="X36" s="1428"/>
    </row>
    <row r="37" spans="1:24" s="1410" customFormat="1">
      <c r="A37" s="1423"/>
      <c r="B37" s="1874" t="s">
        <v>3985</v>
      </c>
      <c r="C37" s="1875" t="s">
        <v>3986</v>
      </c>
      <c r="D37" s="1861" t="s">
        <v>38</v>
      </c>
      <c r="E37" s="1722">
        <v>213.95</v>
      </c>
      <c r="F37" s="1722">
        <v>176.66</v>
      </c>
      <c r="G37" s="1862">
        <v>179.42</v>
      </c>
      <c r="H37" s="1863">
        <f t="shared" si="2"/>
        <v>37796.406999999999</v>
      </c>
      <c r="I37" s="1863">
        <f t="shared" si="7"/>
        <v>38386.910000000003</v>
      </c>
      <c r="J37" s="1865">
        <v>0</v>
      </c>
      <c r="K37" s="1866">
        <v>0</v>
      </c>
      <c r="L37" s="1867"/>
      <c r="M37" s="1868">
        <f t="shared" si="19"/>
        <v>0</v>
      </c>
      <c r="N37" s="1869">
        <f t="shared" si="8"/>
        <v>0</v>
      </c>
      <c r="O37" s="1870">
        <f t="shared" si="20"/>
        <v>0</v>
      </c>
      <c r="P37" s="1871">
        <f t="shared" si="21"/>
        <v>0</v>
      </c>
      <c r="Q37" s="1694">
        <f t="shared" si="3"/>
        <v>213.95</v>
      </c>
      <c r="R37" s="1872">
        <f t="shared" si="22"/>
        <v>38386.910000000003</v>
      </c>
      <c r="S37" s="1873">
        <f t="shared" si="23"/>
        <v>1</v>
      </c>
      <c r="T37" s="2215"/>
      <c r="U37" s="1418"/>
      <c r="V37" s="1418"/>
      <c r="W37" s="1418"/>
      <c r="X37" s="1428"/>
    </row>
    <row r="38" spans="1:24" s="1410" customFormat="1">
      <c r="B38" s="1874" t="s">
        <v>3987</v>
      </c>
      <c r="C38" s="1875" t="s">
        <v>3988</v>
      </c>
      <c r="D38" s="1861" t="s">
        <v>37</v>
      </c>
      <c r="E38" s="1722">
        <v>163.44</v>
      </c>
      <c r="F38" s="1722">
        <v>403.47</v>
      </c>
      <c r="G38" s="1862">
        <v>417.39</v>
      </c>
      <c r="H38" s="1863">
        <f t="shared" si="2"/>
        <v>65943.136800000007</v>
      </c>
      <c r="I38" s="1863">
        <f t="shared" si="7"/>
        <v>68218.22</v>
      </c>
      <c r="J38" s="1865">
        <v>0</v>
      </c>
      <c r="K38" s="1866">
        <v>0</v>
      </c>
      <c r="L38" s="1867"/>
      <c r="M38" s="1868">
        <f t="shared" si="19"/>
        <v>0</v>
      </c>
      <c r="N38" s="1869">
        <f t="shared" si="8"/>
        <v>0</v>
      </c>
      <c r="O38" s="1870">
        <f t="shared" si="20"/>
        <v>0</v>
      </c>
      <c r="P38" s="1871">
        <f t="shared" si="21"/>
        <v>0</v>
      </c>
      <c r="Q38" s="1694">
        <f t="shared" si="3"/>
        <v>163.44</v>
      </c>
      <c r="R38" s="1872">
        <f t="shared" si="22"/>
        <v>68218.22</v>
      </c>
      <c r="S38" s="1873">
        <f t="shared" si="23"/>
        <v>1</v>
      </c>
      <c r="T38" s="2215"/>
      <c r="U38" s="1418"/>
      <c r="V38" s="1418"/>
      <c r="W38" s="1418"/>
      <c r="X38" s="1428"/>
    </row>
    <row r="39" spans="1:24" s="1410" customFormat="1">
      <c r="A39" s="1409"/>
      <c r="B39" s="1874" t="s">
        <v>3989</v>
      </c>
      <c r="C39" s="1875" t="s">
        <v>3990</v>
      </c>
      <c r="D39" s="1861" t="s">
        <v>36</v>
      </c>
      <c r="E39" s="1722">
        <v>1</v>
      </c>
      <c r="F39" s="1722">
        <v>1885.41</v>
      </c>
      <c r="G39" s="1862">
        <v>1900.72</v>
      </c>
      <c r="H39" s="1863">
        <f t="shared" si="2"/>
        <v>1885.41</v>
      </c>
      <c r="I39" s="1863">
        <f t="shared" si="7"/>
        <v>1900.72</v>
      </c>
      <c r="J39" s="1865">
        <v>0</v>
      </c>
      <c r="K39" s="1866">
        <v>0</v>
      </c>
      <c r="L39" s="1867"/>
      <c r="M39" s="1868">
        <f t="shared" si="19"/>
        <v>0</v>
      </c>
      <c r="N39" s="1869">
        <f t="shared" si="8"/>
        <v>0</v>
      </c>
      <c r="O39" s="1870">
        <f t="shared" si="20"/>
        <v>0</v>
      </c>
      <c r="P39" s="1871">
        <f t="shared" si="21"/>
        <v>0</v>
      </c>
      <c r="Q39" s="1694">
        <f t="shared" si="3"/>
        <v>1</v>
      </c>
      <c r="R39" s="1872">
        <f t="shared" si="22"/>
        <v>1900.72</v>
      </c>
      <c r="S39" s="1873">
        <f t="shared" si="23"/>
        <v>1</v>
      </c>
      <c r="T39" s="2215"/>
      <c r="U39" s="1418"/>
      <c r="V39" s="1418"/>
      <c r="W39" s="1418"/>
      <c r="X39" s="1428"/>
    </row>
    <row r="40" spans="1:24" s="1410" customFormat="1">
      <c r="A40" s="1423"/>
      <c r="B40" s="1874" t="s">
        <v>3991</v>
      </c>
      <c r="C40" s="1875" t="s">
        <v>3992</v>
      </c>
      <c r="D40" s="1861" t="s">
        <v>36</v>
      </c>
      <c r="E40" s="1722">
        <v>5</v>
      </c>
      <c r="F40" s="1722">
        <v>1739.62</v>
      </c>
      <c r="G40" s="1862">
        <v>1754.93</v>
      </c>
      <c r="H40" s="1863">
        <f t="shared" si="2"/>
        <v>8698.0999999999985</v>
      </c>
      <c r="I40" s="1863">
        <f t="shared" si="7"/>
        <v>8774.65</v>
      </c>
      <c r="J40" s="1865">
        <v>0</v>
      </c>
      <c r="K40" s="1866">
        <v>0</v>
      </c>
      <c r="L40" s="1867"/>
      <c r="M40" s="1868">
        <f t="shared" si="19"/>
        <v>0</v>
      </c>
      <c r="N40" s="1869">
        <f t="shared" si="8"/>
        <v>0</v>
      </c>
      <c r="O40" s="1870">
        <f t="shared" si="20"/>
        <v>0</v>
      </c>
      <c r="P40" s="1871">
        <f t="shared" si="21"/>
        <v>0</v>
      </c>
      <c r="Q40" s="1694">
        <f t="shared" si="3"/>
        <v>5</v>
      </c>
      <c r="R40" s="1872">
        <f t="shared" si="22"/>
        <v>8774.65</v>
      </c>
      <c r="S40" s="1873">
        <f t="shared" si="23"/>
        <v>1</v>
      </c>
      <c r="T40" s="2215"/>
      <c r="U40" s="1418"/>
      <c r="V40" s="1418"/>
      <c r="W40" s="1418"/>
      <c r="X40" s="1428"/>
    </row>
    <row r="41" spans="1:24" s="1410" customFormat="1">
      <c r="B41" s="1874" t="s">
        <v>3993</v>
      </c>
      <c r="C41" s="1875" t="s">
        <v>3994</v>
      </c>
      <c r="D41" s="1861" t="s">
        <v>36</v>
      </c>
      <c r="E41" s="1722">
        <v>2</v>
      </c>
      <c r="F41" s="1722">
        <v>1648.6</v>
      </c>
      <c r="G41" s="1862">
        <v>1663.91</v>
      </c>
      <c r="H41" s="1863">
        <f t="shared" si="2"/>
        <v>3297.2</v>
      </c>
      <c r="I41" s="1863">
        <f t="shared" si="7"/>
        <v>3327.82</v>
      </c>
      <c r="J41" s="1865">
        <v>0</v>
      </c>
      <c r="K41" s="1866">
        <v>0</v>
      </c>
      <c r="L41" s="1867"/>
      <c r="M41" s="1868">
        <f t="shared" si="19"/>
        <v>0</v>
      </c>
      <c r="N41" s="1869">
        <f t="shared" si="8"/>
        <v>0</v>
      </c>
      <c r="O41" s="1870">
        <f t="shared" si="20"/>
        <v>0</v>
      </c>
      <c r="P41" s="1871">
        <f t="shared" si="21"/>
        <v>0</v>
      </c>
      <c r="Q41" s="1694">
        <f t="shared" si="3"/>
        <v>2</v>
      </c>
      <c r="R41" s="1872">
        <f t="shared" si="22"/>
        <v>3327.82</v>
      </c>
      <c r="S41" s="1873">
        <f t="shared" si="23"/>
        <v>1</v>
      </c>
      <c r="T41" s="2215"/>
      <c r="U41" s="1418"/>
      <c r="V41" s="1418"/>
      <c r="W41" s="1418"/>
      <c r="X41" s="1428"/>
    </row>
    <row r="42" spans="1:24" s="1410" customFormat="1">
      <c r="A42" s="1423"/>
      <c r="B42" s="1874" t="s">
        <v>3995</v>
      </c>
      <c r="C42" s="1875" t="s">
        <v>3996</v>
      </c>
      <c r="D42" s="1861" t="s">
        <v>38</v>
      </c>
      <c r="E42" s="1722">
        <v>95.25</v>
      </c>
      <c r="F42" s="1722">
        <v>78.17</v>
      </c>
      <c r="G42" s="1862">
        <v>79.7</v>
      </c>
      <c r="H42" s="1863">
        <f t="shared" si="2"/>
        <v>7445.6925000000001</v>
      </c>
      <c r="I42" s="1863">
        <f t="shared" si="7"/>
        <v>7591.43</v>
      </c>
      <c r="J42" s="1865">
        <v>0</v>
      </c>
      <c r="K42" s="1866">
        <v>0</v>
      </c>
      <c r="L42" s="1867"/>
      <c r="M42" s="1868">
        <f t="shared" si="19"/>
        <v>0</v>
      </c>
      <c r="N42" s="1869">
        <f t="shared" si="8"/>
        <v>0</v>
      </c>
      <c r="O42" s="1870">
        <f t="shared" si="20"/>
        <v>0</v>
      </c>
      <c r="P42" s="1871">
        <f t="shared" si="21"/>
        <v>0</v>
      </c>
      <c r="Q42" s="1694">
        <f t="shared" si="3"/>
        <v>95.25</v>
      </c>
      <c r="R42" s="1872">
        <f t="shared" si="22"/>
        <v>7591.43</v>
      </c>
      <c r="S42" s="1873">
        <f t="shared" si="23"/>
        <v>1</v>
      </c>
      <c r="T42" s="2215"/>
      <c r="U42" s="1418"/>
      <c r="V42" s="1418"/>
      <c r="W42" s="1418"/>
      <c r="X42" s="1428"/>
    </row>
    <row r="43" spans="1:24" s="1410" customFormat="1">
      <c r="A43" s="1423"/>
      <c r="B43" s="1874" t="s">
        <v>3997</v>
      </c>
      <c r="C43" s="1875" t="s">
        <v>3998</v>
      </c>
      <c r="D43" s="1861" t="s">
        <v>38</v>
      </c>
      <c r="E43" s="1722">
        <v>189.46</v>
      </c>
      <c r="F43" s="1722">
        <v>26.08</v>
      </c>
      <c r="G43" s="1862">
        <v>26.58</v>
      </c>
      <c r="H43" s="1863">
        <f t="shared" si="2"/>
        <v>4941.1167999999998</v>
      </c>
      <c r="I43" s="1863">
        <f t="shared" si="7"/>
        <v>5035.8500000000004</v>
      </c>
      <c r="J43" s="1865">
        <v>0</v>
      </c>
      <c r="K43" s="1866">
        <v>0</v>
      </c>
      <c r="L43" s="1867"/>
      <c r="M43" s="1868">
        <f t="shared" si="19"/>
        <v>0</v>
      </c>
      <c r="N43" s="1869">
        <f t="shared" si="8"/>
        <v>0</v>
      </c>
      <c r="O43" s="1870">
        <f t="shared" si="20"/>
        <v>0</v>
      </c>
      <c r="P43" s="1871">
        <f t="shared" si="21"/>
        <v>0</v>
      </c>
      <c r="Q43" s="1694">
        <f t="shared" si="3"/>
        <v>189.46</v>
      </c>
      <c r="R43" s="1872">
        <f t="shared" si="22"/>
        <v>5035.8500000000004</v>
      </c>
      <c r="S43" s="1873">
        <f t="shared" si="23"/>
        <v>1</v>
      </c>
      <c r="T43" s="2215"/>
      <c r="U43" s="1418"/>
      <c r="V43" s="1418"/>
      <c r="W43" s="1418"/>
      <c r="X43" s="1428"/>
    </row>
    <row r="44" spans="1:24" s="1410" customFormat="1">
      <c r="B44" s="1874" t="s">
        <v>3999</v>
      </c>
      <c r="C44" s="1875" t="s">
        <v>4000</v>
      </c>
      <c r="D44" s="1861" t="s">
        <v>38</v>
      </c>
      <c r="E44" s="1722">
        <v>22</v>
      </c>
      <c r="F44" s="1722">
        <v>510.02</v>
      </c>
      <c r="G44" s="1862">
        <v>510.41</v>
      </c>
      <c r="H44" s="1863">
        <f t="shared" si="2"/>
        <v>11220.439999999999</v>
      </c>
      <c r="I44" s="1863">
        <f t="shared" si="7"/>
        <v>11229.02</v>
      </c>
      <c r="J44" s="1865">
        <v>0</v>
      </c>
      <c r="K44" s="1866">
        <v>0</v>
      </c>
      <c r="L44" s="1867"/>
      <c r="M44" s="1868">
        <f t="shared" si="19"/>
        <v>0</v>
      </c>
      <c r="N44" s="1869">
        <f t="shared" si="8"/>
        <v>0</v>
      </c>
      <c r="O44" s="1870">
        <f t="shared" si="20"/>
        <v>0</v>
      </c>
      <c r="P44" s="1871">
        <f t="shared" si="21"/>
        <v>0</v>
      </c>
      <c r="Q44" s="1694">
        <f t="shared" si="3"/>
        <v>22</v>
      </c>
      <c r="R44" s="1872">
        <f t="shared" si="22"/>
        <v>11229.02</v>
      </c>
      <c r="S44" s="1873">
        <f t="shared" si="23"/>
        <v>1</v>
      </c>
      <c r="T44" s="2215"/>
      <c r="U44" s="1418"/>
      <c r="V44" s="1418"/>
      <c r="W44" s="1418"/>
      <c r="X44" s="1428"/>
    </row>
    <row r="45" spans="1:24" s="1410" customFormat="1">
      <c r="A45" s="1409"/>
      <c r="B45" s="1874" t="s">
        <v>4001</v>
      </c>
      <c r="C45" s="1875" t="s">
        <v>4002</v>
      </c>
      <c r="D45" s="1861" t="s">
        <v>38</v>
      </c>
      <c r="E45" s="1722">
        <v>32.299999999999997</v>
      </c>
      <c r="F45" s="1722">
        <v>140.13</v>
      </c>
      <c r="G45" s="1862">
        <v>140.52000000000001</v>
      </c>
      <c r="H45" s="1863">
        <f t="shared" si="2"/>
        <v>4526.1989999999996</v>
      </c>
      <c r="I45" s="1863">
        <f t="shared" si="7"/>
        <v>4538.8</v>
      </c>
      <c r="J45" s="1865">
        <v>0</v>
      </c>
      <c r="K45" s="1866">
        <v>0</v>
      </c>
      <c r="L45" s="1867"/>
      <c r="M45" s="1868">
        <f t="shared" si="19"/>
        <v>0</v>
      </c>
      <c r="N45" s="1869">
        <f t="shared" si="8"/>
        <v>0</v>
      </c>
      <c r="O45" s="1870">
        <f t="shared" si="20"/>
        <v>0</v>
      </c>
      <c r="P45" s="1871">
        <f t="shared" si="21"/>
        <v>0</v>
      </c>
      <c r="Q45" s="1694">
        <f t="shared" si="3"/>
        <v>32.299999999999997</v>
      </c>
      <c r="R45" s="1872">
        <f t="shared" si="22"/>
        <v>4538.8</v>
      </c>
      <c r="S45" s="1873">
        <f t="shared" si="23"/>
        <v>1</v>
      </c>
      <c r="T45" s="2215"/>
      <c r="U45" s="1418"/>
      <c r="V45" s="1418"/>
      <c r="W45" s="1418"/>
      <c r="X45" s="1428"/>
    </row>
    <row r="46" spans="1:24" s="1410" customFormat="1">
      <c r="A46" s="1423"/>
      <c r="B46" s="1874" t="s">
        <v>4003</v>
      </c>
      <c r="C46" s="1875" t="s">
        <v>4004</v>
      </c>
      <c r="D46" s="1861" t="s">
        <v>38</v>
      </c>
      <c r="E46" s="1722">
        <v>12.7</v>
      </c>
      <c r="F46" s="1722">
        <v>56.23</v>
      </c>
      <c r="G46" s="1862">
        <v>56.87</v>
      </c>
      <c r="H46" s="1863">
        <f t="shared" si="2"/>
        <v>714.12099999999987</v>
      </c>
      <c r="I46" s="1863">
        <f t="shared" si="7"/>
        <v>722.25</v>
      </c>
      <c r="J46" s="1865">
        <v>0</v>
      </c>
      <c r="K46" s="1866">
        <v>0</v>
      </c>
      <c r="L46" s="1867"/>
      <c r="M46" s="1868">
        <f t="shared" si="19"/>
        <v>0</v>
      </c>
      <c r="N46" s="1869">
        <f t="shared" si="8"/>
        <v>0</v>
      </c>
      <c r="O46" s="1870">
        <f t="shared" si="20"/>
        <v>0</v>
      </c>
      <c r="P46" s="1871">
        <f t="shared" si="21"/>
        <v>0</v>
      </c>
      <c r="Q46" s="1694">
        <f t="shared" si="3"/>
        <v>12.7</v>
      </c>
      <c r="R46" s="1872">
        <f t="shared" si="22"/>
        <v>722.25</v>
      </c>
      <c r="S46" s="1873">
        <f t="shared" si="23"/>
        <v>1</v>
      </c>
      <c r="T46" s="2215"/>
      <c r="U46" s="1418"/>
      <c r="V46" s="1418"/>
      <c r="W46" s="1418"/>
      <c r="X46" s="1428"/>
    </row>
    <row r="47" spans="1:24" s="1410" customFormat="1">
      <c r="B47" s="1874" t="s">
        <v>4005</v>
      </c>
      <c r="C47" s="1875" t="s">
        <v>4006</v>
      </c>
      <c r="D47" s="1861" t="s">
        <v>37</v>
      </c>
      <c r="E47" s="1722">
        <v>163.56</v>
      </c>
      <c r="F47" s="1722">
        <v>359.23</v>
      </c>
      <c r="G47" s="1862">
        <v>360.76</v>
      </c>
      <c r="H47" s="1863">
        <f t="shared" si="2"/>
        <v>58755.658800000005</v>
      </c>
      <c r="I47" s="1863">
        <f t="shared" si="7"/>
        <v>59005.91</v>
      </c>
      <c r="J47" s="1865">
        <v>0</v>
      </c>
      <c r="K47" s="1866">
        <v>0</v>
      </c>
      <c r="L47" s="1867"/>
      <c r="M47" s="1868">
        <f t="shared" si="19"/>
        <v>0</v>
      </c>
      <c r="N47" s="1869">
        <f t="shared" si="8"/>
        <v>0</v>
      </c>
      <c r="O47" s="1870">
        <f t="shared" si="20"/>
        <v>0</v>
      </c>
      <c r="P47" s="1871">
        <f t="shared" si="21"/>
        <v>0</v>
      </c>
      <c r="Q47" s="1694">
        <f t="shared" si="3"/>
        <v>163.56</v>
      </c>
      <c r="R47" s="1872">
        <f t="shared" si="22"/>
        <v>59005.91</v>
      </c>
      <c r="S47" s="1873">
        <f t="shared" si="23"/>
        <v>1</v>
      </c>
      <c r="T47" s="2215"/>
      <c r="U47" s="1418"/>
      <c r="V47" s="1418"/>
      <c r="W47" s="1418"/>
      <c r="X47" s="1428"/>
    </row>
    <row r="48" spans="1:24" s="1410" customFormat="1">
      <c r="A48" s="1409"/>
      <c r="B48" s="2259" t="s">
        <v>4007</v>
      </c>
      <c r="C48" s="2260" t="s">
        <v>4008</v>
      </c>
      <c r="D48" s="1861"/>
      <c r="E48" s="1722"/>
      <c r="F48" s="1722"/>
      <c r="G48" s="1862"/>
      <c r="H48" s="1863"/>
      <c r="I48" s="1863">
        <f t="shared" si="7"/>
        <v>0</v>
      </c>
      <c r="J48" s="1865"/>
      <c r="K48" s="1866"/>
      <c r="L48" s="1867"/>
      <c r="M48" s="1868"/>
      <c r="N48" s="1869"/>
      <c r="O48" s="1870"/>
      <c r="P48" s="1871"/>
      <c r="Q48" s="1694"/>
      <c r="R48" s="1872"/>
      <c r="S48" s="1873" t="str">
        <f t="shared" si="6"/>
        <v/>
      </c>
      <c r="T48" s="2215"/>
      <c r="U48" s="1418"/>
      <c r="V48" s="1418"/>
      <c r="W48" s="1418"/>
      <c r="X48" s="1428"/>
    </row>
    <row r="49" spans="1:24" s="1410" customFormat="1">
      <c r="A49" s="1423"/>
      <c r="B49" s="1874" t="s">
        <v>4009</v>
      </c>
      <c r="C49" s="1875" t="s">
        <v>4010</v>
      </c>
      <c r="D49" s="1861" t="s">
        <v>36</v>
      </c>
      <c r="E49" s="1722">
        <v>46</v>
      </c>
      <c r="F49" s="1722">
        <v>379.31</v>
      </c>
      <c r="G49" s="1862">
        <v>394.18</v>
      </c>
      <c r="H49" s="1863">
        <f t="shared" si="2"/>
        <v>17448.259999999998</v>
      </c>
      <c r="I49" s="1863">
        <f t="shared" si="7"/>
        <v>18132.28</v>
      </c>
      <c r="J49" s="1865">
        <v>0</v>
      </c>
      <c r="K49" s="1866">
        <v>0</v>
      </c>
      <c r="L49" s="1867"/>
      <c r="M49" s="1868">
        <f t="shared" ref="M49" si="24">L49*G49</f>
        <v>0</v>
      </c>
      <c r="N49" s="1869">
        <f t="shared" si="8"/>
        <v>0</v>
      </c>
      <c r="O49" s="1870">
        <f>N49*G49</f>
        <v>0</v>
      </c>
      <c r="P49" s="1871">
        <f>+IF(D49=0,"",O49/I49)</f>
        <v>0</v>
      </c>
      <c r="Q49" s="1694">
        <f t="shared" si="3"/>
        <v>46</v>
      </c>
      <c r="R49" s="1872">
        <f>ROUND((Q49*G49),2)</f>
        <v>18132.28</v>
      </c>
      <c r="S49" s="1873">
        <f>+IF(I49=0,"",R49/I49)</f>
        <v>1</v>
      </c>
      <c r="T49" s="2215"/>
      <c r="U49" s="1418"/>
      <c r="V49" s="1418"/>
      <c r="W49" s="1418"/>
      <c r="X49" s="1428"/>
    </row>
    <row r="50" spans="1:24" s="1410" customFormat="1">
      <c r="B50" s="2261" t="s">
        <v>549</v>
      </c>
      <c r="C50" s="2262" t="s">
        <v>4011</v>
      </c>
      <c r="D50" s="1861"/>
      <c r="E50" s="1722"/>
      <c r="F50" s="1722"/>
      <c r="G50" s="1862"/>
      <c r="H50" s="1863"/>
      <c r="I50" s="1863">
        <f t="shared" si="7"/>
        <v>0</v>
      </c>
      <c r="J50" s="1865"/>
      <c r="K50" s="1866"/>
      <c r="L50" s="1867"/>
      <c r="M50" s="1868"/>
      <c r="N50" s="1869"/>
      <c r="O50" s="1870"/>
      <c r="P50" s="1871"/>
      <c r="Q50" s="1694"/>
      <c r="R50" s="1872"/>
      <c r="S50" s="1873" t="str">
        <f t="shared" si="6"/>
        <v/>
      </c>
      <c r="T50" s="2215"/>
      <c r="U50" s="1418"/>
      <c r="V50" s="1418"/>
      <c r="W50" s="1418"/>
      <c r="X50" s="1428"/>
    </row>
    <row r="51" spans="1:24" s="1410" customFormat="1">
      <c r="A51" s="1423"/>
      <c r="B51" s="1874" t="s">
        <v>4012</v>
      </c>
      <c r="C51" s="1875" t="s">
        <v>4013</v>
      </c>
      <c r="D51" s="1861" t="s">
        <v>36</v>
      </c>
      <c r="E51" s="1722">
        <v>20</v>
      </c>
      <c r="F51" s="1722">
        <v>172.18</v>
      </c>
      <c r="G51" s="1862">
        <v>177.29</v>
      </c>
      <c r="H51" s="1863">
        <f t="shared" si="2"/>
        <v>3443.6000000000004</v>
      </c>
      <c r="I51" s="1863">
        <f t="shared" si="7"/>
        <v>3545.8</v>
      </c>
      <c r="J51" s="1865">
        <v>0</v>
      </c>
      <c r="K51" s="1866">
        <v>0</v>
      </c>
      <c r="L51" s="1867"/>
      <c r="M51" s="1868">
        <f t="shared" ref="M51:M60" si="25">L51*G51</f>
        <v>0</v>
      </c>
      <c r="N51" s="1869">
        <f t="shared" si="8"/>
        <v>0</v>
      </c>
      <c r="O51" s="1870">
        <f t="shared" ref="O51:O60" si="26">N51*G51</f>
        <v>0</v>
      </c>
      <c r="P51" s="1871">
        <f t="shared" ref="P51:P60" si="27">+IF(D51=0,"",O51/I51)</f>
        <v>0</v>
      </c>
      <c r="Q51" s="1694">
        <f t="shared" si="3"/>
        <v>20</v>
      </c>
      <c r="R51" s="1872">
        <f t="shared" ref="R51:R60" si="28">ROUND((Q51*G51),2)</f>
        <v>3545.8</v>
      </c>
      <c r="S51" s="1873">
        <f t="shared" ref="S51:S60" si="29">+IF(I51=0,"",R51/I51)</f>
        <v>1</v>
      </c>
      <c r="T51" s="2215"/>
      <c r="U51" s="1418"/>
      <c r="V51" s="1418"/>
      <c r="W51" s="1418"/>
      <c r="X51" s="1428"/>
    </row>
    <row r="52" spans="1:24" s="1410" customFormat="1">
      <c r="A52" s="1423"/>
      <c r="B52" s="1874" t="s">
        <v>4014</v>
      </c>
      <c r="C52" s="1875" t="s">
        <v>4015</v>
      </c>
      <c r="D52" s="1861" t="s">
        <v>36</v>
      </c>
      <c r="E52" s="1722">
        <v>20</v>
      </c>
      <c r="F52" s="1722">
        <v>1083.44</v>
      </c>
      <c r="G52" s="1862">
        <v>1088.55</v>
      </c>
      <c r="H52" s="1863">
        <f t="shared" si="2"/>
        <v>21668.800000000003</v>
      </c>
      <c r="I52" s="1863">
        <f t="shared" si="7"/>
        <v>21771</v>
      </c>
      <c r="J52" s="1865">
        <v>0</v>
      </c>
      <c r="K52" s="1866">
        <v>0</v>
      </c>
      <c r="L52" s="1867"/>
      <c r="M52" s="1868">
        <f t="shared" si="25"/>
        <v>0</v>
      </c>
      <c r="N52" s="1869">
        <f t="shared" si="8"/>
        <v>0</v>
      </c>
      <c r="O52" s="1870">
        <f t="shared" si="26"/>
        <v>0</v>
      </c>
      <c r="P52" s="1871">
        <f t="shared" si="27"/>
        <v>0</v>
      </c>
      <c r="Q52" s="1694">
        <f t="shared" si="3"/>
        <v>20</v>
      </c>
      <c r="R52" s="1872">
        <f t="shared" si="28"/>
        <v>21771</v>
      </c>
      <c r="S52" s="1873">
        <f t="shared" si="29"/>
        <v>1</v>
      </c>
      <c r="T52" s="2215"/>
      <c r="U52" s="1418"/>
      <c r="V52" s="1418"/>
      <c r="W52" s="1418"/>
      <c r="X52" s="1428"/>
    </row>
    <row r="53" spans="1:24" s="1410" customFormat="1">
      <c r="B53" s="1874" t="s">
        <v>4016</v>
      </c>
      <c r="C53" s="1875" t="s">
        <v>3986</v>
      </c>
      <c r="D53" s="1861" t="s">
        <v>38</v>
      </c>
      <c r="E53" s="1722">
        <v>250.24</v>
      </c>
      <c r="F53" s="1722">
        <v>178.6</v>
      </c>
      <c r="G53" s="1862">
        <v>181.36</v>
      </c>
      <c r="H53" s="1863">
        <f t="shared" si="2"/>
        <v>44692.864000000001</v>
      </c>
      <c r="I53" s="1863">
        <f t="shared" si="7"/>
        <v>45383.53</v>
      </c>
      <c r="J53" s="1865">
        <v>0</v>
      </c>
      <c r="K53" s="1866">
        <v>0</v>
      </c>
      <c r="L53" s="1867"/>
      <c r="M53" s="1868">
        <f t="shared" si="25"/>
        <v>0</v>
      </c>
      <c r="N53" s="1869">
        <f t="shared" si="8"/>
        <v>0</v>
      </c>
      <c r="O53" s="1870">
        <f t="shared" si="26"/>
        <v>0</v>
      </c>
      <c r="P53" s="1871">
        <f t="shared" si="27"/>
        <v>0</v>
      </c>
      <c r="Q53" s="1694">
        <f t="shared" si="3"/>
        <v>250.24</v>
      </c>
      <c r="R53" s="1872">
        <f t="shared" si="28"/>
        <v>45383.53</v>
      </c>
      <c r="S53" s="1873">
        <f t="shared" si="29"/>
        <v>1</v>
      </c>
      <c r="T53" s="2215"/>
      <c r="U53" s="1418"/>
      <c r="V53" s="1418"/>
      <c r="W53" s="1418"/>
      <c r="X53" s="1428"/>
    </row>
    <row r="54" spans="1:24" s="1410" customFormat="1">
      <c r="A54" s="1409"/>
      <c r="B54" s="1874" t="s">
        <v>4017</v>
      </c>
      <c r="C54" s="1875" t="s">
        <v>4018</v>
      </c>
      <c r="D54" s="1861" t="s">
        <v>37</v>
      </c>
      <c r="E54" s="1722">
        <v>193.51</v>
      </c>
      <c r="F54" s="1722">
        <v>432.39</v>
      </c>
      <c r="G54" s="1862">
        <v>447.7</v>
      </c>
      <c r="H54" s="1863">
        <f t="shared" si="2"/>
        <v>83671.7889</v>
      </c>
      <c r="I54" s="1863">
        <f t="shared" si="7"/>
        <v>86634.43</v>
      </c>
      <c r="J54" s="1865">
        <v>0</v>
      </c>
      <c r="K54" s="1866">
        <v>0</v>
      </c>
      <c r="L54" s="1867"/>
      <c r="M54" s="1868">
        <f t="shared" si="25"/>
        <v>0</v>
      </c>
      <c r="N54" s="1869">
        <f t="shared" si="8"/>
        <v>0</v>
      </c>
      <c r="O54" s="1870">
        <f t="shared" si="26"/>
        <v>0</v>
      </c>
      <c r="P54" s="1871">
        <f t="shared" si="27"/>
        <v>0</v>
      </c>
      <c r="Q54" s="1694">
        <f t="shared" si="3"/>
        <v>193.51</v>
      </c>
      <c r="R54" s="1872">
        <f t="shared" si="28"/>
        <v>86634.43</v>
      </c>
      <c r="S54" s="1873">
        <f t="shared" si="29"/>
        <v>1</v>
      </c>
      <c r="T54" s="2215"/>
      <c r="U54" s="1418"/>
      <c r="V54" s="1418"/>
      <c r="W54" s="1418"/>
      <c r="X54" s="1428"/>
    </row>
    <row r="55" spans="1:24" s="1410" customFormat="1">
      <c r="A55" s="1423"/>
      <c r="B55" s="1874" t="s">
        <v>4019</v>
      </c>
      <c r="C55" s="1875" t="s">
        <v>4020</v>
      </c>
      <c r="D55" s="1861" t="s">
        <v>38</v>
      </c>
      <c r="E55" s="1722">
        <v>103.8</v>
      </c>
      <c r="F55" s="1722">
        <v>78.06</v>
      </c>
      <c r="G55" s="1862">
        <v>79.59</v>
      </c>
      <c r="H55" s="1863">
        <f t="shared" si="2"/>
        <v>8102.6279999999997</v>
      </c>
      <c r="I55" s="1863">
        <f t="shared" si="7"/>
        <v>8261.44</v>
      </c>
      <c r="J55" s="1865">
        <v>0</v>
      </c>
      <c r="K55" s="1866">
        <v>0</v>
      </c>
      <c r="L55" s="1867"/>
      <c r="M55" s="1868">
        <f t="shared" si="25"/>
        <v>0</v>
      </c>
      <c r="N55" s="1869">
        <f t="shared" si="8"/>
        <v>0</v>
      </c>
      <c r="O55" s="1870">
        <f t="shared" si="26"/>
        <v>0</v>
      </c>
      <c r="P55" s="1871">
        <f t="shared" si="27"/>
        <v>0</v>
      </c>
      <c r="Q55" s="1694">
        <f t="shared" si="3"/>
        <v>103.8</v>
      </c>
      <c r="R55" s="1872">
        <f t="shared" si="28"/>
        <v>8261.44</v>
      </c>
      <c r="S55" s="1873">
        <f t="shared" si="29"/>
        <v>1</v>
      </c>
      <c r="T55" s="2215"/>
      <c r="U55" s="1418"/>
      <c r="V55" s="1418"/>
      <c r="W55" s="1418"/>
      <c r="X55" s="1428"/>
    </row>
    <row r="56" spans="1:24" s="1410" customFormat="1">
      <c r="B56" s="1874" t="s">
        <v>4021</v>
      </c>
      <c r="C56" s="1875" t="s">
        <v>3998</v>
      </c>
      <c r="D56" s="1861" t="s">
        <v>38</v>
      </c>
      <c r="E56" s="1722">
        <v>206.45</v>
      </c>
      <c r="F56" s="1722">
        <v>25.25</v>
      </c>
      <c r="G56" s="1862">
        <v>25.75</v>
      </c>
      <c r="H56" s="1863">
        <f t="shared" si="2"/>
        <v>5212.8624999999993</v>
      </c>
      <c r="I56" s="1863">
        <f t="shared" si="7"/>
        <v>5316.09</v>
      </c>
      <c r="J56" s="1865">
        <v>0</v>
      </c>
      <c r="K56" s="1866">
        <v>0</v>
      </c>
      <c r="L56" s="1867"/>
      <c r="M56" s="1868">
        <f t="shared" si="25"/>
        <v>0</v>
      </c>
      <c r="N56" s="1869">
        <f t="shared" si="8"/>
        <v>0</v>
      </c>
      <c r="O56" s="1870">
        <f t="shared" si="26"/>
        <v>0</v>
      </c>
      <c r="P56" s="1871">
        <f t="shared" si="27"/>
        <v>0</v>
      </c>
      <c r="Q56" s="1694">
        <f t="shared" si="3"/>
        <v>206.45</v>
      </c>
      <c r="R56" s="1872">
        <f t="shared" si="28"/>
        <v>5316.09</v>
      </c>
      <c r="S56" s="1873">
        <f t="shared" si="29"/>
        <v>1</v>
      </c>
      <c r="T56" s="2215"/>
      <c r="U56" s="1418"/>
      <c r="V56" s="1418"/>
      <c r="W56" s="1418"/>
      <c r="X56" s="1428"/>
    </row>
    <row r="57" spans="1:24" s="1410" customFormat="1">
      <c r="A57" s="1409"/>
      <c r="B57" s="1874" t="s">
        <v>4022</v>
      </c>
      <c r="C57" s="1875" t="s">
        <v>4023</v>
      </c>
      <c r="D57" s="1861" t="s">
        <v>38</v>
      </c>
      <c r="E57" s="1722">
        <v>8.6</v>
      </c>
      <c r="F57" s="1722">
        <v>207.53</v>
      </c>
      <c r="G57" s="1862">
        <v>207.92</v>
      </c>
      <c r="H57" s="1863">
        <f t="shared" si="2"/>
        <v>1784.758</v>
      </c>
      <c r="I57" s="1863">
        <f t="shared" si="7"/>
        <v>1788.11</v>
      </c>
      <c r="J57" s="1865">
        <v>0</v>
      </c>
      <c r="K57" s="1866">
        <v>0</v>
      </c>
      <c r="L57" s="1867"/>
      <c r="M57" s="1868">
        <f t="shared" si="25"/>
        <v>0</v>
      </c>
      <c r="N57" s="1869">
        <f t="shared" si="8"/>
        <v>0</v>
      </c>
      <c r="O57" s="1870">
        <f t="shared" si="26"/>
        <v>0</v>
      </c>
      <c r="P57" s="1871">
        <f t="shared" si="27"/>
        <v>0</v>
      </c>
      <c r="Q57" s="1694">
        <f t="shared" si="3"/>
        <v>8.6</v>
      </c>
      <c r="R57" s="1872">
        <f t="shared" si="28"/>
        <v>1788.11</v>
      </c>
      <c r="S57" s="1873">
        <f t="shared" si="29"/>
        <v>1</v>
      </c>
      <c r="T57" s="2215"/>
      <c r="U57" s="1418"/>
      <c r="V57" s="1418"/>
      <c r="W57" s="1418"/>
      <c r="X57" s="1428"/>
    </row>
    <row r="58" spans="1:24" s="1410" customFormat="1">
      <c r="A58" s="1423"/>
      <c r="B58" s="1874" t="s">
        <v>4024</v>
      </c>
      <c r="C58" s="1875" t="s">
        <v>4025</v>
      </c>
      <c r="D58" s="1861" t="s">
        <v>38</v>
      </c>
      <c r="E58" s="1722">
        <v>68</v>
      </c>
      <c r="F58" s="1722">
        <v>282.11</v>
      </c>
      <c r="G58" s="1862">
        <v>282.5</v>
      </c>
      <c r="H58" s="1863">
        <f t="shared" si="2"/>
        <v>19183.48</v>
      </c>
      <c r="I58" s="1863">
        <f t="shared" si="7"/>
        <v>19210</v>
      </c>
      <c r="J58" s="1865">
        <v>0</v>
      </c>
      <c r="K58" s="1866">
        <v>0</v>
      </c>
      <c r="L58" s="1867"/>
      <c r="M58" s="1868">
        <f t="shared" si="25"/>
        <v>0</v>
      </c>
      <c r="N58" s="1869">
        <f t="shared" si="8"/>
        <v>0</v>
      </c>
      <c r="O58" s="1870">
        <f t="shared" si="26"/>
        <v>0</v>
      </c>
      <c r="P58" s="1871">
        <f t="shared" si="27"/>
        <v>0</v>
      </c>
      <c r="Q58" s="1694">
        <f t="shared" si="3"/>
        <v>68</v>
      </c>
      <c r="R58" s="1872">
        <f t="shared" si="28"/>
        <v>19210</v>
      </c>
      <c r="S58" s="1873">
        <f t="shared" si="29"/>
        <v>1</v>
      </c>
      <c r="T58" s="2215"/>
      <c r="U58" s="1418"/>
      <c r="V58" s="1418"/>
      <c r="W58" s="1418"/>
      <c r="X58" s="1428"/>
    </row>
    <row r="59" spans="1:24" s="1410" customFormat="1">
      <c r="B59" s="1874" t="s">
        <v>4026</v>
      </c>
      <c r="C59" s="1875" t="s">
        <v>4027</v>
      </c>
      <c r="D59" s="1861" t="s">
        <v>38</v>
      </c>
      <c r="E59" s="1722">
        <v>26.3</v>
      </c>
      <c r="F59" s="1722">
        <v>53.68</v>
      </c>
      <c r="G59" s="1862">
        <v>54.32</v>
      </c>
      <c r="H59" s="1863">
        <f t="shared" si="2"/>
        <v>1411.7840000000001</v>
      </c>
      <c r="I59" s="1863">
        <f t="shared" si="7"/>
        <v>1428.62</v>
      </c>
      <c r="J59" s="1865">
        <v>0</v>
      </c>
      <c r="K59" s="1866">
        <v>0</v>
      </c>
      <c r="L59" s="1867"/>
      <c r="M59" s="1868">
        <f t="shared" si="25"/>
        <v>0</v>
      </c>
      <c r="N59" s="1869">
        <f t="shared" si="8"/>
        <v>0</v>
      </c>
      <c r="O59" s="1870">
        <f t="shared" si="26"/>
        <v>0</v>
      </c>
      <c r="P59" s="1871">
        <f t="shared" si="27"/>
        <v>0</v>
      </c>
      <c r="Q59" s="1694">
        <f t="shared" si="3"/>
        <v>26.3</v>
      </c>
      <c r="R59" s="1872">
        <f t="shared" si="28"/>
        <v>1428.62</v>
      </c>
      <c r="S59" s="1873">
        <f t="shared" si="29"/>
        <v>1</v>
      </c>
      <c r="T59" s="2215"/>
      <c r="U59" s="1418"/>
      <c r="V59" s="1418"/>
      <c r="W59" s="1418"/>
      <c r="X59" s="1428"/>
    </row>
    <row r="60" spans="1:24" s="1410" customFormat="1">
      <c r="A60" s="1423"/>
      <c r="B60" s="1874" t="s">
        <v>4028</v>
      </c>
      <c r="C60" s="1875" t="s">
        <v>4006</v>
      </c>
      <c r="D60" s="1861" t="s">
        <v>37</v>
      </c>
      <c r="E60" s="1722">
        <v>193.51</v>
      </c>
      <c r="F60" s="1722">
        <v>404.25</v>
      </c>
      <c r="G60" s="1862">
        <v>407.31</v>
      </c>
      <c r="H60" s="1863">
        <f t="shared" si="2"/>
        <v>78226.417499999996</v>
      </c>
      <c r="I60" s="1863">
        <f t="shared" si="7"/>
        <v>78818.559999999998</v>
      </c>
      <c r="J60" s="1865">
        <v>0</v>
      </c>
      <c r="K60" s="1866">
        <v>0</v>
      </c>
      <c r="L60" s="1867"/>
      <c r="M60" s="1868">
        <f t="shared" si="25"/>
        <v>0</v>
      </c>
      <c r="N60" s="1869">
        <f t="shared" si="8"/>
        <v>0</v>
      </c>
      <c r="O60" s="1870">
        <f t="shared" si="26"/>
        <v>0</v>
      </c>
      <c r="P60" s="1871">
        <f t="shared" si="27"/>
        <v>0</v>
      </c>
      <c r="Q60" s="1694">
        <f t="shared" si="3"/>
        <v>193.51</v>
      </c>
      <c r="R60" s="1872">
        <f t="shared" si="28"/>
        <v>78818.559999999998</v>
      </c>
      <c r="S60" s="1873">
        <f t="shared" si="29"/>
        <v>1</v>
      </c>
      <c r="T60" s="2215"/>
      <c r="U60" s="1418"/>
      <c r="V60" s="1418"/>
      <c r="W60" s="1418"/>
      <c r="X60" s="1428"/>
    </row>
    <row r="61" spans="1:24" s="1410" customFormat="1">
      <c r="A61" s="1423"/>
      <c r="B61" s="2259" t="s">
        <v>4029</v>
      </c>
      <c r="C61" s="2260" t="s">
        <v>4008</v>
      </c>
      <c r="D61" s="1861"/>
      <c r="E61" s="1722"/>
      <c r="F61" s="1722"/>
      <c r="G61" s="1862"/>
      <c r="H61" s="1863"/>
      <c r="I61" s="1863">
        <f t="shared" si="7"/>
        <v>0</v>
      </c>
      <c r="J61" s="1865"/>
      <c r="K61" s="1866"/>
      <c r="L61" s="1867"/>
      <c r="M61" s="1868"/>
      <c r="N61" s="1869"/>
      <c r="O61" s="1870"/>
      <c r="P61" s="1871"/>
      <c r="Q61" s="1694"/>
      <c r="R61" s="1872"/>
      <c r="S61" s="1873" t="str">
        <f t="shared" si="6"/>
        <v/>
      </c>
      <c r="T61" s="2215"/>
      <c r="U61" s="1418"/>
      <c r="V61" s="1418"/>
      <c r="W61" s="1418"/>
      <c r="X61" s="1428"/>
    </row>
    <row r="62" spans="1:24" s="1410" customFormat="1">
      <c r="B62" s="1874" t="s">
        <v>4030</v>
      </c>
      <c r="C62" s="1875" t="s">
        <v>4031</v>
      </c>
      <c r="D62" s="1861" t="s">
        <v>36</v>
      </c>
      <c r="E62" s="1722">
        <v>40</v>
      </c>
      <c r="F62" s="1722">
        <v>360.05</v>
      </c>
      <c r="G62" s="1862">
        <v>374.92</v>
      </c>
      <c r="H62" s="1863">
        <f t="shared" si="2"/>
        <v>14402</v>
      </c>
      <c r="I62" s="1863">
        <f t="shared" si="7"/>
        <v>14996.8</v>
      </c>
      <c r="J62" s="1865">
        <v>0</v>
      </c>
      <c r="K62" s="1866">
        <v>0</v>
      </c>
      <c r="L62" s="1867"/>
      <c r="M62" s="1868">
        <f t="shared" ref="M62" si="30">L62*G62</f>
        <v>0</v>
      </c>
      <c r="N62" s="1869">
        <f t="shared" si="8"/>
        <v>0</v>
      </c>
      <c r="O62" s="1870">
        <f>N62*G62</f>
        <v>0</v>
      </c>
      <c r="P62" s="1871">
        <f>+IF(D62=0,"",O62/I62)</f>
        <v>0</v>
      </c>
      <c r="Q62" s="1694">
        <f t="shared" si="3"/>
        <v>40</v>
      </c>
      <c r="R62" s="1872">
        <f>ROUND((Q62*G62),2)</f>
        <v>14996.8</v>
      </c>
      <c r="S62" s="1873">
        <f>+IF(I62=0,"",R62/I62)</f>
        <v>1</v>
      </c>
      <c r="T62" s="2215"/>
      <c r="U62" s="1418"/>
      <c r="V62" s="1418"/>
      <c r="W62" s="1418"/>
      <c r="X62" s="1428"/>
    </row>
    <row r="63" spans="1:24" s="1410" customFormat="1">
      <c r="A63" s="1409"/>
      <c r="B63" s="2261" t="s">
        <v>2245</v>
      </c>
      <c r="C63" s="2262" t="s">
        <v>4032</v>
      </c>
      <c r="D63" s="1861"/>
      <c r="E63" s="1722"/>
      <c r="F63" s="1722"/>
      <c r="G63" s="1862"/>
      <c r="H63" s="1863"/>
      <c r="I63" s="1863"/>
      <c r="J63" s="1865"/>
      <c r="K63" s="1866"/>
      <c r="L63" s="1867"/>
      <c r="M63" s="1868"/>
      <c r="N63" s="1869"/>
      <c r="O63" s="1870"/>
      <c r="P63" s="1871"/>
      <c r="Q63" s="1694"/>
      <c r="R63" s="1872"/>
      <c r="S63" s="1873" t="str">
        <f t="shared" si="6"/>
        <v/>
      </c>
      <c r="T63" s="2215"/>
      <c r="U63" s="1418"/>
      <c r="V63" s="1418"/>
      <c r="W63" s="1418"/>
      <c r="X63" s="1428"/>
    </row>
    <row r="64" spans="1:24" s="1410" customFormat="1">
      <c r="A64" s="1423"/>
      <c r="B64" s="1874" t="s">
        <v>4033</v>
      </c>
      <c r="C64" s="1875" t="s">
        <v>4034</v>
      </c>
      <c r="D64" s="1861" t="s">
        <v>36</v>
      </c>
      <c r="E64" s="1722">
        <v>14</v>
      </c>
      <c r="F64" s="1722">
        <v>172.18</v>
      </c>
      <c r="G64" s="1862">
        <v>177.29</v>
      </c>
      <c r="H64" s="1863">
        <f t="shared" si="2"/>
        <v>2410.52</v>
      </c>
      <c r="I64" s="1863">
        <f t="shared" si="7"/>
        <v>2482.06</v>
      </c>
      <c r="J64" s="1865">
        <v>0</v>
      </c>
      <c r="K64" s="1866">
        <v>0</v>
      </c>
      <c r="L64" s="1867"/>
      <c r="M64" s="1868">
        <f t="shared" ref="M64:M73" si="31">L64*G64</f>
        <v>0</v>
      </c>
      <c r="N64" s="1869">
        <f t="shared" si="8"/>
        <v>0</v>
      </c>
      <c r="O64" s="1870">
        <f t="shared" ref="O64:O73" si="32">N64*G64</f>
        <v>0</v>
      </c>
      <c r="P64" s="1871">
        <f t="shared" ref="P64:P73" si="33">+IF(D64=0,"",O64/I64)</f>
        <v>0</v>
      </c>
      <c r="Q64" s="1694">
        <f t="shared" si="3"/>
        <v>14</v>
      </c>
      <c r="R64" s="1872">
        <f t="shared" ref="R64:R73" si="34">ROUND((Q64*G64),2)</f>
        <v>2482.06</v>
      </c>
      <c r="S64" s="1873">
        <f t="shared" ref="S64:S73" si="35">+IF(I64=0,"",R64/I64)</f>
        <v>1</v>
      </c>
      <c r="T64" s="2215"/>
      <c r="U64" s="1418"/>
      <c r="V64" s="1418"/>
      <c r="W64" s="1418"/>
      <c r="X64" s="1428"/>
    </row>
    <row r="65" spans="1:24" s="1410" customFormat="1">
      <c r="B65" s="1874" t="s">
        <v>4035</v>
      </c>
      <c r="C65" s="1875" t="s">
        <v>4036</v>
      </c>
      <c r="D65" s="1861" t="s">
        <v>36</v>
      </c>
      <c r="E65" s="1722">
        <v>14</v>
      </c>
      <c r="F65" s="1722">
        <v>1083.44</v>
      </c>
      <c r="G65" s="1862">
        <v>1088.55</v>
      </c>
      <c r="H65" s="1863">
        <f t="shared" si="2"/>
        <v>15168.16</v>
      </c>
      <c r="I65" s="1863">
        <f t="shared" si="7"/>
        <v>15239.7</v>
      </c>
      <c r="J65" s="1865">
        <v>0</v>
      </c>
      <c r="K65" s="1866">
        <v>0</v>
      </c>
      <c r="L65" s="1867"/>
      <c r="M65" s="1868">
        <f t="shared" si="31"/>
        <v>0</v>
      </c>
      <c r="N65" s="1869">
        <f t="shared" si="8"/>
        <v>0</v>
      </c>
      <c r="O65" s="1870">
        <f t="shared" si="32"/>
        <v>0</v>
      </c>
      <c r="P65" s="1871">
        <f t="shared" si="33"/>
        <v>0</v>
      </c>
      <c r="Q65" s="1694">
        <f t="shared" si="3"/>
        <v>14</v>
      </c>
      <c r="R65" s="1872">
        <f t="shared" si="34"/>
        <v>15239.7</v>
      </c>
      <c r="S65" s="1873">
        <f t="shared" si="35"/>
        <v>1</v>
      </c>
      <c r="T65" s="2215"/>
      <c r="U65" s="1418"/>
      <c r="V65" s="1418"/>
      <c r="W65" s="1418"/>
      <c r="X65" s="1428"/>
    </row>
    <row r="66" spans="1:24" s="1410" customFormat="1">
      <c r="A66" s="1409"/>
      <c r="B66" s="1874" t="s">
        <v>4037</v>
      </c>
      <c r="C66" s="1875" t="s">
        <v>3986</v>
      </c>
      <c r="D66" s="1861" t="s">
        <v>38</v>
      </c>
      <c r="E66" s="1722">
        <v>110</v>
      </c>
      <c r="F66" s="1722">
        <v>148.5</v>
      </c>
      <c r="G66" s="1862">
        <v>150.04</v>
      </c>
      <c r="H66" s="1863">
        <f t="shared" si="2"/>
        <v>16335</v>
      </c>
      <c r="I66" s="1863">
        <f t="shared" si="7"/>
        <v>16504.400000000001</v>
      </c>
      <c r="J66" s="1865">
        <v>0</v>
      </c>
      <c r="K66" s="1866">
        <v>0</v>
      </c>
      <c r="L66" s="1867"/>
      <c r="M66" s="1868">
        <f t="shared" si="31"/>
        <v>0</v>
      </c>
      <c r="N66" s="1869">
        <f t="shared" si="8"/>
        <v>0</v>
      </c>
      <c r="O66" s="1870">
        <f t="shared" si="32"/>
        <v>0</v>
      </c>
      <c r="P66" s="1871">
        <f t="shared" si="33"/>
        <v>0</v>
      </c>
      <c r="Q66" s="1694">
        <f t="shared" si="3"/>
        <v>110</v>
      </c>
      <c r="R66" s="1872">
        <f t="shared" si="34"/>
        <v>16504.400000000001</v>
      </c>
      <c r="S66" s="1873">
        <f t="shared" si="35"/>
        <v>1</v>
      </c>
      <c r="T66" s="2215"/>
      <c r="U66" s="1418"/>
      <c r="V66" s="1418"/>
      <c r="W66" s="1418"/>
      <c r="X66" s="1428"/>
    </row>
    <row r="67" spans="1:24" s="1410" customFormat="1">
      <c r="A67" s="1423"/>
      <c r="B67" s="1874" t="s">
        <v>4038</v>
      </c>
      <c r="C67" s="1875" t="s">
        <v>4039</v>
      </c>
      <c r="D67" s="1861" t="s">
        <v>37</v>
      </c>
      <c r="E67" s="1722">
        <v>89.24</v>
      </c>
      <c r="F67" s="1722">
        <v>442.33</v>
      </c>
      <c r="G67" s="1862">
        <v>457.64</v>
      </c>
      <c r="H67" s="1863">
        <f t="shared" si="2"/>
        <v>39473.529199999997</v>
      </c>
      <c r="I67" s="1863">
        <f t="shared" si="7"/>
        <v>40839.79</v>
      </c>
      <c r="J67" s="1865">
        <v>0</v>
      </c>
      <c r="K67" s="1866">
        <v>0</v>
      </c>
      <c r="L67" s="1867"/>
      <c r="M67" s="1868">
        <f t="shared" si="31"/>
        <v>0</v>
      </c>
      <c r="N67" s="1869">
        <f t="shared" si="8"/>
        <v>0</v>
      </c>
      <c r="O67" s="1870">
        <f t="shared" si="32"/>
        <v>0</v>
      </c>
      <c r="P67" s="1871">
        <f t="shared" si="33"/>
        <v>0</v>
      </c>
      <c r="Q67" s="1694">
        <f t="shared" si="3"/>
        <v>89.24</v>
      </c>
      <c r="R67" s="1872">
        <f t="shared" si="34"/>
        <v>40839.79</v>
      </c>
      <c r="S67" s="1873">
        <f t="shared" si="35"/>
        <v>1</v>
      </c>
      <c r="T67" s="2215"/>
      <c r="U67" s="1418"/>
      <c r="V67" s="1418"/>
      <c r="W67" s="1418"/>
      <c r="X67" s="1428"/>
    </row>
    <row r="68" spans="1:24" s="1410" customFormat="1">
      <c r="B68" s="1874" t="s">
        <v>4040</v>
      </c>
      <c r="C68" s="1875" t="s">
        <v>4041</v>
      </c>
      <c r="D68" s="1861" t="s">
        <v>38</v>
      </c>
      <c r="E68" s="1722">
        <v>56</v>
      </c>
      <c r="F68" s="1722">
        <v>78.290000000000006</v>
      </c>
      <c r="G68" s="1862">
        <v>79.819999999999993</v>
      </c>
      <c r="H68" s="1863">
        <f t="shared" si="2"/>
        <v>4384.2400000000007</v>
      </c>
      <c r="I68" s="1863">
        <f t="shared" si="7"/>
        <v>4469.92</v>
      </c>
      <c r="J68" s="1865">
        <v>0</v>
      </c>
      <c r="K68" s="1866">
        <v>0</v>
      </c>
      <c r="L68" s="1867"/>
      <c r="M68" s="1868">
        <f t="shared" si="31"/>
        <v>0</v>
      </c>
      <c r="N68" s="1869">
        <f t="shared" si="8"/>
        <v>0</v>
      </c>
      <c r="O68" s="1870">
        <f t="shared" si="32"/>
        <v>0</v>
      </c>
      <c r="P68" s="1871">
        <f t="shared" si="33"/>
        <v>0</v>
      </c>
      <c r="Q68" s="1694">
        <f t="shared" si="3"/>
        <v>56</v>
      </c>
      <c r="R68" s="1872">
        <f t="shared" si="34"/>
        <v>4469.92</v>
      </c>
      <c r="S68" s="1873">
        <f t="shared" si="35"/>
        <v>1</v>
      </c>
      <c r="T68" s="2215"/>
      <c r="U68" s="1418"/>
      <c r="V68" s="1418"/>
      <c r="W68" s="1418"/>
      <c r="X68" s="1428"/>
    </row>
    <row r="69" spans="1:24" s="1410" customFormat="1">
      <c r="A69" s="1423"/>
      <c r="B69" s="1874" t="s">
        <v>4042</v>
      </c>
      <c r="C69" s="1875" t="s">
        <v>3998</v>
      </c>
      <c r="D69" s="1861" t="s">
        <v>38</v>
      </c>
      <c r="E69" s="1722">
        <v>105.8</v>
      </c>
      <c r="F69" s="1722">
        <v>25.37</v>
      </c>
      <c r="G69" s="1862">
        <v>25.87</v>
      </c>
      <c r="H69" s="1863">
        <f t="shared" si="2"/>
        <v>2684.1460000000002</v>
      </c>
      <c r="I69" s="1863">
        <f t="shared" si="7"/>
        <v>2737.05</v>
      </c>
      <c r="J69" s="1865">
        <v>0</v>
      </c>
      <c r="K69" s="1866">
        <v>0</v>
      </c>
      <c r="L69" s="1867"/>
      <c r="M69" s="1868">
        <f t="shared" si="31"/>
        <v>0</v>
      </c>
      <c r="N69" s="1869">
        <f t="shared" si="8"/>
        <v>0</v>
      </c>
      <c r="O69" s="1870">
        <f t="shared" si="32"/>
        <v>0</v>
      </c>
      <c r="P69" s="1871">
        <f t="shared" si="33"/>
        <v>0</v>
      </c>
      <c r="Q69" s="1694">
        <f t="shared" si="3"/>
        <v>105.8</v>
      </c>
      <c r="R69" s="1872">
        <f t="shared" si="34"/>
        <v>2737.05</v>
      </c>
      <c r="S69" s="1873">
        <f t="shared" si="35"/>
        <v>1</v>
      </c>
      <c r="T69" s="2215"/>
      <c r="U69" s="1418"/>
      <c r="V69" s="1418"/>
      <c r="W69" s="1418"/>
      <c r="X69" s="1428"/>
    </row>
    <row r="70" spans="1:24" s="1410" customFormat="1">
      <c r="A70" s="1423"/>
      <c r="B70" s="1874" t="s">
        <v>4043</v>
      </c>
      <c r="C70" s="1875" t="s">
        <v>4044</v>
      </c>
      <c r="D70" s="1861" t="s">
        <v>38</v>
      </c>
      <c r="E70" s="1722">
        <v>8.3000000000000007</v>
      </c>
      <c r="F70" s="1722">
        <v>200.7</v>
      </c>
      <c r="G70" s="1862">
        <v>201.09</v>
      </c>
      <c r="H70" s="1863">
        <f t="shared" si="2"/>
        <v>1665.81</v>
      </c>
      <c r="I70" s="1863">
        <f t="shared" si="7"/>
        <v>1669.05</v>
      </c>
      <c r="J70" s="1865">
        <v>0</v>
      </c>
      <c r="K70" s="1866">
        <v>0</v>
      </c>
      <c r="L70" s="1867"/>
      <c r="M70" s="1868">
        <f t="shared" si="31"/>
        <v>0</v>
      </c>
      <c r="N70" s="1869">
        <f t="shared" si="8"/>
        <v>0</v>
      </c>
      <c r="O70" s="1870">
        <f t="shared" si="32"/>
        <v>0</v>
      </c>
      <c r="P70" s="1871">
        <f t="shared" si="33"/>
        <v>0</v>
      </c>
      <c r="Q70" s="1694">
        <f t="shared" si="3"/>
        <v>8.3000000000000007</v>
      </c>
      <c r="R70" s="1872">
        <f t="shared" si="34"/>
        <v>1669.05</v>
      </c>
      <c r="S70" s="1873">
        <f t="shared" si="35"/>
        <v>1</v>
      </c>
      <c r="T70" s="2215"/>
      <c r="U70" s="1418"/>
      <c r="V70" s="1418"/>
      <c r="W70" s="1418"/>
      <c r="X70" s="1428"/>
    </row>
    <row r="71" spans="1:24" s="1410" customFormat="1">
      <c r="B71" s="1874" t="s">
        <v>4045</v>
      </c>
      <c r="C71" s="1875" t="s">
        <v>4046</v>
      </c>
      <c r="D71" s="1861" t="s">
        <v>38</v>
      </c>
      <c r="E71" s="1722">
        <v>32</v>
      </c>
      <c r="F71" s="1722">
        <v>140.99</v>
      </c>
      <c r="G71" s="1862">
        <v>141.38</v>
      </c>
      <c r="H71" s="1863">
        <f t="shared" si="2"/>
        <v>4511.68</v>
      </c>
      <c r="I71" s="1863">
        <f t="shared" si="7"/>
        <v>4524.16</v>
      </c>
      <c r="J71" s="1865">
        <v>0</v>
      </c>
      <c r="K71" s="1866">
        <v>0</v>
      </c>
      <c r="L71" s="1867"/>
      <c r="M71" s="1868">
        <f t="shared" si="31"/>
        <v>0</v>
      </c>
      <c r="N71" s="1869">
        <f t="shared" si="8"/>
        <v>0</v>
      </c>
      <c r="O71" s="1870">
        <f t="shared" si="32"/>
        <v>0</v>
      </c>
      <c r="P71" s="1871">
        <f t="shared" si="33"/>
        <v>0</v>
      </c>
      <c r="Q71" s="1694">
        <f t="shared" si="3"/>
        <v>32</v>
      </c>
      <c r="R71" s="1872">
        <f t="shared" si="34"/>
        <v>4524.16</v>
      </c>
      <c r="S71" s="1873">
        <f t="shared" si="35"/>
        <v>1</v>
      </c>
      <c r="T71" s="2215"/>
      <c r="U71" s="1418"/>
      <c r="V71" s="1418"/>
      <c r="W71" s="1418"/>
      <c r="X71" s="1428"/>
    </row>
    <row r="72" spans="1:24" s="1410" customFormat="1">
      <c r="A72" s="1409"/>
      <c r="B72" s="1874" t="s">
        <v>4047</v>
      </c>
      <c r="C72" s="1875" t="s">
        <v>4048</v>
      </c>
      <c r="D72" s="1861" t="s">
        <v>38</v>
      </c>
      <c r="E72" s="1722">
        <v>9.8000000000000007</v>
      </c>
      <c r="F72" s="1722">
        <v>57.33</v>
      </c>
      <c r="G72" s="1862">
        <v>57.97</v>
      </c>
      <c r="H72" s="1863">
        <f t="shared" si="2"/>
        <v>561.83400000000006</v>
      </c>
      <c r="I72" s="1863">
        <f t="shared" si="7"/>
        <v>568.11</v>
      </c>
      <c r="J72" s="1865">
        <v>0</v>
      </c>
      <c r="K72" s="1866">
        <v>0</v>
      </c>
      <c r="L72" s="1867"/>
      <c r="M72" s="1868">
        <f t="shared" si="31"/>
        <v>0</v>
      </c>
      <c r="N72" s="1869">
        <f t="shared" si="8"/>
        <v>0</v>
      </c>
      <c r="O72" s="1870">
        <f t="shared" si="32"/>
        <v>0</v>
      </c>
      <c r="P72" s="1871">
        <f t="shared" si="33"/>
        <v>0</v>
      </c>
      <c r="Q72" s="1694">
        <f t="shared" si="3"/>
        <v>9.8000000000000007</v>
      </c>
      <c r="R72" s="1872">
        <f t="shared" si="34"/>
        <v>568.11</v>
      </c>
      <c r="S72" s="1873">
        <f t="shared" si="35"/>
        <v>1</v>
      </c>
      <c r="T72" s="2215"/>
      <c r="U72" s="1418"/>
      <c r="V72" s="1418"/>
      <c r="W72" s="1418"/>
      <c r="X72" s="1428"/>
    </row>
    <row r="73" spans="1:24" s="1410" customFormat="1">
      <c r="A73" s="1423"/>
      <c r="B73" s="1874" t="s">
        <v>4049</v>
      </c>
      <c r="C73" s="1875" t="s">
        <v>4006</v>
      </c>
      <c r="D73" s="1861" t="s">
        <v>37</v>
      </c>
      <c r="E73" s="1722">
        <v>89.24</v>
      </c>
      <c r="F73" s="1722">
        <v>400.34</v>
      </c>
      <c r="G73" s="1862">
        <v>403.4</v>
      </c>
      <c r="H73" s="1863">
        <f t="shared" si="2"/>
        <v>35726.341599999992</v>
      </c>
      <c r="I73" s="1863">
        <f t="shared" si="7"/>
        <v>35999.42</v>
      </c>
      <c r="J73" s="1865">
        <v>0</v>
      </c>
      <c r="K73" s="1866">
        <v>0</v>
      </c>
      <c r="L73" s="1867"/>
      <c r="M73" s="1868">
        <f t="shared" si="31"/>
        <v>0</v>
      </c>
      <c r="N73" s="1869">
        <f t="shared" si="8"/>
        <v>0</v>
      </c>
      <c r="O73" s="1870">
        <f t="shared" si="32"/>
        <v>0</v>
      </c>
      <c r="P73" s="1871">
        <f t="shared" si="33"/>
        <v>0</v>
      </c>
      <c r="Q73" s="1694">
        <f t="shared" si="3"/>
        <v>89.24</v>
      </c>
      <c r="R73" s="1872">
        <f t="shared" si="34"/>
        <v>35999.42</v>
      </c>
      <c r="S73" s="1873">
        <f t="shared" si="35"/>
        <v>1</v>
      </c>
      <c r="T73" s="2215"/>
      <c r="U73" s="1418"/>
      <c r="V73" s="1418"/>
      <c r="W73" s="1418"/>
      <c r="X73" s="1428"/>
    </row>
    <row r="74" spans="1:24" s="1410" customFormat="1">
      <c r="B74" s="2259" t="s">
        <v>4050</v>
      </c>
      <c r="C74" s="2260" t="s">
        <v>4008</v>
      </c>
      <c r="D74" s="1861"/>
      <c r="E74" s="1722"/>
      <c r="F74" s="1722"/>
      <c r="G74" s="1862"/>
      <c r="H74" s="1863"/>
      <c r="I74" s="1863">
        <f t="shared" si="7"/>
        <v>0</v>
      </c>
      <c r="J74" s="1865"/>
      <c r="K74" s="1866"/>
      <c r="L74" s="1867"/>
      <c r="M74" s="1868"/>
      <c r="N74" s="1869"/>
      <c r="O74" s="1870"/>
      <c r="P74" s="1871"/>
      <c r="Q74" s="1694"/>
      <c r="R74" s="1872"/>
      <c r="S74" s="1873" t="str">
        <f t="shared" si="6"/>
        <v/>
      </c>
      <c r="T74" s="2215"/>
      <c r="U74" s="1418"/>
      <c r="V74" s="1418"/>
      <c r="W74" s="1418"/>
      <c r="X74" s="1428"/>
    </row>
    <row r="75" spans="1:24" s="1410" customFormat="1">
      <c r="A75" s="1409"/>
      <c r="B75" s="1874" t="s">
        <v>4051</v>
      </c>
      <c r="C75" s="1875" t="s">
        <v>4052</v>
      </c>
      <c r="D75" s="1861" t="s">
        <v>36</v>
      </c>
      <c r="E75" s="1722">
        <v>14</v>
      </c>
      <c r="F75" s="1722">
        <v>376.15</v>
      </c>
      <c r="G75" s="1862">
        <v>391.46</v>
      </c>
      <c r="H75" s="1863">
        <f t="shared" si="2"/>
        <v>5266.0999999999995</v>
      </c>
      <c r="I75" s="1863">
        <f t="shared" si="7"/>
        <v>5480.44</v>
      </c>
      <c r="J75" s="1865">
        <v>0</v>
      </c>
      <c r="K75" s="1866">
        <v>0</v>
      </c>
      <c r="L75" s="1867"/>
      <c r="M75" s="1868">
        <f t="shared" ref="M75" si="36">L75*G75</f>
        <v>0</v>
      </c>
      <c r="N75" s="1869">
        <f t="shared" si="8"/>
        <v>0</v>
      </c>
      <c r="O75" s="1870">
        <f>N75*G75</f>
        <v>0</v>
      </c>
      <c r="P75" s="1871">
        <f>+IF(D75=0,"",O75/I75)</f>
        <v>0</v>
      </c>
      <c r="Q75" s="1694">
        <f t="shared" si="3"/>
        <v>14</v>
      </c>
      <c r="R75" s="1872">
        <f>ROUND((Q75*G75),2)</f>
        <v>5480.44</v>
      </c>
      <c r="S75" s="1873">
        <f>+IF(I75=0,"",R75/I75)</f>
        <v>1</v>
      </c>
      <c r="T75" s="2215"/>
      <c r="U75" s="1418"/>
      <c r="V75" s="1418"/>
      <c r="W75" s="1418"/>
      <c r="X75" s="1428"/>
    </row>
    <row r="76" spans="1:24" s="1410" customFormat="1">
      <c r="A76" s="1423"/>
      <c r="B76" s="2261" t="s">
        <v>4053</v>
      </c>
      <c r="C76" s="2262" t="s">
        <v>4054</v>
      </c>
      <c r="D76" s="1861"/>
      <c r="E76" s="1722"/>
      <c r="F76" s="1722"/>
      <c r="G76" s="1862"/>
      <c r="H76" s="1863"/>
      <c r="I76" s="1863">
        <f t="shared" si="7"/>
        <v>0</v>
      </c>
      <c r="J76" s="1865"/>
      <c r="K76" s="1866"/>
      <c r="L76" s="1867"/>
      <c r="M76" s="1868"/>
      <c r="N76" s="1869"/>
      <c r="O76" s="1870"/>
      <c r="P76" s="1871"/>
      <c r="Q76" s="1694"/>
      <c r="R76" s="1872"/>
      <c r="S76" s="1873" t="str">
        <f t="shared" si="6"/>
        <v/>
      </c>
      <c r="T76" s="2215"/>
      <c r="U76" s="1418"/>
      <c r="V76" s="1418"/>
      <c r="W76" s="1418"/>
      <c r="X76" s="1428"/>
    </row>
    <row r="77" spans="1:24" s="1410" customFormat="1">
      <c r="B77" s="1874" t="s">
        <v>4055</v>
      </c>
      <c r="C77" s="1875" t="s">
        <v>4056</v>
      </c>
      <c r="D77" s="1861" t="s">
        <v>36</v>
      </c>
      <c r="E77" s="1722">
        <v>6</v>
      </c>
      <c r="F77" s="1722">
        <v>220.51</v>
      </c>
      <c r="G77" s="1862">
        <v>225.62</v>
      </c>
      <c r="H77" s="1863">
        <f t="shared" si="2"/>
        <v>1323.06</v>
      </c>
      <c r="I77" s="1863">
        <f t="shared" si="7"/>
        <v>1353.72</v>
      </c>
      <c r="J77" s="1865">
        <v>0</v>
      </c>
      <c r="K77" s="1866">
        <v>0</v>
      </c>
      <c r="L77" s="1867"/>
      <c r="M77" s="1868">
        <f t="shared" ref="M77:M92" si="37">L77*G77</f>
        <v>0</v>
      </c>
      <c r="N77" s="1869">
        <f t="shared" si="8"/>
        <v>0</v>
      </c>
      <c r="O77" s="1870">
        <f t="shared" ref="O77:O92" si="38">N77*G77</f>
        <v>0</v>
      </c>
      <c r="P77" s="1871">
        <f t="shared" ref="P77:P92" si="39">+IF(D77=0,"",O77/I77)</f>
        <v>0</v>
      </c>
      <c r="Q77" s="1694">
        <f t="shared" si="3"/>
        <v>6</v>
      </c>
      <c r="R77" s="1872">
        <f t="shared" ref="R77:R92" si="40">ROUND((Q77*G77),2)</f>
        <v>1353.72</v>
      </c>
      <c r="S77" s="1873">
        <f t="shared" ref="S77:S92" si="41">+IF(I77=0,"",R77/I77)</f>
        <v>1</v>
      </c>
      <c r="T77" s="2215"/>
      <c r="U77" s="1418"/>
      <c r="V77" s="1418"/>
      <c r="W77" s="1418"/>
      <c r="X77" s="1428"/>
    </row>
    <row r="78" spans="1:24" s="1410" customFormat="1">
      <c r="A78" s="1423"/>
      <c r="B78" s="1874" t="s">
        <v>4057</v>
      </c>
      <c r="C78" s="1875" t="s">
        <v>4058</v>
      </c>
      <c r="D78" s="1861" t="s">
        <v>36</v>
      </c>
      <c r="E78" s="1722">
        <v>3</v>
      </c>
      <c r="F78" s="1722">
        <v>200.68</v>
      </c>
      <c r="G78" s="1862">
        <v>205.79</v>
      </c>
      <c r="H78" s="1863">
        <f t="shared" si="2"/>
        <v>602.04</v>
      </c>
      <c r="I78" s="1863">
        <f t="shared" si="7"/>
        <v>617.37</v>
      </c>
      <c r="J78" s="1865">
        <v>0</v>
      </c>
      <c r="K78" s="1866">
        <v>0</v>
      </c>
      <c r="L78" s="1867"/>
      <c r="M78" s="1868">
        <f t="shared" si="37"/>
        <v>0</v>
      </c>
      <c r="N78" s="1869">
        <f t="shared" si="8"/>
        <v>0</v>
      </c>
      <c r="O78" s="1870">
        <f t="shared" si="38"/>
        <v>0</v>
      </c>
      <c r="P78" s="1871">
        <f t="shared" si="39"/>
        <v>0</v>
      </c>
      <c r="Q78" s="1694">
        <f t="shared" si="3"/>
        <v>3</v>
      </c>
      <c r="R78" s="1872">
        <f t="shared" si="40"/>
        <v>617.37</v>
      </c>
      <c r="S78" s="1873">
        <f t="shared" si="41"/>
        <v>1</v>
      </c>
      <c r="T78" s="2215"/>
      <c r="U78" s="1418"/>
      <c r="V78" s="1418"/>
      <c r="W78" s="1418"/>
      <c r="X78" s="1428"/>
    </row>
    <row r="79" spans="1:24" s="1410" customFormat="1">
      <c r="A79" s="1423"/>
      <c r="B79" s="1874" t="s">
        <v>4059</v>
      </c>
      <c r="C79" s="1875" t="s">
        <v>4060</v>
      </c>
      <c r="D79" s="1861" t="s">
        <v>36</v>
      </c>
      <c r="E79" s="1722">
        <v>6</v>
      </c>
      <c r="F79" s="1722">
        <v>1810.31</v>
      </c>
      <c r="G79" s="1862">
        <v>1815.42</v>
      </c>
      <c r="H79" s="1863">
        <f t="shared" si="2"/>
        <v>10861.86</v>
      </c>
      <c r="I79" s="1863">
        <f t="shared" si="7"/>
        <v>10892.52</v>
      </c>
      <c r="J79" s="1865">
        <v>0</v>
      </c>
      <c r="K79" s="1866">
        <v>0</v>
      </c>
      <c r="L79" s="1867"/>
      <c r="M79" s="1868">
        <f t="shared" si="37"/>
        <v>0</v>
      </c>
      <c r="N79" s="1869">
        <f t="shared" si="8"/>
        <v>0</v>
      </c>
      <c r="O79" s="1870">
        <f t="shared" si="38"/>
        <v>0</v>
      </c>
      <c r="P79" s="1871">
        <f t="shared" si="39"/>
        <v>0</v>
      </c>
      <c r="Q79" s="1694">
        <f t="shared" si="3"/>
        <v>6</v>
      </c>
      <c r="R79" s="1872">
        <f t="shared" si="40"/>
        <v>10892.52</v>
      </c>
      <c r="S79" s="1873">
        <f t="shared" si="41"/>
        <v>1</v>
      </c>
      <c r="T79" s="2215"/>
      <c r="U79" s="1418"/>
      <c r="V79" s="1418"/>
      <c r="W79" s="1418"/>
      <c r="X79" s="1428"/>
    </row>
    <row r="80" spans="1:24" s="1410" customFormat="1">
      <c r="B80" s="1874" t="s">
        <v>4061</v>
      </c>
      <c r="C80" s="1875" t="s">
        <v>4062</v>
      </c>
      <c r="D80" s="1861" t="s">
        <v>36</v>
      </c>
      <c r="E80" s="1722">
        <v>3</v>
      </c>
      <c r="F80" s="1722">
        <v>1648.06</v>
      </c>
      <c r="G80" s="1862">
        <v>1653.17</v>
      </c>
      <c r="H80" s="1863">
        <f t="shared" si="2"/>
        <v>4944.18</v>
      </c>
      <c r="I80" s="1863">
        <f t="shared" si="7"/>
        <v>4959.51</v>
      </c>
      <c r="J80" s="1865">
        <v>0</v>
      </c>
      <c r="K80" s="1866">
        <v>0</v>
      </c>
      <c r="L80" s="1867"/>
      <c r="M80" s="1868">
        <f t="shared" si="37"/>
        <v>0</v>
      </c>
      <c r="N80" s="1869">
        <f t="shared" si="8"/>
        <v>0</v>
      </c>
      <c r="O80" s="1870">
        <f t="shared" si="38"/>
        <v>0</v>
      </c>
      <c r="P80" s="1871">
        <f t="shared" si="39"/>
        <v>0</v>
      </c>
      <c r="Q80" s="1694">
        <f t="shared" si="3"/>
        <v>3</v>
      </c>
      <c r="R80" s="1872">
        <f t="shared" si="40"/>
        <v>4959.51</v>
      </c>
      <c r="S80" s="1873">
        <f t="shared" si="41"/>
        <v>1</v>
      </c>
      <c r="T80" s="2215"/>
      <c r="U80" s="1418"/>
      <c r="V80" s="1418"/>
      <c r="W80" s="1418"/>
      <c r="X80" s="1428"/>
    </row>
    <row r="81" spans="1:24" s="1410" customFormat="1">
      <c r="A81" s="1409"/>
      <c r="B81" s="1874" t="s">
        <v>4063</v>
      </c>
      <c r="C81" s="1875" t="s">
        <v>4064</v>
      </c>
      <c r="D81" s="1861" t="s">
        <v>38</v>
      </c>
      <c r="E81" s="1722">
        <v>30.3</v>
      </c>
      <c r="F81" s="1722">
        <v>224.5</v>
      </c>
      <c r="G81" s="1862">
        <v>225.35</v>
      </c>
      <c r="H81" s="1863">
        <f t="shared" si="2"/>
        <v>6802.35</v>
      </c>
      <c r="I81" s="1863">
        <f t="shared" si="7"/>
        <v>6828.11</v>
      </c>
      <c r="J81" s="1865">
        <v>0</v>
      </c>
      <c r="K81" s="1866">
        <v>0</v>
      </c>
      <c r="L81" s="1867"/>
      <c r="M81" s="1868">
        <f t="shared" si="37"/>
        <v>0</v>
      </c>
      <c r="N81" s="1869">
        <f t="shared" si="8"/>
        <v>0</v>
      </c>
      <c r="O81" s="1870">
        <f t="shared" si="38"/>
        <v>0</v>
      </c>
      <c r="P81" s="1871">
        <f t="shared" si="39"/>
        <v>0</v>
      </c>
      <c r="Q81" s="1694">
        <f t="shared" si="3"/>
        <v>30.3</v>
      </c>
      <c r="R81" s="1872">
        <f t="shared" si="40"/>
        <v>6828.11</v>
      </c>
      <c r="S81" s="1873">
        <f t="shared" si="41"/>
        <v>1</v>
      </c>
      <c r="T81" s="2215"/>
      <c r="U81" s="1418"/>
      <c r="V81" s="1418"/>
      <c r="W81" s="1418"/>
      <c r="X81" s="1428"/>
    </row>
    <row r="82" spans="1:24" s="1410" customFormat="1">
      <c r="A82" s="1423"/>
      <c r="B82" s="1874" t="s">
        <v>4065</v>
      </c>
      <c r="C82" s="1875" t="s">
        <v>4066</v>
      </c>
      <c r="D82" s="1861" t="s">
        <v>38</v>
      </c>
      <c r="E82" s="1722">
        <v>60</v>
      </c>
      <c r="F82" s="1722">
        <v>129.07</v>
      </c>
      <c r="G82" s="1862">
        <v>129.91999999999999</v>
      </c>
      <c r="H82" s="1863">
        <f t="shared" ref="H82:H92" si="42">+E82*F82</f>
        <v>7744.2</v>
      </c>
      <c r="I82" s="1863">
        <f t="shared" si="7"/>
        <v>7795.2</v>
      </c>
      <c r="J82" s="1865">
        <v>0</v>
      </c>
      <c r="K82" s="1866">
        <v>0</v>
      </c>
      <c r="L82" s="1867"/>
      <c r="M82" s="1868">
        <f t="shared" si="37"/>
        <v>0</v>
      </c>
      <c r="N82" s="1869">
        <f t="shared" si="8"/>
        <v>0</v>
      </c>
      <c r="O82" s="1870">
        <f t="shared" si="38"/>
        <v>0</v>
      </c>
      <c r="P82" s="1871">
        <f t="shared" si="39"/>
        <v>0</v>
      </c>
      <c r="Q82" s="1694">
        <f t="shared" ref="Q82:Q92" si="43">E82-N82</f>
        <v>60</v>
      </c>
      <c r="R82" s="1872">
        <f t="shared" si="40"/>
        <v>7795.2</v>
      </c>
      <c r="S82" s="1873">
        <f t="shared" si="41"/>
        <v>1</v>
      </c>
      <c r="T82" s="2215"/>
      <c r="U82" s="1418"/>
      <c r="V82" s="1418"/>
      <c r="W82" s="1418"/>
      <c r="X82" s="1428"/>
    </row>
    <row r="83" spans="1:24" s="1410" customFormat="1">
      <c r="B83" s="1874" t="s">
        <v>4067</v>
      </c>
      <c r="C83" s="1875" t="s">
        <v>4068</v>
      </c>
      <c r="D83" s="1861" t="s">
        <v>37</v>
      </c>
      <c r="E83" s="1722">
        <v>121.23</v>
      </c>
      <c r="F83" s="1722">
        <v>446.49</v>
      </c>
      <c r="G83" s="1862">
        <v>461.8</v>
      </c>
      <c r="H83" s="1863">
        <f t="shared" si="42"/>
        <v>54127.9827</v>
      </c>
      <c r="I83" s="1863">
        <f t="shared" si="7"/>
        <v>55984.01</v>
      </c>
      <c r="J83" s="1865">
        <v>0</v>
      </c>
      <c r="K83" s="1866">
        <v>0</v>
      </c>
      <c r="L83" s="1867"/>
      <c r="M83" s="1868">
        <f t="shared" si="37"/>
        <v>0</v>
      </c>
      <c r="N83" s="1869">
        <f t="shared" si="8"/>
        <v>0</v>
      </c>
      <c r="O83" s="1870">
        <f t="shared" si="38"/>
        <v>0</v>
      </c>
      <c r="P83" s="1871">
        <f t="shared" si="39"/>
        <v>0</v>
      </c>
      <c r="Q83" s="1694">
        <f t="shared" si="43"/>
        <v>121.23</v>
      </c>
      <c r="R83" s="1872">
        <f t="shared" si="40"/>
        <v>55984.01</v>
      </c>
      <c r="S83" s="1873">
        <f t="shared" si="41"/>
        <v>1</v>
      </c>
      <c r="T83" s="2215"/>
      <c r="U83" s="1418"/>
      <c r="V83" s="1418"/>
      <c r="W83" s="1418"/>
      <c r="X83" s="1428"/>
    </row>
    <row r="84" spans="1:24" s="1410" customFormat="1">
      <c r="A84" s="1409"/>
      <c r="B84" s="1874" t="s">
        <v>4069</v>
      </c>
      <c r="C84" s="1875" t="s">
        <v>3990</v>
      </c>
      <c r="D84" s="1861" t="s">
        <v>36</v>
      </c>
      <c r="E84" s="1722">
        <v>1</v>
      </c>
      <c r="F84" s="1722">
        <v>2482.39</v>
      </c>
      <c r="G84" s="1862">
        <v>2497.6999999999998</v>
      </c>
      <c r="H84" s="1863">
        <f t="shared" si="42"/>
        <v>2482.39</v>
      </c>
      <c r="I84" s="1863">
        <f t="shared" si="7"/>
        <v>2497.6999999999998</v>
      </c>
      <c r="J84" s="1865">
        <v>0</v>
      </c>
      <c r="K84" s="1866">
        <v>0</v>
      </c>
      <c r="L84" s="1867"/>
      <c r="M84" s="1868">
        <f t="shared" si="37"/>
        <v>0</v>
      </c>
      <c r="N84" s="1869">
        <f t="shared" si="8"/>
        <v>0</v>
      </c>
      <c r="O84" s="1870">
        <f t="shared" si="38"/>
        <v>0</v>
      </c>
      <c r="P84" s="1871">
        <f t="shared" si="39"/>
        <v>0</v>
      </c>
      <c r="Q84" s="1694">
        <f t="shared" si="43"/>
        <v>1</v>
      </c>
      <c r="R84" s="1872">
        <f t="shared" si="40"/>
        <v>2497.6999999999998</v>
      </c>
      <c r="S84" s="1873">
        <f t="shared" si="41"/>
        <v>1</v>
      </c>
      <c r="T84" s="2215"/>
      <c r="U84" s="1418"/>
      <c r="V84" s="1418"/>
      <c r="W84" s="1418"/>
      <c r="X84" s="1428"/>
    </row>
    <row r="85" spans="1:24" s="1410" customFormat="1">
      <c r="A85" s="1423"/>
      <c r="B85" s="1874" t="s">
        <v>4070</v>
      </c>
      <c r="C85" s="1875" t="s">
        <v>3992</v>
      </c>
      <c r="D85" s="1861" t="s">
        <v>36</v>
      </c>
      <c r="E85" s="1722">
        <v>2</v>
      </c>
      <c r="F85" s="1722">
        <v>2523.63</v>
      </c>
      <c r="G85" s="1862">
        <v>2538.94</v>
      </c>
      <c r="H85" s="1863">
        <f t="shared" si="42"/>
        <v>5047.26</v>
      </c>
      <c r="I85" s="1863">
        <f t="shared" ref="I85:I148" si="44">ROUND(E85*G85,2)</f>
        <v>5077.88</v>
      </c>
      <c r="J85" s="1865">
        <v>0</v>
      </c>
      <c r="K85" s="1866">
        <v>0</v>
      </c>
      <c r="L85" s="1867"/>
      <c r="M85" s="1868">
        <f t="shared" si="37"/>
        <v>0</v>
      </c>
      <c r="N85" s="1869">
        <f t="shared" ref="N85:N92" si="45">J85+L85</f>
        <v>0</v>
      </c>
      <c r="O85" s="1870">
        <f t="shared" si="38"/>
        <v>0</v>
      </c>
      <c r="P85" s="1871">
        <f t="shared" si="39"/>
        <v>0</v>
      </c>
      <c r="Q85" s="1694">
        <f t="shared" si="43"/>
        <v>2</v>
      </c>
      <c r="R85" s="1872">
        <f t="shared" si="40"/>
        <v>5077.88</v>
      </c>
      <c r="S85" s="1873">
        <f t="shared" si="41"/>
        <v>1</v>
      </c>
      <c r="T85" s="2215"/>
      <c r="U85" s="1418"/>
      <c r="V85" s="1418"/>
      <c r="W85" s="1418"/>
      <c r="X85" s="1428"/>
    </row>
    <row r="86" spans="1:24" s="1410" customFormat="1">
      <c r="B86" s="1874" t="s">
        <v>4071</v>
      </c>
      <c r="C86" s="1875" t="s">
        <v>3994</v>
      </c>
      <c r="D86" s="1861" t="s">
        <v>36</v>
      </c>
      <c r="E86" s="1722">
        <v>1</v>
      </c>
      <c r="F86" s="1722">
        <v>2523.63</v>
      </c>
      <c r="G86" s="1862">
        <v>2538.94</v>
      </c>
      <c r="H86" s="1863">
        <f t="shared" si="42"/>
        <v>2523.63</v>
      </c>
      <c r="I86" s="1863">
        <f t="shared" si="44"/>
        <v>2538.94</v>
      </c>
      <c r="J86" s="1865">
        <v>0</v>
      </c>
      <c r="K86" s="1866">
        <v>0</v>
      </c>
      <c r="L86" s="1867"/>
      <c r="M86" s="1868">
        <f t="shared" si="37"/>
        <v>0</v>
      </c>
      <c r="N86" s="1869">
        <f t="shared" si="45"/>
        <v>0</v>
      </c>
      <c r="O86" s="1870">
        <f t="shared" si="38"/>
        <v>0</v>
      </c>
      <c r="P86" s="1871">
        <f t="shared" si="39"/>
        <v>0</v>
      </c>
      <c r="Q86" s="1694">
        <f t="shared" si="43"/>
        <v>1</v>
      </c>
      <c r="R86" s="1872">
        <f t="shared" si="40"/>
        <v>2538.94</v>
      </c>
      <c r="S86" s="1873">
        <f t="shared" si="41"/>
        <v>1</v>
      </c>
      <c r="T86" s="2215"/>
      <c r="U86" s="1418"/>
      <c r="V86" s="1418"/>
      <c r="W86" s="1418"/>
      <c r="X86" s="1428"/>
    </row>
    <row r="87" spans="1:24" s="1410" customFormat="1">
      <c r="A87" s="1423"/>
      <c r="B87" s="1874" t="s">
        <v>4072</v>
      </c>
      <c r="C87" s="1875" t="s">
        <v>4073</v>
      </c>
      <c r="D87" s="1861" t="s">
        <v>38</v>
      </c>
      <c r="E87" s="1722">
        <v>59</v>
      </c>
      <c r="F87" s="1722">
        <v>55.59</v>
      </c>
      <c r="G87" s="1862">
        <v>56.19</v>
      </c>
      <c r="H87" s="1863">
        <f t="shared" si="42"/>
        <v>3279.8100000000004</v>
      </c>
      <c r="I87" s="1863">
        <f t="shared" si="44"/>
        <v>3315.21</v>
      </c>
      <c r="J87" s="1865">
        <v>0</v>
      </c>
      <c r="K87" s="1866">
        <v>0</v>
      </c>
      <c r="L87" s="1867"/>
      <c r="M87" s="1868">
        <f t="shared" si="37"/>
        <v>0</v>
      </c>
      <c r="N87" s="1869">
        <f t="shared" si="45"/>
        <v>0</v>
      </c>
      <c r="O87" s="1870">
        <f t="shared" si="38"/>
        <v>0</v>
      </c>
      <c r="P87" s="1871">
        <f t="shared" si="39"/>
        <v>0</v>
      </c>
      <c r="Q87" s="1694">
        <f t="shared" si="43"/>
        <v>59</v>
      </c>
      <c r="R87" s="1872">
        <f t="shared" si="40"/>
        <v>3315.21</v>
      </c>
      <c r="S87" s="1873">
        <f t="shared" si="41"/>
        <v>1</v>
      </c>
      <c r="T87" s="2215"/>
      <c r="U87" s="1418"/>
      <c r="V87" s="1418"/>
      <c r="W87" s="1418"/>
      <c r="X87" s="1428"/>
    </row>
    <row r="88" spans="1:24" s="1410" customFormat="1">
      <c r="A88" s="1423"/>
      <c r="B88" s="1874" t="s">
        <v>4074</v>
      </c>
      <c r="C88" s="1875" t="s">
        <v>4075</v>
      </c>
      <c r="D88" s="1861" t="s">
        <v>38</v>
      </c>
      <c r="E88" s="1722">
        <v>154</v>
      </c>
      <c r="F88" s="1722">
        <v>25.25</v>
      </c>
      <c r="G88" s="1862">
        <v>25.75</v>
      </c>
      <c r="H88" s="1863">
        <f t="shared" si="42"/>
        <v>3888.5</v>
      </c>
      <c r="I88" s="1863">
        <f t="shared" si="44"/>
        <v>3965.5</v>
      </c>
      <c r="J88" s="1865">
        <v>0</v>
      </c>
      <c r="K88" s="1866">
        <v>0</v>
      </c>
      <c r="L88" s="1867"/>
      <c r="M88" s="1868">
        <f t="shared" si="37"/>
        <v>0</v>
      </c>
      <c r="N88" s="1869">
        <f t="shared" si="45"/>
        <v>0</v>
      </c>
      <c r="O88" s="1870">
        <f t="shared" si="38"/>
        <v>0</v>
      </c>
      <c r="P88" s="1871">
        <f t="shared" si="39"/>
        <v>0</v>
      </c>
      <c r="Q88" s="1694">
        <f t="shared" si="43"/>
        <v>154</v>
      </c>
      <c r="R88" s="1872">
        <f t="shared" si="40"/>
        <v>3965.5</v>
      </c>
      <c r="S88" s="1873">
        <f t="shared" si="41"/>
        <v>1</v>
      </c>
      <c r="T88" s="2215"/>
      <c r="U88" s="1418"/>
      <c r="V88" s="1418"/>
      <c r="W88" s="1418"/>
      <c r="X88" s="1428"/>
    </row>
    <row r="89" spans="1:24" s="1410" customFormat="1">
      <c r="B89" s="1874" t="s">
        <v>4076</v>
      </c>
      <c r="C89" s="1875" t="s">
        <v>4077</v>
      </c>
      <c r="D89" s="1861" t="s">
        <v>38</v>
      </c>
      <c r="E89" s="1722">
        <v>9.24</v>
      </c>
      <c r="F89" s="1722">
        <v>221.97</v>
      </c>
      <c r="G89" s="1862">
        <v>222.36</v>
      </c>
      <c r="H89" s="1863">
        <f t="shared" si="42"/>
        <v>2051.0028000000002</v>
      </c>
      <c r="I89" s="1863">
        <f t="shared" si="44"/>
        <v>2054.61</v>
      </c>
      <c r="J89" s="1865">
        <v>0</v>
      </c>
      <c r="K89" s="1866">
        <v>0</v>
      </c>
      <c r="L89" s="1867"/>
      <c r="M89" s="1868">
        <f t="shared" si="37"/>
        <v>0</v>
      </c>
      <c r="N89" s="1869">
        <f t="shared" si="45"/>
        <v>0</v>
      </c>
      <c r="O89" s="1870">
        <f t="shared" si="38"/>
        <v>0</v>
      </c>
      <c r="P89" s="1871">
        <f t="shared" si="39"/>
        <v>0</v>
      </c>
      <c r="Q89" s="1694">
        <f t="shared" si="43"/>
        <v>9.24</v>
      </c>
      <c r="R89" s="1872">
        <f t="shared" si="40"/>
        <v>2054.61</v>
      </c>
      <c r="S89" s="1873">
        <f t="shared" si="41"/>
        <v>1</v>
      </c>
      <c r="T89" s="2215"/>
      <c r="U89" s="1418"/>
      <c r="V89" s="1418"/>
      <c r="W89" s="1418"/>
      <c r="X89" s="1428"/>
    </row>
    <row r="90" spans="1:24" s="1410" customFormat="1">
      <c r="A90" s="1409"/>
      <c r="B90" s="1874" t="s">
        <v>4078</v>
      </c>
      <c r="C90" s="1875" t="s">
        <v>4079</v>
      </c>
      <c r="D90" s="1861" t="s">
        <v>38</v>
      </c>
      <c r="E90" s="1722">
        <v>20</v>
      </c>
      <c r="F90" s="1722">
        <v>91.81</v>
      </c>
      <c r="G90" s="1862">
        <v>92.2</v>
      </c>
      <c r="H90" s="1863">
        <f t="shared" si="42"/>
        <v>1836.2</v>
      </c>
      <c r="I90" s="1863">
        <f t="shared" si="44"/>
        <v>1844</v>
      </c>
      <c r="J90" s="1865">
        <v>0</v>
      </c>
      <c r="K90" s="1866">
        <v>0</v>
      </c>
      <c r="L90" s="1867"/>
      <c r="M90" s="1868">
        <f t="shared" si="37"/>
        <v>0</v>
      </c>
      <c r="N90" s="1869">
        <f t="shared" si="45"/>
        <v>0</v>
      </c>
      <c r="O90" s="1870">
        <f t="shared" si="38"/>
        <v>0</v>
      </c>
      <c r="P90" s="1871">
        <f t="shared" si="39"/>
        <v>0</v>
      </c>
      <c r="Q90" s="1694">
        <f t="shared" si="43"/>
        <v>20</v>
      </c>
      <c r="R90" s="1872">
        <f t="shared" si="40"/>
        <v>1844</v>
      </c>
      <c r="S90" s="1873">
        <f t="shared" si="41"/>
        <v>1</v>
      </c>
      <c r="T90" s="2215"/>
      <c r="U90" s="1418"/>
      <c r="V90" s="1418"/>
      <c r="W90" s="1418"/>
      <c r="X90" s="1428"/>
    </row>
    <row r="91" spans="1:24" s="1410" customFormat="1">
      <c r="A91" s="1423"/>
      <c r="B91" s="1874" t="s">
        <v>4080</v>
      </c>
      <c r="C91" s="1875" t="s">
        <v>4081</v>
      </c>
      <c r="D91" s="1861" t="s">
        <v>38</v>
      </c>
      <c r="E91" s="1722">
        <v>20</v>
      </c>
      <c r="F91" s="1722">
        <v>52.97</v>
      </c>
      <c r="G91" s="1862">
        <v>53.61</v>
      </c>
      <c r="H91" s="1863">
        <f t="shared" si="42"/>
        <v>1059.4000000000001</v>
      </c>
      <c r="I91" s="1863">
        <f t="shared" si="44"/>
        <v>1072.2</v>
      </c>
      <c r="J91" s="1865">
        <v>0</v>
      </c>
      <c r="K91" s="1866">
        <v>0</v>
      </c>
      <c r="L91" s="1867"/>
      <c r="M91" s="1868">
        <f t="shared" si="37"/>
        <v>0</v>
      </c>
      <c r="N91" s="1869">
        <f t="shared" si="45"/>
        <v>0</v>
      </c>
      <c r="O91" s="1870">
        <f t="shared" si="38"/>
        <v>0</v>
      </c>
      <c r="P91" s="1871">
        <f t="shared" si="39"/>
        <v>0</v>
      </c>
      <c r="Q91" s="1694">
        <f t="shared" si="43"/>
        <v>20</v>
      </c>
      <c r="R91" s="1872">
        <f t="shared" si="40"/>
        <v>1072.2</v>
      </c>
      <c r="S91" s="1873">
        <f t="shared" si="41"/>
        <v>1</v>
      </c>
      <c r="T91" s="2215"/>
      <c r="U91" s="1418"/>
      <c r="V91" s="1418"/>
      <c r="W91" s="1418"/>
      <c r="X91" s="1428"/>
    </row>
    <row r="92" spans="1:24" s="1410" customFormat="1">
      <c r="B92" s="1874" t="s">
        <v>4082</v>
      </c>
      <c r="C92" s="1875" t="s">
        <v>4006</v>
      </c>
      <c r="D92" s="1861" t="s">
        <v>37</v>
      </c>
      <c r="E92" s="1722">
        <v>121.23</v>
      </c>
      <c r="F92" s="1722">
        <v>390.91</v>
      </c>
      <c r="G92" s="1862">
        <v>393.69</v>
      </c>
      <c r="H92" s="1863">
        <f t="shared" si="42"/>
        <v>47390.019300000007</v>
      </c>
      <c r="I92" s="1863">
        <f t="shared" si="44"/>
        <v>47727.040000000001</v>
      </c>
      <c r="J92" s="1865">
        <v>0</v>
      </c>
      <c r="K92" s="1866">
        <v>0</v>
      </c>
      <c r="L92" s="1867"/>
      <c r="M92" s="1868">
        <f t="shared" si="37"/>
        <v>0</v>
      </c>
      <c r="N92" s="1869">
        <f t="shared" si="45"/>
        <v>0</v>
      </c>
      <c r="O92" s="1870">
        <f t="shared" si="38"/>
        <v>0</v>
      </c>
      <c r="P92" s="1871">
        <f t="shared" si="39"/>
        <v>0</v>
      </c>
      <c r="Q92" s="1694">
        <f t="shared" si="43"/>
        <v>121.23</v>
      </c>
      <c r="R92" s="1872">
        <f t="shared" si="40"/>
        <v>47727.040000000001</v>
      </c>
      <c r="S92" s="1873">
        <f t="shared" si="41"/>
        <v>1</v>
      </c>
      <c r="T92" s="2215"/>
      <c r="U92" s="1418"/>
      <c r="V92" s="1418"/>
      <c r="W92" s="1418"/>
      <c r="X92" s="1428"/>
    </row>
    <row r="93" spans="1:24" s="1410" customFormat="1">
      <c r="A93" s="1409"/>
      <c r="B93" s="2259" t="s">
        <v>4083</v>
      </c>
      <c r="C93" s="2260" t="s">
        <v>4008</v>
      </c>
      <c r="D93" s="1861"/>
      <c r="E93" s="1722"/>
      <c r="F93" s="1722"/>
      <c r="G93" s="1862"/>
      <c r="H93" s="1863"/>
      <c r="I93" s="1863">
        <f t="shared" si="44"/>
        <v>0</v>
      </c>
      <c r="J93" s="1865"/>
      <c r="K93" s="1866"/>
      <c r="L93" s="1867"/>
      <c r="M93" s="1868"/>
      <c r="N93" s="1869"/>
      <c r="O93" s="1870"/>
      <c r="P93" s="1871"/>
      <c r="Q93" s="1694"/>
      <c r="R93" s="1872"/>
      <c r="S93" s="1873" t="str">
        <f t="shared" ref="S93:S145" si="46">+IF(H93=0,"",R93/H93)</f>
        <v/>
      </c>
      <c r="T93" s="2215"/>
      <c r="U93" s="1418"/>
      <c r="V93" s="1418"/>
      <c r="W93" s="1418"/>
      <c r="X93" s="1428"/>
    </row>
    <row r="94" spans="1:24" s="1410" customFormat="1">
      <c r="A94" s="1423"/>
      <c r="B94" s="1874" t="s">
        <v>4084</v>
      </c>
      <c r="C94" s="1875" t="s">
        <v>4085</v>
      </c>
      <c r="D94" s="1861" t="s">
        <v>36</v>
      </c>
      <c r="E94" s="1722">
        <v>10</v>
      </c>
      <c r="F94" s="1722">
        <v>392.05</v>
      </c>
      <c r="G94" s="1862">
        <v>407.36</v>
      </c>
      <c r="H94" s="1863">
        <f t="shared" ref="H94" si="47">+E94*F94</f>
        <v>3920.5</v>
      </c>
      <c r="I94" s="1863">
        <f t="shared" si="44"/>
        <v>4073.6</v>
      </c>
      <c r="J94" s="1865">
        <v>0</v>
      </c>
      <c r="K94" s="1866">
        <v>0</v>
      </c>
      <c r="L94" s="1867"/>
      <c r="M94" s="1868">
        <f t="shared" ref="M94" si="48">L94*G94</f>
        <v>0</v>
      </c>
      <c r="N94" s="1869">
        <f t="shared" ref="N94" si="49">J94+L94</f>
        <v>0</v>
      </c>
      <c r="O94" s="1870">
        <f>N94*G94</f>
        <v>0</v>
      </c>
      <c r="P94" s="1871">
        <f>+IF(D94=0,"",O94/I94)</f>
        <v>0</v>
      </c>
      <c r="Q94" s="1694">
        <f t="shared" ref="Q94" si="50">E94-N94</f>
        <v>10</v>
      </c>
      <c r="R94" s="1872">
        <f>ROUND((Q94*G94),2)</f>
        <v>4073.6</v>
      </c>
      <c r="S94" s="1873">
        <f>+IF(I94=0,"",R94/I94)</f>
        <v>1</v>
      </c>
      <c r="T94" s="2215"/>
      <c r="U94" s="1418"/>
      <c r="V94" s="1418"/>
      <c r="W94" s="1418"/>
      <c r="X94" s="1428"/>
    </row>
    <row r="95" spans="1:24" s="1410" customFormat="1">
      <c r="B95" s="2261" t="s">
        <v>4086</v>
      </c>
      <c r="C95" s="2262" t="s">
        <v>4087</v>
      </c>
      <c r="D95" s="1861"/>
      <c r="E95" s="1722"/>
      <c r="F95" s="1722"/>
      <c r="G95" s="1862"/>
      <c r="H95" s="1863"/>
      <c r="I95" s="1863">
        <f t="shared" si="44"/>
        <v>0</v>
      </c>
      <c r="J95" s="1865"/>
      <c r="K95" s="1866"/>
      <c r="L95" s="1867"/>
      <c r="M95" s="1868"/>
      <c r="N95" s="1869"/>
      <c r="O95" s="1870"/>
      <c r="P95" s="1871"/>
      <c r="Q95" s="1694"/>
      <c r="R95" s="1872"/>
      <c r="S95" s="1873" t="str">
        <f t="shared" si="46"/>
        <v/>
      </c>
      <c r="T95" s="2215"/>
      <c r="U95" s="1418"/>
      <c r="V95" s="1418"/>
      <c r="W95" s="1418"/>
      <c r="X95" s="1428"/>
    </row>
    <row r="96" spans="1:24" s="1410" customFormat="1">
      <c r="A96" s="1423"/>
      <c r="B96" s="1874" t="s">
        <v>4088</v>
      </c>
      <c r="C96" s="1875" t="s">
        <v>4089</v>
      </c>
      <c r="D96" s="1861" t="s">
        <v>36</v>
      </c>
      <c r="E96" s="1722">
        <v>8</v>
      </c>
      <c r="F96" s="1722">
        <v>172.18</v>
      </c>
      <c r="G96" s="1862">
        <v>177.29</v>
      </c>
      <c r="H96" s="1863">
        <f t="shared" ref="H96:H107" si="51">+E96*F96</f>
        <v>1377.44</v>
      </c>
      <c r="I96" s="1863">
        <f t="shared" si="44"/>
        <v>1418.32</v>
      </c>
      <c r="J96" s="1865">
        <v>0</v>
      </c>
      <c r="K96" s="1866">
        <v>0</v>
      </c>
      <c r="L96" s="1867"/>
      <c r="M96" s="1868">
        <f t="shared" ref="M96:M150" si="52">L96*G96</f>
        <v>0</v>
      </c>
      <c r="N96" s="1869">
        <f t="shared" ref="N96:N107" si="53">J96+L96</f>
        <v>0</v>
      </c>
      <c r="O96" s="1870">
        <f t="shared" ref="O96:O107" si="54">N96*G96</f>
        <v>0</v>
      </c>
      <c r="P96" s="1871">
        <f t="shared" ref="P96:P107" si="55">+IF(D96=0,"",O96/I96)</f>
        <v>0</v>
      </c>
      <c r="Q96" s="1694">
        <f t="shared" ref="Q96:Q107" si="56">E96-N96</f>
        <v>8</v>
      </c>
      <c r="R96" s="1872">
        <f t="shared" ref="R96:R107" si="57">ROUND((Q96*G96),2)</f>
        <v>1418.32</v>
      </c>
      <c r="S96" s="1873">
        <f t="shared" ref="S96:S107" si="58">+IF(I96=0,"",R96/I96)</f>
        <v>1</v>
      </c>
      <c r="T96" s="2215"/>
      <c r="U96" s="1418"/>
      <c r="V96" s="1418"/>
      <c r="W96" s="1418"/>
      <c r="X96" s="1428"/>
    </row>
    <row r="97" spans="1:24" s="1410" customFormat="1">
      <c r="A97" s="1423"/>
      <c r="B97" s="1874" t="s">
        <v>4090</v>
      </c>
      <c r="C97" s="1875" t="s">
        <v>4091</v>
      </c>
      <c r="D97" s="1861" t="s">
        <v>36</v>
      </c>
      <c r="E97" s="1722">
        <v>8</v>
      </c>
      <c r="F97" s="1722">
        <v>1021.3</v>
      </c>
      <c r="G97" s="1862">
        <v>1026.4100000000001</v>
      </c>
      <c r="H97" s="1863">
        <f t="shared" si="51"/>
        <v>8170.4</v>
      </c>
      <c r="I97" s="1863">
        <f t="shared" si="44"/>
        <v>8211.2800000000007</v>
      </c>
      <c r="J97" s="1865">
        <v>0</v>
      </c>
      <c r="K97" s="1866">
        <v>0</v>
      </c>
      <c r="L97" s="1867"/>
      <c r="M97" s="1868">
        <f t="shared" si="52"/>
        <v>0</v>
      </c>
      <c r="N97" s="1869">
        <f t="shared" si="53"/>
        <v>0</v>
      </c>
      <c r="O97" s="1870">
        <f t="shared" si="54"/>
        <v>0</v>
      </c>
      <c r="P97" s="1871">
        <f t="shared" si="55"/>
        <v>0</v>
      </c>
      <c r="Q97" s="1694">
        <f t="shared" si="56"/>
        <v>8</v>
      </c>
      <c r="R97" s="1872">
        <f t="shared" si="57"/>
        <v>8211.2800000000007</v>
      </c>
      <c r="S97" s="1873">
        <f t="shared" si="58"/>
        <v>1</v>
      </c>
      <c r="T97" s="2215"/>
      <c r="U97" s="1418"/>
      <c r="V97" s="1418"/>
      <c r="W97" s="1418"/>
      <c r="X97" s="1428"/>
    </row>
    <row r="98" spans="1:24" s="1410" customFormat="1">
      <c r="B98" s="1874" t="s">
        <v>4092</v>
      </c>
      <c r="C98" s="1875" t="s">
        <v>4093</v>
      </c>
      <c r="D98" s="1861" t="s">
        <v>38</v>
      </c>
      <c r="E98" s="1722">
        <v>40.799999999999997</v>
      </c>
      <c r="F98" s="1722">
        <v>156.78</v>
      </c>
      <c r="G98" s="1862">
        <v>158.32</v>
      </c>
      <c r="H98" s="1863">
        <f t="shared" si="51"/>
        <v>6396.6239999999998</v>
      </c>
      <c r="I98" s="1863">
        <f t="shared" si="44"/>
        <v>6459.46</v>
      </c>
      <c r="J98" s="1865">
        <v>0</v>
      </c>
      <c r="K98" s="1866">
        <v>0</v>
      </c>
      <c r="L98" s="1867"/>
      <c r="M98" s="1868">
        <f t="shared" si="52"/>
        <v>0</v>
      </c>
      <c r="N98" s="1869">
        <f t="shared" si="53"/>
        <v>0</v>
      </c>
      <c r="O98" s="1870">
        <f t="shared" si="54"/>
        <v>0</v>
      </c>
      <c r="P98" s="1871">
        <f t="shared" si="55"/>
        <v>0</v>
      </c>
      <c r="Q98" s="1694">
        <f t="shared" si="56"/>
        <v>40.799999999999997</v>
      </c>
      <c r="R98" s="1872">
        <f t="shared" si="57"/>
        <v>6459.46</v>
      </c>
      <c r="S98" s="1873">
        <f t="shared" si="58"/>
        <v>1</v>
      </c>
      <c r="T98" s="2215"/>
      <c r="U98" s="1418"/>
      <c r="V98" s="1418"/>
      <c r="W98" s="1418"/>
      <c r="X98" s="1428"/>
    </row>
    <row r="99" spans="1:24" s="1410" customFormat="1">
      <c r="A99" s="1409"/>
      <c r="B99" s="1874" t="s">
        <v>4094</v>
      </c>
      <c r="C99" s="1875" t="s">
        <v>4095</v>
      </c>
      <c r="D99" s="1861" t="s">
        <v>37</v>
      </c>
      <c r="E99" s="1722">
        <v>29.12</v>
      </c>
      <c r="F99" s="1722">
        <v>92.96</v>
      </c>
      <c r="G99" s="1862">
        <v>94.49</v>
      </c>
      <c r="H99" s="1863">
        <f t="shared" si="51"/>
        <v>2706.9951999999998</v>
      </c>
      <c r="I99" s="1863">
        <f t="shared" si="44"/>
        <v>2751.55</v>
      </c>
      <c r="J99" s="1865">
        <v>0</v>
      </c>
      <c r="K99" s="1866">
        <v>0</v>
      </c>
      <c r="L99" s="1867"/>
      <c r="M99" s="1868">
        <f t="shared" si="52"/>
        <v>0</v>
      </c>
      <c r="N99" s="1869">
        <f t="shared" si="53"/>
        <v>0</v>
      </c>
      <c r="O99" s="1870">
        <f t="shared" si="54"/>
        <v>0</v>
      </c>
      <c r="P99" s="1871">
        <f t="shared" si="55"/>
        <v>0</v>
      </c>
      <c r="Q99" s="1694">
        <f t="shared" si="56"/>
        <v>29.12</v>
      </c>
      <c r="R99" s="1872">
        <f t="shared" si="57"/>
        <v>2751.55</v>
      </c>
      <c r="S99" s="1873">
        <f t="shared" si="58"/>
        <v>1</v>
      </c>
      <c r="T99" s="2215"/>
      <c r="U99" s="1418"/>
      <c r="V99" s="1418"/>
      <c r="W99" s="1418"/>
      <c r="X99" s="1428"/>
    </row>
    <row r="100" spans="1:24" s="1410" customFormat="1">
      <c r="A100" s="1423"/>
      <c r="B100" s="1874" t="s">
        <v>4096</v>
      </c>
      <c r="C100" s="1875" t="s">
        <v>4097</v>
      </c>
      <c r="D100" s="1861" t="s">
        <v>36</v>
      </c>
      <c r="E100" s="1722">
        <v>1</v>
      </c>
      <c r="F100" s="1722">
        <v>1541.92</v>
      </c>
      <c r="G100" s="1862">
        <v>1557.23</v>
      </c>
      <c r="H100" s="1863">
        <f t="shared" si="51"/>
        <v>1541.92</v>
      </c>
      <c r="I100" s="1863">
        <f t="shared" si="44"/>
        <v>1557.23</v>
      </c>
      <c r="J100" s="1865">
        <v>0</v>
      </c>
      <c r="K100" s="1866">
        <v>0</v>
      </c>
      <c r="L100" s="1867"/>
      <c r="M100" s="1868">
        <f t="shared" si="52"/>
        <v>0</v>
      </c>
      <c r="N100" s="1869">
        <f t="shared" si="53"/>
        <v>0</v>
      </c>
      <c r="O100" s="1870">
        <f t="shared" si="54"/>
        <v>0</v>
      </c>
      <c r="P100" s="1871">
        <f t="shared" si="55"/>
        <v>0</v>
      </c>
      <c r="Q100" s="1694">
        <f t="shared" si="56"/>
        <v>1</v>
      </c>
      <c r="R100" s="1872">
        <f t="shared" si="57"/>
        <v>1557.23</v>
      </c>
      <c r="S100" s="1873">
        <f t="shared" si="58"/>
        <v>1</v>
      </c>
      <c r="T100" s="2215"/>
      <c r="U100" s="1418"/>
      <c r="V100" s="1418"/>
      <c r="W100" s="1418"/>
      <c r="X100" s="1428"/>
    </row>
    <row r="101" spans="1:24" s="1410" customFormat="1">
      <c r="B101" s="1874" t="s">
        <v>4098</v>
      </c>
      <c r="C101" s="1875" t="s">
        <v>4099</v>
      </c>
      <c r="D101" s="1861" t="s">
        <v>36</v>
      </c>
      <c r="E101" s="1722">
        <v>3</v>
      </c>
      <c r="F101" s="1722">
        <v>1629.74</v>
      </c>
      <c r="G101" s="1862">
        <v>1645.05</v>
      </c>
      <c r="H101" s="1863">
        <f t="shared" si="51"/>
        <v>4889.22</v>
      </c>
      <c r="I101" s="1863">
        <f t="shared" si="44"/>
        <v>4935.1499999999996</v>
      </c>
      <c r="J101" s="1865">
        <v>0</v>
      </c>
      <c r="K101" s="1866">
        <v>0</v>
      </c>
      <c r="L101" s="1867"/>
      <c r="M101" s="1868">
        <f t="shared" si="52"/>
        <v>0</v>
      </c>
      <c r="N101" s="1869">
        <f t="shared" si="53"/>
        <v>0</v>
      </c>
      <c r="O101" s="1870">
        <f t="shared" si="54"/>
        <v>0</v>
      </c>
      <c r="P101" s="1871">
        <f t="shared" si="55"/>
        <v>0</v>
      </c>
      <c r="Q101" s="1694">
        <f t="shared" si="56"/>
        <v>3</v>
      </c>
      <c r="R101" s="1872">
        <f t="shared" si="57"/>
        <v>4935.1499999999996</v>
      </c>
      <c r="S101" s="1873">
        <f t="shared" si="58"/>
        <v>1</v>
      </c>
      <c r="T101" s="2215"/>
      <c r="U101" s="1418"/>
      <c r="V101" s="1418"/>
      <c r="W101" s="1418"/>
      <c r="X101" s="1428"/>
    </row>
    <row r="102" spans="1:24" s="1410" customFormat="1">
      <c r="A102" s="1409"/>
      <c r="B102" s="1874" t="s">
        <v>4100</v>
      </c>
      <c r="C102" s="1875" t="s">
        <v>4101</v>
      </c>
      <c r="D102" s="1861" t="s">
        <v>38</v>
      </c>
      <c r="E102" s="1722">
        <v>27</v>
      </c>
      <c r="F102" s="1722">
        <v>54.96</v>
      </c>
      <c r="G102" s="1862">
        <v>55.51</v>
      </c>
      <c r="H102" s="1863">
        <f t="shared" si="51"/>
        <v>1483.92</v>
      </c>
      <c r="I102" s="1863">
        <f t="shared" si="44"/>
        <v>1498.77</v>
      </c>
      <c r="J102" s="1865">
        <v>0</v>
      </c>
      <c r="K102" s="1866">
        <v>0</v>
      </c>
      <c r="L102" s="1867"/>
      <c r="M102" s="1868">
        <f t="shared" si="52"/>
        <v>0</v>
      </c>
      <c r="N102" s="1869">
        <f t="shared" si="53"/>
        <v>0</v>
      </c>
      <c r="O102" s="1870">
        <f t="shared" si="54"/>
        <v>0</v>
      </c>
      <c r="P102" s="1871">
        <f t="shared" si="55"/>
        <v>0</v>
      </c>
      <c r="Q102" s="1694">
        <f t="shared" si="56"/>
        <v>27</v>
      </c>
      <c r="R102" s="1872">
        <f t="shared" si="57"/>
        <v>1498.77</v>
      </c>
      <c r="S102" s="1873">
        <f t="shared" si="58"/>
        <v>1</v>
      </c>
      <c r="T102" s="2215"/>
      <c r="U102" s="1418"/>
      <c r="V102" s="1418"/>
      <c r="W102" s="1418"/>
      <c r="X102" s="1428"/>
    </row>
    <row r="103" spans="1:24" s="1410" customFormat="1">
      <c r="A103" s="1423"/>
      <c r="B103" s="1874" t="s">
        <v>4102</v>
      </c>
      <c r="C103" s="1875" t="s">
        <v>4103</v>
      </c>
      <c r="D103" s="1861" t="s">
        <v>38</v>
      </c>
      <c r="E103" s="1722">
        <v>41.2</v>
      </c>
      <c r="F103" s="1722">
        <v>26</v>
      </c>
      <c r="G103" s="1862">
        <v>26.5</v>
      </c>
      <c r="H103" s="1863">
        <f t="shared" si="51"/>
        <v>1071.2</v>
      </c>
      <c r="I103" s="1863">
        <f t="shared" si="44"/>
        <v>1091.8</v>
      </c>
      <c r="J103" s="1865">
        <v>0</v>
      </c>
      <c r="K103" s="1866">
        <v>0</v>
      </c>
      <c r="L103" s="1867"/>
      <c r="M103" s="1868">
        <f t="shared" si="52"/>
        <v>0</v>
      </c>
      <c r="N103" s="1869">
        <f t="shared" si="53"/>
        <v>0</v>
      </c>
      <c r="O103" s="1870">
        <f t="shared" si="54"/>
        <v>0</v>
      </c>
      <c r="P103" s="1871">
        <f t="shared" si="55"/>
        <v>0</v>
      </c>
      <c r="Q103" s="1694">
        <f t="shared" si="56"/>
        <v>41.2</v>
      </c>
      <c r="R103" s="1872">
        <f t="shared" si="57"/>
        <v>1091.8</v>
      </c>
      <c r="S103" s="1873">
        <f t="shared" si="58"/>
        <v>1</v>
      </c>
      <c r="T103" s="2215"/>
      <c r="U103" s="1418"/>
      <c r="V103" s="1418"/>
      <c r="W103" s="1418"/>
      <c r="X103" s="1428"/>
    </row>
    <row r="104" spans="1:24" s="1410" customFormat="1">
      <c r="B104" s="1874" t="s">
        <v>4104</v>
      </c>
      <c r="C104" s="1875" t="s">
        <v>4105</v>
      </c>
      <c r="D104" s="1861" t="s">
        <v>38</v>
      </c>
      <c r="E104" s="1722">
        <v>3</v>
      </c>
      <c r="F104" s="1722">
        <v>85.85</v>
      </c>
      <c r="G104" s="1862">
        <v>86.24</v>
      </c>
      <c r="H104" s="1863">
        <f t="shared" si="51"/>
        <v>257.54999999999995</v>
      </c>
      <c r="I104" s="1863">
        <f t="shared" si="44"/>
        <v>258.72000000000003</v>
      </c>
      <c r="J104" s="1865">
        <v>0</v>
      </c>
      <c r="K104" s="1866">
        <v>0</v>
      </c>
      <c r="L104" s="1867"/>
      <c r="M104" s="1868">
        <f t="shared" si="52"/>
        <v>0</v>
      </c>
      <c r="N104" s="1869">
        <f t="shared" si="53"/>
        <v>0</v>
      </c>
      <c r="O104" s="1870">
        <f t="shared" si="54"/>
        <v>0</v>
      </c>
      <c r="P104" s="1871">
        <f t="shared" si="55"/>
        <v>0</v>
      </c>
      <c r="Q104" s="1694">
        <f t="shared" si="56"/>
        <v>3</v>
      </c>
      <c r="R104" s="1872">
        <f t="shared" si="57"/>
        <v>258.72000000000003</v>
      </c>
      <c r="S104" s="1873">
        <f t="shared" si="58"/>
        <v>1</v>
      </c>
      <c r="T104" s="2215"/>
      <c r="U104" s="1418"/>
      <c r="V104" s="1418"/>
      <c r="W104" s="1418"/>
      <c r="X104" s="1428"/>
    </row>
    <row r="105" spans="1:24" s="1410" customFormat="1">
      <c r="A105" s="1423"/>
      <c r="B105" s="1874" t="s">
        <v>4106</v>
      </c>
      <c r="C105" s="1875" t="s">
        <v>4046</v>
      </c>
      <c r="D105" s="1861" t="s">
        <v>38</v>
      </c>
      <c r="E105" s="1722">
        <v>16</v>
      </c>
      <c r="F105" s="1722">
        <v>76.09</v>
      </c>
      <c r="G105" s="1862">
        <v>76.48</v>
      </c>
      <c r="H105" s="1863">
        <f t="shared" si="51"/>
        <v>1217.44</v>
      </c>
      <c r="I105" s="1863">
        <f t="shared" si="44"/>
        <v>1223.68</v>
      </c>
      <c r="J105" s="1865">
        <v>0</v>
      </c>
      <c r="K105" s="1866">
        <v>0</v>
      </c>
      <c r="L105" s="1867"/>
      <c r="M105" s="1868">
        <f t="shared" si="52"/>
        <v>0</v>
      </c>
      <c r="N105" s="1869">
        <f t="shared" si="53"/>
        <v>0</v>
      </c>
      <c r="O105" s="1870">
        <f t="shared" si="54"/>
        <v>0</v>
      </c>
      <c r="P105" s="1871">
        <f t="shared" si="55"/>
        <v>0</v>
      </c>
      <c r="Q105" s="1694">
        <f t="shared" si="56"/>
        <v>16</v>
      </c>
      <c r="R105" s="1872">
        <f t="shared" si="57"/>
        <v>1223.68</v>
      </c>
      <c r="S105" s="1873">
        <f t="shared" si="58"/>
        <v>1</v>
      </c>
      <c r="T105" s="2215"/>
      <c r="U105" s="1418"/>
      <c r="V105" s="1418"/>
      <c r="W105" s="1418"/>
      <c r="X105" s="1428"/>
    </row>
    <row r="106" spans="1:24" s="1410" customFormat="1">
      <c r="A106" s="1423"/>
      <c r="B106" s="1874" t="s">
        <v>4107</v>
      </c>
      <c r="C106" s="1875" t="s">
        <v>4108</v>
      </c>
      <c r="D106" s="1861" t="s">
        <v>38</v>
      </c>
      <c r="E106" s="1722">
        <v>10</v>
      </c>
      <c r="F106" s="1722">
        <v>53.12</v>
      </c>
      <c r="G106" s="1862">
        <v>53.76</v>
      </c>
      <c r="H106" s="1863">
        <f t="shared" si="51"/>
        <v>531.19999999999993</v>
      </c>
      <c r="I106" s="1863">
        <f t="shared" si="44"/>
        <v>537.6</v>
      </c>
      <c r="J106" s="1865">
        <v>0</v>
      </c>
      <c r="K106" s="1866">
        <v>0</v>
      </c>
      <c r="L106" s="1867"/>
      <c r="M106" s="1868">
        <f t="shared" si="52"/>
        <v>0</v>
      </c>
      <c r="N106" s="1869">
        <f t="shared" si="53"/>
        <v>0</v>
      </c>
      <c r="O106" s="1870">
        <f t="shared" si="54"/>
        <v>0</v>
      </c>
      <c r="P106" s="1871">
        <f t="shared" si="55"/>
        <v>0</v>
      </c>
      <c r="Q106" s="1694">
        <f t="shared" si="56"/>
        <v>10</v>
      </c>
      <c r="R106" s="1872">
        <f t="shared" si="57"/>
        <v>537.6</v>
      </c>
      <c r="S106" s="1873">
        <f t="shared" si="58"/>
        <v>1</v>
      </c>
      <c r="T106" s="2215"/>
      <c r="U106" s="1418"/>
      <c r="V106" s="1418"/>
      <c r="W106" s="1418"/>
      <c r="X106" s="1428"/>
    </row>
    <row r="107" spans="1:24" s="1410" customFormat="1">
      <c r="B107" s="1874" t="s">
        <v>4109</v>
      </c>
      <c r="C107" s="1875" t="s">
        <v>4006</v>
      </c>
      <c r="D107" s="1861" t="s">
        <v>37</v>
      </c>
      <c r="E107" s="1722">
        <v>29.12</v>
      </c>
      <c r="F107" s="1722">
        <v>397.3</v>
      </c>
      <c r="G107" s="1862">
        <v>400.36</v>
      </c>
      <c r="H107" s="1863">
        <f t="shared" si="51"/>
        <v>11569.376</v>
      </c>
      <c r="I107" s="1863">
        <f t="shared" si="44"/>
        <v>11658.48</v>
      </c>
      <c r="J107" s="1865">
        <v>0</v>
      </c>
      <c r="K107" s="1866">
        <v>0</v>
      </c>
      <c r="L107" s="1867"/>
      <c r="M107" s="1868">
        <f t="shared" si="52"/>
        <v>0</v>
      </c>
      <c r="N107" s="1869">
        <f t="shared" si="53"/>
        <v>0</v>
      </c>
      <c r="O107" s="1870">
        <f t="shared" si="54"/>
        <v>0</v>
      </c>
      <c r="P107" s="1871">
        <f t="shared" si="55"/>
        <v>0</v>
      </c>
      <c r="Q107" s="1694">
        <f t="shared" si="56"/>
        <v>29.12</v>
      </c>
      <c r="R107" s="1872">
        <f t="shared" si="57"/>
        <v>11658.48</v>
      </c>
      <c r="S107" s="1873">
        <f t="shared" si="58"/>
        <v>1</v>
      </c>
      <c r="T107" s="2215"/>
      <c r="U107" s="1418"/>
      <c r="V107" s="1418"/>
      <c r="W107" s="1418"/>
      <c r="X107" s="1428"/>
    </row>
    <row r="108" spans="1:24" s="1410" customFormat="1">
      <c r="A108" s="1409"/>
      <c r="B108" s="2259" t="s">
        <v>4110</v>
      </c>
      <c r="C108" s="2260" t="s">
        <v>4008</v>
      </c>
      <c r="D108" s="1861"/>
      <c r="E108" s="1722"/>
      <c r="F108" s="1722"/>
      <c r="G108" s="1862"/>
      <c r="H108" s="1863"/>
      <c r="I108" s="1863">
        <f t="shared" si="44"/>
        <v>0</v>
      </c>
      <c r="J108" s="1865"/>
      <c r="K108" s="1866"/>
      <c r="L108" s="1867"/>
      <c r="M108" s="1868"/>
      <c r="N108" s="1869"/>
      <c r="O108" s="1870"/>
      <c r="P108" s="1871"/>
      <c r="Q108" s="1694"/>
      <c r="R108" s="1872"/>
      <c r="S108" s="1873" t="str">
        <f t="shared" si="46"/>
        <v/>
      </c>
      <c r="T108" s="2215"/>
      <c r="U108" s="1418"/>
      <c r="V108" s="1418"/>
      <c r="W108" s="1418"/>
      <c r="X108" s="1428"/>
    </row>
    <row r="109" spans="1:24" s="1410" customFormat="1">
      <c r="A109" s="1423"/>
      <c r="B109" s="1874" t="s">
        <v>4111</v>
      </c>
      <c r="C109" s="1875" t="s">
        <v>4112</v>
      </c>
      <c r="D109" s="1861" t="s">
        <v>36</v>
      </c>
      <c r="E109" s="1722">
        <v>12</v>
      </c>
      <c r="F109" s="1722">
        <v>388.53</v>
      </c>
      <c r="G109" s="1862">
        <v>403.84</v>
      </c>
      <c r="H109" s="1863">
        <f t="shared" ref="H109" si="59">+E109*F109</f>
        <v>4662.3599999999997</v>
      </c>
      <c r="I109" s="1863">
        <f t="shared" si="44"/>
        <v>4846.08</v>
      </c>
      <c r="J109" s="1865">
        <v>0</v>
      </c>
      <c r="K109" s="1866">
        <v>0</v>
      </c>
      <c r="L109" s="1867"/>
      <c r="M109" s="1868">
        <f t="shared" si="52"/>
        <v>0</v>
      </c>
      <c r="N109" s="1869">
        <f t="shared" ref="N109" si="60">J109+L109</f>
        <v>0</v>
      </c>
      <c r="O109" s="1870">
        <f>N109*G109</f>
        <v>0</v>
      </c>
      <c r="P109" s="1871">
        <f>+IF(D109=0,"",O109/I109)</f>
        <v>0</v>
      </c>
      <c r="Q109" s="1694">
        <f t="shared" ref="Q109" si="61">E109-N109</f>
        <v>12</v>
      </c>
      <c r="R109" s="1872">
        <f>ROUND((Q109*G109),2)</f>
        <v>4846.08</v>
      </c>
      <c r="S109" s="1873">
        <f>+IF(I109=0,"",R109/I109)</f>
        <v>1</v>
      </c>
      <c r="T109" s="2215"/>
      <c r="U109" s="1418"/>
      <c r="V109" s="1418"/>
      <c r="W109" s="1418"/>
      <c r="X109" s="1428"/>
    </row>
    <row r="110" spans="1:24" s="1410" customFormat="1">
      <c r="B110" s="2261" t="s">
        <v>4113</v>
      </c>
      <c r="C110" s="2262" t="s">
        <v>4114</v>
      </c>
      <c r="D110" s="1861"/>
      <c r="E110" s="1722"/>
      <c r="F110" s="1722"/>
      <c r="G110" s="1862"/>
      <c r="H110" s="1863"/>
      <c r="I110" s="1863">
        <f t="shared" si="44"/>
        <v>0</v>
      </c>
      <c r="J110" s="1865"/>
      <c r="K110" s="1866"/>
      <c r="L110" s="1867"/>
      <c r="M110" s="1868"/>
      <c r="N110" s="1869"/>
      <c r="O110" s="1870"/>
      <c r="P110" s="1871"/>
      <c r="Q110" s="1694"/>
      <c r="R110" s="1872"/>
      <c r="S110" s="1873" t="str">
        <f t="shared" si="46"/>
        <v/>
      </c>
      <c r="T110" s="2215"/>
      <c r="U110" s="1418"/>
      <c r="V110" s="1418"/>
      <c r="W110" s="1418"/>
      <c r="X110" s="1428"/>
    </row>
    <row r="111" spans="1:24" s="1410" customFormat="1">
      <c r="A111" s="1409"/>
      <c r="B111" s="1874" t="s">
        <v>4115</v>
      </c>
      <c r="C111" s="1875" t="s">
        <v>4116</v>
      </c>
      <c r="D111" s="1861" t="s">
        <v>36</v>
      </c>
      <c r="E111" s="1722">
        <v>18</v>
      </c>
      <c r="F111" s="1722">
        <v>52.03</v>
      </c>
      <c r="G111" s="1862">
        <v>52.34</v>
      </c>
      <c r="H111" s="1863">
        <f t="shared" ref="H111:H115" si="62">+E111*F111</f>
        <v>936.54</v>
      </c>
      <c r="I111" s="1863">
        <f t="shared" si="44"/>
        <v>942.12</v>
      </c>
      <c r="J111" s="1865">
        <v>0</v>
      </c>
      <c r="K111" s="1866">
        <v>0</v>
      </c>
      <c r="L111" s="1867"/>
      <c r="M111" s="1868">
        <f t="shared" si="52"/>
        <v>0</v>
      </c>
      <c r="N111" s="1869">
        <f t="shared" ref="N111:N115" si="63">J111+L111</f>
        <v>0</v>
      </c>
      <c r="O111" s="1870">
        <f t="shared" ref="O111:O115" si="64">N111*G111</f>
        <v>0</v>
      </c>
      <c r="P111" s="1871">
        <f t="shared" ref="P111:P115" si="65">+IF(D111=0,"",O111/I111)</f>
        <v>0</v>
      </c>
      <c r="Q111" s="1694">
        <f t="shared" ref="Q111:Q115" si="66">E111-N111</f>
        <v>18</v>
      </c>
      <c r="R111" s="1872">
        <f t="shared" ref="R111:R115" si="67">ROUND((Q111*G111),2)</f>
        <v>942.12</v>
      </c>
      <c r="S111" s="1873">
        <f t="shared" ref="S111:S115" si="68">+IF(I111=0,"",R111/I111)</f>
        <v>1</v>
      </c>
      <c r="T111" s="2215"/>
      <c r="U111" s="1418"/>
      <c r="V111" s="1418"/>
      <c r="W111" s="1418"/>
      <c r="X111" s="1428"/>
    </row>
    <row r="112" spans="1:24" s="1410" customFormat="1">
      <c r="A112" s="1423"/>
      <c r="B112" s="1874" t="s">
        <v>4117</v>
      </c>
      <c r="C112" s="1875" t="s">
        <v>4118</v>
      </c>
      <c r="D112" s="1861" t="s">
        <v>36</v>
      </c>
      <c r="E112" s="1722">
        <v>9</v>
      </c>
      <c r="F112" s="1722">
        <v>606.05999999999995</v>
      </c>
      <c r="G112" s="1862">
        <v>621.37</v>
      </c>
      <c r="H112" s="1863">
        <f t="shared" si="62"/>
        <v>5454.5399999999991</v>
      </c>
      <c r="I112" s="1863">
        <f t="shared" si="44"/>
        <v>5592.33</v>
      </c>
      <c r="J112" s="1865">
        <v>0</v>
      </c>
      <c r="K112" s="1866">
        <v>0</v>
      </c>
      <c r="L112" s="1867"/>
      <c r="M112" s="1868">
        <f t="shared" si="52"/>
        <v>0</v>
      </c>
      <c r="N112" s="1869">
        <f t="shared" si="63"/>
        <v>0</v>
      </c>
      <c r="O112" s="1870">
        <f t="shared" si="64"/>
        <v>0</v>
      </c>
      <c r="P112" s="1871">
        <f t="shared" si="65"/>
        <v>0</v>
      </c>
      <c r="Q112" s="1694">
        <f t="shared" si="66"/>
        <v>9</v>
      </c>
      <c r="R112" s="1872">
        <f t="shared" si="67"/>
        <v>5592.33</v>
      </c>
      <c r="S112" s="1873">
        <f t="shared" si="68"/>
        <v>1</v>
      </c>
      <c r="T112" s="2215"/>
      <c r="U112" s="1418"/>
      <c r="V112" s="1418"/>
      <c r="W112" s="1418"/>
      <c r="X112" s="1428"/>
    </row>
    <row r="113" spans="1:24" s="1410" customFormat="1">
      <c r="B113" s="1874" t="s">
        <v>4119</v>
      </c>
      <c r="C113" s="1875" t="s">
        <v>4120</v>
      </c>
      <c r="D113" s="1861" t="s">
        <v>36</v>
      </c>
      <c r="E113" s="1722">
        <v>24</v>
      </c>
      <c r="F113" s="1722">
        <v>59.62</v>
      </c>
      <c r="G113" s="1862">
        <v>60.39</v>
      </c>
      <c r="H113" s="1863">
        <f t="shared" si="62"/>
        <v>1430.8799999999999</v>
      </c>
      <c r="I113" s="1863">
        <f t="shared" si="44"/>
        <v>1449.36</v>
      </c>
      <c r="J113" s="1865">
        <v>0</v>
      </c>
      <c r="K113" s="1866">
        <v>0</v>
      </c>
      <c r="L113" s="1867"/>
      <c r="M113" s="1868">
        <f t="shared" si="52"/>
        <v>0</v>
      </c>
      <c r="N113" s="1869">
        <f t="shared" si="63"/>
        <v>0</v>
      </c>
      <c r="O113" s="1870">
        <f t="shared" si="64"/>
        <v>0</v>
      </c>
      <c r="P113" s="1871">
        <f t="shared" si="65"/>
        <v>0</v>
      </c>
      <c r="Q113" s="1694">
        <f t="shared" si="66"/>
        <v>24</v>
      </c>
      <c r="R113" s="1872">
        <f t="shared" si="67"/>
        <v>1449.36</v>
      </c>
      <c r="S113" s="1873">
        <f t="shared" si="68"/>
        <v>1</v>
      </c>
      <c r="T113" s="2215"/>
      <c r="U113" s="1418"/>
      <c r="V113" s="1418"/>
      <c r="W113" s="1418"/>
      <c r="X113" s="1428"/>
    </row>
    <row r="114" spans="1:24" s="1410" customFormat="1">
      <c r="A114" s="1423"/>
      <c r="B114" s="1874" t="s">
        <v>4121</v>
      </c>
      <c r="C114" s="1875" t="s">
        <v>4122</v>
      </c>
      <c r="D114" s="1861" t="s">
        <v>38</v>
      </c>
      <c r="E114" s="1722">
        <v>83.2</v>
      </c>
      <c r="F114" s="1722">
        <v>25.77</v>
      </c>
      <c r="G114" s="1862">
        <v>26.27</v>
      </c>
      <c r="H114" s="1863">
        <f t="shared" si="62"/>
        <v>2144.0639999999999</v>
      </c>
      <c r="I114" s="1863">
        <f t="shared" si="44"/>
        <v>2185.66</v>
      </c>
      <c r="J114" s="1865">
        <v>0</v>
      </c>
      <c r="K114" s="1866">
        <v>0</v>
      </c>
      <c r="L114" s="1867"/>
      <c r="M114" s="1868">
        <f t="shared" si="52"/>
        <v>0</v>
      </c>
      <c r="N114" s="1869">
        <f t="shared" si="63"/>
        <v>0</v>
      </c>
      <c r="O114" s="1870">
        <f t="shared" si="64"/>
        <v>0</v>
      </c>
      <c r="P114" s="1871">
        <f t="shared" si="65"/>
        <v>0</v>
      </c>
      <c r="Q114" s="1694">
        <f t="shared" si="66"/>
        <v>83.2</v>
      </c>
      <c r="R114" s="1872">
        <f t="shared" si="67"/>
        <v>2185.66</v>
      </c>
      <c r="S114" s="1873">
        <f t="shared" si="68"/>
        <v>1</v>
      </c>
      <c r="T114" s="2215"/>
      <c r="U114" s="1418"/>
      <c r="V114" s="1418"/>
      <c r="W114" s="1418"/>
      <c r="X114" s="1428"/>
    </row>
    <row r="115" spans="1:24" s="1410" customFormat="1">
      <c r="A115" s="1423"/>
      <c r="B115" s="1874" t="s">
        <v>4123</v>
      </c>
      <c r="C115" s="1875" t="s">
        <v>4124</v>
      </c>
      <c r="D115" s="1861" t="s">
        <v>38</v>
      </c>
      <c r="E115" s="1722">
        <v>10.4</v>
      </c>
      <c r="F115" s="1722">
        <v>41.39</v>
      </c>
      <c r="G115" s="1862">
        <v>41.78</v>
      </c>
      <c r="H115" s="1863">
        <f t="shared" si="62"/>
        <v>430.45600000000002</v>
      </c>
      <c r="I115" s="1863">
        <f t="shared" si="44"/>
        <v>434.51</v>
      </c>
      <c r="J115" s="1865">
        <v>0</v>
      </c>
      <c r="K115" s="1866">
        <v>0</v>
      </c>
      <c r="L115" s="1867"/>
      <c r="M115" s="1868">
        <f t="shared" si="52"/>
        <v>0</v>
      </c>
      <c r="N115" s="1869">
        <f t="shared" si="63"/>
        <v>0</v>
      </c>
      <c r="O115" s="1870">
        <f t="shared" si="64"/>
        <v>0</v>
      </c>
      <c r="P115" s="1871">
        <f t="shared" si="65"/>
        <v>0</v>
      </c>
      <c r="Q115" s="1694">
        <f t="shared" si="66"/>
        <v>10.4</v>
      </c>
      <c r="R115" s="1872">
        <f t="shared" si="67"/>
        <v>434.51</v>
      </c>
      <c r="S115" s="1873">
        <f t="shared" si="68"/>
        <v>1</v>
      </c>
      <c r="T115" s="2215"/>
      <c r="U115" s="1418"/>
      <c r="V115" s="1418"/>
      <c r="W115" s="1418"/>
      <c r="X115" s="1428"/>
    </row>
    <row r="116" spans="1:24" s="1410" customFormat="1">
      <c r="B116" s="2259" t="s">
        <v>4125</v>
      </c>
      <c r="C116" s="2260" t="s">
        <v>4008</v>
      </c>
      <c r="D116" s="1861"/>
      <c r="E116" s="1722"/>
      <c r="F116" s="1722"/>
      <c r="G116" s="1862"/>
      <c r="H116" s="1863"/>
      <c r="I116" s="1863">
        <f t="shared" si="44"/>
        <v>0</v>
      </c>
      <c r="J116" s="1865"/>
      <c r="K116" s="1866"/>
      <c r="L116" s="1867"/>
      <c r="M116" s="1868"/>
      <c r="N116" s="1869"/>
      <c r="O116" s="1870"/>
      <c r="P116" s="1871"/>
      <c r="Q116" s="1694"/>
      <c r="R116" s="1872"/>
      <c r="S116" s="1873" t="str">
        <f t="shared" si="46"/>
        <v/>
      </c>
      <c r="T116" s="2215"/>
      <c r="U116" s="1418"/>
      <c r="V116" s="1418"/>
      <c r="W116" s="1418"/>
      <c r="X116" s="1428"/>
    </row>
    <row r="117" spans="1:24" s="1410" customFormat="1">
      <c r="A117" s="1409"/>
      <c r="B117" s="1874" t="s">
        <v>4126</v>
      </c>
      <c r="C117" s="1875" t="s">
        <v>4127</v>
      </c>
      <c r="D117" s="1861" t="s">
        <v>36</v>
      </c>
      <c r="E117" s="1722">
        <v>33</v>
      </c>
      <c r="F117" s="1722">
        <v>237.54</v>
      </c>
      <c r="G117" s="1862">
        <v>246.24</v>
      </c>
      <c r="H117" s="1863">
        <f t="shared" ref="H117:H118" si="69">+E117*F117</f>
        <v>7838.82</v>
      </c>
      <c r="I117" s="1863">
        <f t="shared" si="44"/>
        <v>8125.92</v>
      </c>
      <c r="J117" s="1865">
        <v>0</v>
      </c>
      <c r="K117" s="1866">
        <v>0</v>
      </c>
      <c r="L117" s="1867"/>
      <c r="M117" s="1868">
        <f t="shared" si="52"/>
        <v>0</v>
      </c>
      <c r="N117" s="1869">
        <f t="shared" ref="N117:N118" si="70">J117+L117</f>
        <v>0</v>
      </c>
      <c r="O117" s="1870">
        <f t="shared" ref="O117:O118" si="71">N117*G117</f>
        <v>0</v>
      </c>
      <c r="P117" s="1871">
        <f t="shared" ref="P117:P118" si="72">+IF(D117=0,"",O117/I117)</f>
        <v>0</v>
      </c>
      <c r="Q117" s="1694">
        <f t="shared" ref="Q117:Q118" si="73">E117-N117</f>
        <v>33</v>
      </c>
      <c r="R117" s="1872">
        <f t="shared" ref="R117:R118" si="74">ROUND((Q117*G117),2)</f>
        <v>8125.92</v>
      </c>
      <c r="S117" s="1873">
        <f t="shared" ref="S117:S118" si="75">+IF(I117=0,"",R117/I117)</f>
        <v>1</v>
      </c>
      <c r="T117" s="2215"/>
      <c r="U117" s="1418"/>
      <c r="V117" s="1418"/>
      <c r="W117" s="1418"/>
      <c r="X117" s="1428"/>
    </row>
    <row r="118" spans="1:24" s="1410" customFormat="1">
      <c r="A118" s="1423"/>
      <c r="B118" s="1874" t="s">
        <v>4128</v>
      </c>
      <c r="C118" s="1875" t="s">
        <v>4129</v>
      </c>
      <c r="D118" s="1861" t="s">
        <v>38</v>
      </c>
      <c r="E118" s="1722">
        <v>83.2</v>
      </c>
      <c r="F118" s="1722">
        <v>236.87</v>
      </c>
      <c r="G118" s="1862">
        <v>245.57</v>
      </c>
      <c r="H118" s="1863">
        <f t="shared" si="69"/>
        <v>19707.584000000003</v>
      </c>
      <c r="I118" s="1863">
        <f t="shared" si="44"/>
        <v>20431.419999999998</v>
      </c>
      <c r="J118" s="1865">
        <v>0</v>
      </c>
      <c r="K118" s="1866">
        <v>0</v>
      </c>
      <c r="L118" s="1867"/>
      <c r="M118" s="1868">
        <f t="shared" si="52"/>
        <v>0</v>
      </c>
      <c r="N118" s="1869">
        <f t="shared" si="70"/>
        <v>0</v>
      </c>
      <c r="O118" s="1870">
        <f t="shared" si="71"/>
        <v>0</v>
      </c>
      <c r="P118" s="1871">
        <f t="shared" si="72"/>
        <v>0</v>
      </c>
      <c r="Q118" s="1694">
        <f t="shared" si="73"/>
        <v>83.2</v>
      </c>
      <c r="R118" s="1872">
        <f t="shared" si="74"/>
        <v>20431.419999999998</v>
      </c>
      <c r="S118" s="1873">
        <f t="shared" si="75"/>
        <v>1</v>
      </c>
      <c r="T118" s="2215"/>
      <c r="U118" s="1418"/>
      <c r="V118" s="1418"/>
      <c r="W118" s="1418"/>
      <c r="X118" s="1428"/>
    </row>
    <row r="119" spans="1:24" s="1410" customFormat="1">
      <c r="B119" s="2261" t="s">
        <v>4130</v>
      </c>
      <c r="C119" s="2262" t="s">
        <v>4131</v>
      </c>
      <c r="D119" s="1861"/>
      <c r="E119" s="1722"/>
      <c r="F119" s="1722"/>
      <c r="G119" s="1862"/>
      <c r="H119" s="1863"/>
      <c r="I119" s="1863">
        <f t="shared" si="44"/>
        <v>0</v>
      </c>
      <c r="J119" s="1865"/>
      <c r="K119" s="1866"/>
      <c r="L119" s="1867"/>
      <c r="M119" s="1868"/>
      <c r="N119" s="1869"/>
      <c r="O119" s="1870"/>
      <c r="P119" s="1871"/>
      <c r="Q119" s="1694"/>
      <c r="R119" s="1872"/>
      <c r="S119" s="1873" t="str">
        <f t="shared" si="46"/>
        <v/>
      </c>
      <c r="T119" s="2215"/>
      <c r="U119" s="1418"/>
      <c r="V119" s="1418"/>
      <c r="W119" s="1418"/>
      <c r="X119" s="1428"/>
    </row>
    <row r="120" spans="1:24" s="1410" customFormat="1">
      <c r="A120" s="1409"/>
      <c r="B120" s="1874" t="s">
        <v>4132</v>
      </c>
      <c r="C120" s="1875" t="s">
        <v>4133</v>
      </c>
      <c r="D120" s="1861" t="s">
        <v>36</v>
      </c>
      <c r="E120" s="1722">
        <v>24</v>
      </c>
      <c r="F120" s="1722">
        <v>103.83</v>
      </c>
      <c r="G120" s="1862">
        <v>106.02</v>
      </c>
      <c r="H120" s="1863">
        <f t="shared" ref="H120:H127" si="76">+E120*F120</f>
        <v>2491.92</v>
      </c>
      <c r="I120" s="1863">
        <f t="shared" si="44"/>
        <v>2544.48</v>
      </c>
      <c r="J120" s="1865">
        <v>0</v>
      </c>
      <c r="K120" s="1866">
        <v>0</v>
      </c>
      <c r="L120" s="1867"/>
      <c r="M120" s="1868">
        <f t="shared" si="52"/>
        <v>0</v>
      </c>
      <c r="N120" s="1869">
        <f t="shared" ref="N120:N127" si="77">J120+L120</f>
        <v>0</v>
      </c>
      <c r="O120" s="1870">
        <f t="shared" ref="O120:O127" si="78">N120*G120</f>
        <v>0</v>
      </c>
      <c r="P120" s="1871">
        <f t="shared" ref="P120:P127" si="79">+IF(D120=0,"",O120/I120)</f>
        <v>0</v>
      </c>
      <c r="Q120" s="1694">
        <f t="shared" ref="Q120:Q127" si="80">E120-N120</f>
        <v>24</v>
      </c>
      <c r="R120" s="1872">
        <f t="shared" ref="R120:R127" si="81">ROUND((Q120*G120),2)</f>
        <v>2544.48</v>
      </c>
      <c r="S120" s="1873">
        <f t="shared" ref="S120:S127" si="82">+IF(I120=0,"",R120/I120)</f>
        <v>1</v>
      </c>
      <c r="T120" s="2215"/>
      <c r="U120" s="1418"/>
      <c r="V120" s="1418"/>
      <c r="W120" s="1418"/>
      <c r="X120" s="1428"/>
    </row>
    <row r="121" spans="1:24" s="1410" customFormat="1">
      <c r="A121" s="1423"/>
      <c r="B121" s="1874" t="s">
        <v>4134</v>
      </c>
      <c r="C121" s="1875" t="s">
        <v>4135</v>
      </c>
      <c r="D121" s="1861" t="s">
        <v>36</v>
      </c>
      <c r="E121" s="1722">
        <v>12</v>
      </c>
      <c r="F121" s="1722">
        <v>1920.12</v>
      </c>
      <c r="G121" s="1862">
        <v>1950.75</v>
      </c>
      <c r="H121" s="1863">
        <f t="shared" si="76"/>
        <v>23041.439999999999</v>
      </c>
      <c r="I121" s="1863">
        <f t="shared" si="44"/>
        <v>23409</v>
      </c>
      <c r="J121" s="1865">
        <v>0</v>
      </c>
      <c r="K121" s="1866">
        <v>0</v>
      </c>
      <c r="L121" s="1867"/>
      <c r="M121" s="1868">
        <f t="shared" si="52"/>
        <v>0</v>
      </c>
      <c r="N121" s="1869">
        <f t="shared" si="77"/>
        <v>0</v>
      </c>
      <c r="O121" s="1870">
        <f t="shared" si="78"/>
        <v>0</v>
      </c>
      <c r="P121" s="1871">
        <f t="shared" si="79"/>
        <v>0</v>
      </c>
      <c r="Q121" s="1694">
        <f t="shared" si="80"/>
        <v>12</v>
      </c>
      <c r="R121" s="1872">
        <f t="shared" si="81"/>
        <v>23409</v>
      </c>
      <c r="S121" s="1873">
        <f t="shared" si="82"/>
        <v>1</v>
      </c>
      <c r="T121" s="2215"/>
      <c r="U121" s="1418"/>
      <c r="V121" s="1418"/>
      <c r="W121" s="1418"/>
      <c r="X121" s="1428"/>
    </row>
    <row r="122" spans="1:24" s="1410" customFormat="1">
      <c r="B122" s="1874" t="s">
        <v>4136</v>
      </c>
      <c r="C122" s="1875" t="s">
        <v>4137</v>
      </c>
      <c r="D122" s="1861" t="s">
        <v>36</v>
      </c>
      <c r="E122" s="1722">
        <v>18</v>
      </c>
      <c r="F122" s="1722">
        <v>547.34</v>
      </c>
      <c r="G122" s="1862">
        <v>562.65</v>
      </c>
      <c r="H122" s="1863">
        <f t="shared" si="76"/>
        <v>9852.1200000000008</v>
      </c>
      <c r="I122" s="1863">
        <f t="shared" si="44"/>
        <v>10127.700000000001</v>
      </c>
      <c r="J122" s="1865">
        <v>0</v>
      </c>
      <c r="K122" s="1866">
        <v>0</v>
      </c>
      <c r="L122" s="1867"/>
      <c r="M122" s="1868">
        <f t="shared" si="52"/>
        <v>0</v>
      </c>
      <c r="N122" s="1869">
        <f t="shared" si="77"/>
        <v>0</v>
      </c>
      <c r="O122" s="1870">
        <f t="shared" si="78"/>
        <v>0</v>
      </c>
      <c r="P122" s="1871">
        <f t="shared" si="79"/>
        <v>0</v>
      </c>
      <c r="Q122" s="1694">
        <f t="shared" si="80"/>
        <v>18</v>
      </c>
      <c r="R122" s="1872">
        <f t="shared" si="81"/>
        <v>10127.700000000001</v>
      </c>
      <c r="S122" s="1873">
        <f t="shared" si="82"/>
        <v>1</v>
      </c>
      <c r="T122" s="2215"/>
      <c r="U122" s="1418"/>
      <c r="V122" s="1418"/>
      <c r="W122" s="1418"/>
      <c r="X122" s="1428"/>
    </row>
    <row r="123" spans="1:24" s="1410" customFormat="1">
      <c r="A123" s="1423"/>
      <c r="B123" s="1874" t="s">
        <v>4138</v>
      </c>
      <c r="C123" s="1875" t="s">
        <v>4139</v>
      </c>
      <c r="D123" s="1861" t="s">
        <v>36</v>
      </c>
      <c r="E123" s="1722">
        <v>36</v>
      </c>
      <c r="F123" s="1722">
        <v>547.34</v>
      </c>
      <c r="G123" s="1862">
        <v>562.65</v>
      </c>
      <c r="H123" s="1863">
        <f t="shared" si="76"/>
        <v>19704.240000000002</v>
      </c>
      <c r="I123" s="1863">
        <f t="shared" si="44"/>
        <v>20255.400000000001</v>
      </c>
      <c r="J123" s="1865">
        <v>0</v>
      </c>
      <c r="K123" s="1866">
        <v>0</v>
      </c>
      <c r="L123" s="1867"/>
      <c r="M123" s="1868">
        <f t="shared" si="52"/>
        <v>0</v>
      </c>
      <c r="N123" s="1869">
        <f t="shared" si="77"/>
        <v>0</v>
      </c>
      <c r="O123" s="1870">
        <f t="shared" si="78"/>
        <v>0</v>
      </c>
      <c r="P123" s="1871">
        <f t="shared" si="79"/>
        <v>0</v>
      </c>
      <c r="Q123" s="1694">
        <f t="shared" si="80"/>
        <v>36</v>
      </c>
      <c r="R123" s="1872">
        <f t="shared" si="81"/>
        <v>20255.400000000001</v>
      </c>
      <c r="S123" s="1873">
        <f t="shared" si="82"/>
        <v>1</v>
      </c>
      <c r="T123" s="2215"/>
      <c r="U123" s="1418"/>
      <c r="V123" s="1418"/>
      <c r="W123" s="1418"/>
      <c r="X123" s="1428"/>
    </row>
    <row r="124" spans="1:24" s="1410" customFormat="1">
      <c r="A124" s="1423"/>
      <c r="B124" s="1874" t="s">
        <v>4140</v>
      </c>
      <c r="C124" s="1875" t="s">
        <v>4141</v>
      </c>
      <c r="D124" s="1861" t="s">
        <v>36</v>
      </c>
      <c r="E124" s="1722">
        <v>144</v>
      </c>
      <c r="F124" s="1722">
        <v>59.62</v>
      </c>
      <c r="G124" s="1862">
        <v>60.39</v>
      </c>
      <c r="H124" s="1863">
        <f t="shared" si="76"/>
        <v>8585.2799999999988</v>
      </c>
      <c r="I124" s="1863">
        <f t="shared" si="44"/>
        <v>8696.16</v>
      </c>
      <c r="J124" s="1865">
        <v>0</v>
      </c>
      <c r="K124" s="1866">
        <v>0</v>
      </c>
      <c r="L124" s="1867"/>
      <c r="M124" s="1868">
        <f t="shared" si="52"/>
        <v>0</v>
      </c>
      <c r="N124" s="1869">
        <f t="shared" si="77"/>
        <v>0</v>
      </c>
      <c r="O124" s="1870">
        <f t="shared" si="78"/>
        <v>0</v>
      </c>
      <c r="P124" s="1871">
        <f t="shared" si="79"/>
        <v>0</v>
      </c>
      <c r="Q124" s="1694">
        <f t="shared" si="80"/>
        <v>144</v>
      </c>
      <c r="R124" s="1872">
        <f t="shared" si="81"/>
        <v>8696.16</v>
      </c>
      <c r="S124" s="1873">
        <f t="shared" si="82"/>
        <v>1</v>
      </c>
      <c r="T124" s="2215"/>
      <c r="U124" s="1418"/>
      <c r="V124" s="1418"/>
      <c r="W124" s="1418"/>
      <c r="X124" s="1428"/>
    </row>
    <row r="125" spans="1:24" s="1410" customFormat="1">
      <c r="B125" s="1874" t="s">
        <v>4142</v>
      </c>
      <c r="C125" s="1875" t="s">
        <v>4143</v>
      </c>
      <c r="D125" s="1861" t="s">
        <v>38</v>
      </c>
      <c r="E125" s="1722">
        <v>374.4</v>
      </c>
      <c r="F125" s="1722">
        <v>25.77</v>
      </c>
      <c r="G125" s="1862">
        <v>26.27</v>
      </c>
      <c r="H125" s="1863">
        <f t="shared" si="76"/>
        <v>9648.2879999999986</v>
      </c>
      <c r="I125" s="1863">
        <f t="shared" si="44"/>
        <v>9835.49</v>
      </c>
      <c r="J125" s="1865">
        <v>0</v>
      </c>
      <c r="K125" s="1866">
        <v>0</v>
      </c>
      <c r="L125" s="1867"/>
      <c r="M125" s="1868">
        <f t="shared" si="52"/>
        <v>0</v>
      </c>
      <c r="N125" s="1869">
        <f t="shared" si="77"/>
        <v>0</v>
      </c>
      <c r="O125" s="1870">
        <f t="shared" si="78"/>
        <v>0</v>
      </c>
      <c r="P125" s="1871">
        <f t="shared" si="79"/>
        <v>0</v>
      </c>
      <c r="Q125" s="1694">
        <f t="shared" si="80"/>
        <v>374.4</v>
      </c>
      <c r="R125" s="1872">
        <f t="shared" si="81"/>
        <v>9835.49</v>
      </c>
      <c r="S125" s="1873">
        <f t="shared" si="82"/>
        <v>1</v>
      </c>
      <c r="T125" s="2215"/>
      <c r="U125" s="1418"/>
      <c r="V125" s="1418"/>
      <c r="W125" s="1418"/>
      <c r="X125" s="1428"/>
    </row>
    <row r="126" spans="1:24" s="1410" customFormat="1">
      <c r="A126" s="1409"/>
      <c r="B126" s="1874" t="s">
        <v>4144</v>
      </c>
      <c r="C126" s="1875" t="s">
        <v>4145</v>
      </c>
      <c r="D126" s="1861" t="s">
        <v>36</v>
      </c>
      <c r="E126" s="1722">
        <v>130</v>
      </c>
      <c r="F126" s="1722">
        <v>383.95</v>
      </c>
      <c r="G126" s="1862">
        <v>399.26</v>
      </c>
      <c r="H126" s="1863">
        <f t="shared" si="76"/>
        <v>49913.5</v>
      </c>
      <c r="I126" s="1863">
        <f t="shared" si="44"/>
        <v>51903.8</v>
      </c>
      <c r="J126" s="1865">
        <v>0</v>
      </c>
      <c r="K126" s="1866">
        <v>0</v>
      </c>
      <c r="L126" s="1867"/>
      <c r="M126" s="1868">
        <f t="shared" si="52"/>
        <v>0</v>
      </c>
      <c r="N126" s="1869">
        <f t="shared" si="77"/>
        <v>0</v>
      </c>
      <c r="O126" s="1870">
        <f t="shared" si="78"/>
        <v>0</v>
      </c>
      <c r="P126" s="1871">
        <f t="shared" si="79"/>
        <v>0</v>
      </c>
      <c r="Q126" s="1694">
        <f t="shared" si="80"/>
        <v>130</v>
      </c>
      <c r="R126" s="1872">
        <f t="shared" si="81"/>
        <v>51903.8</v>
      </c>
      <c r="S126" s="1873">
        <f t="shared" si="82"/>
        <v>1</v>
      </c>
      <c r="T126" s="2215"/>
      <c r="U126" s="1418"/>
      <c r="V126" s="1418"/>
      <c r="W126" s="1418"/>
      <c r="X126" s="1428"/>
    </row>
    <row r="127" spans="1:24" s="1410" customFormat="1">
      <c r="A127" s="1423"/>
      <c r="B127" s="1874" t="s">
        <v>4146</v>
      </c>
      <c r="C127" s="1875" t="s">
        <v>4124</v>
      </c>
      <c r="D127" s="1861" t="s">
        <v>38</v>
      </c>
      <c r="E127" s="1722">
        <v>7</v>
      </c>
      <c r="F127" s="1722">
        <v>575.14</v>
      </c>
      <c r="G127" s="1862">
        <v>575.53</v>
      </c>
      <c r="H127" s="1863">
        <f t="shared" si="76"/>
        <v>4025.98</v>
      </c>
      <c r="I127" s="1863">
        <f t="shared" si="44"/>
        <v>4028.71</v>
      </c>
      <c r="J127" s="1865">
        <v>0</v>
      </c>
      <c r="K127" s="1866">
        <v>0</v>
      </c>
      <c r="L127" s="1867"/>
      <c r="M127" s="1868">
        <f t="shared" si="52"/>
        <v>0</v>
      </c>
      <c r="N127" s="1869">
        <f t="shared" si="77"/>
        <v>0</v>
      </c>
      <c r="O127" s="1870">
        <f t="shared" si="78"/>
        <v>0</v>
      </c>
      <c r="P127" s="1871">
        <f t="shared" si="79"/>
        <v>0</v>
      </c>
      <c r="Q127" s="1694">
        <f t="shared" si="80"/>
        <v>7</v>
      </c>
      <c r="R127" s="1872">
        <f t="shared" si="81"/>
        <v>4028.71</v>
      </c>
      <c r="S127" s="1873">
        <f t="shared" si="82"/>
        <v>1</v>
      </c>
      <c r="T127" s="2215"/>
      <c r="U127" s="1418"/>
      <c r="V127" s="1418"/>
      <c r="W127" s="1418"/>
      <c r="X127" s="1428"/>
    </row>
    <row r="128" spans="1:24" s="1410" customFormat="1">
      <c r="B128" s="1874" t="s">
        <v>4147</v>
      </c>
      <c r="C128" s="1875" t="s">
        <v>4008</v>
      </c>
      <c r="D128" s="1861"/>
      <c r="E128" s="1722"/>
      <c r="F128" s="1722"/>
      <c r="G128" s="1862"/>
      <c r="H128" s="1863"/>
      <c r="I128" s="1863">
        <f t="shared" si="44"/>
        <v>0</v>
      </c>
      <c r="J128" s="1865"/>
      <c r="K128" s="1866"/>
      <c r="L128" s="1867"/>
      <c r="M128" s="1868"/>
      <c r="N128" s="1869"/>
      <c r="O128" s="1870"/>
      <c r="P128" s="1871"/>
      <c r="Q128" s="1694"/>
      <c r="R128" s="1872"/>
      <c r="S128" s="1873" t="str">
        <f t="shared" si="46"/>
        <v/>
      </c>
      <c r="T128" s="2215"/>
      <c r="U128" s="1418"/>
      <c r="V128" s="1418"/>
      <c r="W128" s="1418"/>
      <c r="X128" s="1428"/>
    </row>
    <row r="129" spans="1:24" s="1410" customFormat="1">
      <c r="A129" s="1409"/>
      <c r="B129" s="1874" t="s">
        <v>4148</v>
      </c>
      <c r="C129" s="1875" t="s">
        <v>4149</v>
      </c>
      <c r="D129" s="1861" t="s">
        <v>36</v>
      </c>
      <c r="E129" s="1722">
        <v>340</v>
      </c>
      <c r="F129" s="1722">
        <v>238.62</v>
      </c>
      <c r="G129" s="1862">
        <v>247.32</v>
      </c>
      <c r="H129" s="1863">
        <f t="shared" ref="H129" si="83">+E129*F129</f>
        <v>81130.8</v>
      </c>
      <c r="I129" s="1863">
        <f t="shared" si="44"/>
        <v>84088.8</v>
      </c>
      <c r="J129" s="1865">
        <v>0</v>
      </c>
      <c r="K129" s="1866">
        <v>0</v>
      </c>
      <c r="L129" s="1867"/>
      <c r="M129" s="1868">
        <f t="shared" si="52"/>
        <v>0</v>
      </c>
      <c r="N129" s="1869">
        <f t="shared" ref="N129" si="84">J129+L129</f>
        <v>0</v>
      </c>
      <c r="O129" s="1870">
        <f>N129*G129</f>
        <v>0</v>
      </c>
      <c r="P129" s="1871">
        <f>+IF(D129=0,"",O129/I129)</f>
        <v>0</v>
      </c>
      <c r="Q129" s="1694">
        <f t="shared" ref="Q129" si="85">E129-N129</f>
        <v>340</v>
      </c>
      <c r="R129" s="1872">
        <f>ROUND((Q129*G129),2)</f>
        <v>84088.8</v>
      </c>
      <c r="S129" s="1873">
        <f>+IF(I129=0,"",R129/I129)</f>
        <v>1</v>
      </c>
      <c r="T129" s="2215"/>
      <c r="U129" s="1418"/>
      <c r="V129" s="1418"/>
      <c r="W129" s="1418"/>
      <c r="X129" s="1428"/>
    </row>
    <row r="130" spans="1:24" s="1410" customFormat="1">
      <c r="A130" s="1423"/>
      <c r="B130" s="2261" t="s">
        <v>4150</v>
      </c>
      <c r="C130" s="2262" t="s">
        <v>4151</v>
      </c>
      <c r="D130" s="1861"/>
      <c r="E130" s="1722"/>
      <c r="F130" s="1722"/>
      <c r="G130" s="1862"/>
      <c r="H130" s="1863"/>
      <c r="I130" s="1863">
        <f t="shared" si="44"/>
        <v>0</v>
      </c>
      <c r="J130" s="1865"/>
      <c r="K130" s="1866"/>
      <c r="L130" s="1867"/>
      <c r="M130" s="1868"/>
      <c r="N130" s="1869"/>
      <c r="O130" s="1870"/>
      <c r="P130" s="1871"/>
      <c r="Q130" s="1694"/>
      <c r="R130" s="1872"/>
      <c r="S130" s="1873" t="str">
        <f t="shared" si="46"/>
        <v/>
      </c>
      <c r="T130" s="2215"/>
      <c r="U130" s="1418"/>
      <c r="V130" s="1418"/>
      <c r="W130" s="1418"/>
      <c r="X130" s="1428"/>
    </row>
    <row r="131" spans="1:24" s="1410" customFormat="1">
      <c r="B131" s="1874" t="s">
        <v>4152</v>
      </c>
      <c r="C131" s="1875" t="s">
        <v>4153</v>
      </c>
      <c r="D131" s="1861" t="s">
        <v>36</v>
      </c>
      <c r="E131" s="1722">
        <v>6</v>
      </c>
      <c r="F131" s="1722">
        <v>98.13</v>
      </c>
      <c r="G131" s="1862">
        <v>100.32</v>
      </c>
      <c r="H131" s="1863">
        <f t="shared" ref="H131:H135" si="86">+E131*F131</f>
        <v>588.78</v>
      </c>
      <c r="I131" s="1863">
        <f t="shared" si="44"/>
        <v>601.91999999999996</v>
      </c>
      <c r="J131" s="1865">
        <v>0</v>
      </c>
      <c r="K131" s="1866">
        <v>0</v>
      </c>
      <c r="L131" s="1867"/>
      <c r="M131" s="1868">
        <f t="shared" si="52"/>
        <v>0</v>
      </c>
      <c r="N131" s="1869">
        <f t="shared" ref="N131:N135" si="87">J131+L131</f>
        <v>0</v>
      </c>
      <c r="O131" s="1870">
        <f t="shared" ref="O131:O135" si="88">N131*G131</f>
        <v>0</v>
      </c>
      <c r="P131" s="1871">
        <f t="shared" ref="P131:P135" si="89">+IF(D131=0,"",O131/I131)</f>
        <v>0</v>
      </c>
      <c r="Q131" s="1694">
        <f t="shared" ref="Q131:Q135" si="90">E131-N131</f>
        <v>6</v>
      </c>
      <c r="R131" s="1872">
        <f t="shared" ref="R131:R135" si="91">ROUND((Q131*G131),2)</f>
        <v>601.91999999999996</v>
      </c>
      <c r="S131" s="1873">
        <f t="shared" ref="S131:S135" si="92">+IF(I131=0,"",R131/I131)</f>
        <v>1</v>
      </c>
      <c r="T131" s="2215"/>
      <c r="U131" s="1418"/>
      <c r="V131" s="1418"/>
      <c r="W131" s="1418"/>
      <c r="X131" s="1428"/>
    </row>
    <row r="132" spans="1:24" s="1410" customFormat="1">
      <c r="A132" s="1423"/>
      <c r="B132" s="1874" t="s">
        <v>4154</v>
      </c>
      <c r="C132" s="1875" t="s">
        <v>4155</v>
      </c>
      <c r="D132" s="1861" t="s">
        <v>36</v>
      </c>
      <c r="E132" s="1722">
        <v>3</v>
      </c>
      <c r="F132" s="1722">
        <v>349.74</v>
      </c>
      <c r="G132" s="1862">
        <v>357.39</v>
      </c>
      <c r="H132" s="1863">
        <f t="shared" si="86"/>
        <v>1049.22</v>
      </c>
      <c r="I132" s="1863">
        <f t="shared" si="44"/>
        <v>1072.17</v>
      </c>
      <c r="J132" s="1865">
        <v>0</v>
      </c>
      <c r="K132" s="1866">
        <v>0</v>
      </c>
      <c r="L132" s="1867"/>
      <c r="M132" s="1868">
        <f t="shared" si="52"/>
        <v>0</v>
      </c>
      <c r="N132" s="1869">
        <f t="shared" si="87"/>
        <v>0</v>
      </c>
      <c r="O132" s="1870">
        <f t="shared" si="88"/>
        <v>0</v>
      </c>
      <c r="P132" s="1871">
        <f t="shared" si="89"/>
        <v>0</v>
      </c>
      <c r="Q132" s="1694">
        <f t="shared" si="90"/>
        <v>3</v>
      </c>
      <c r="R132" s="1872">
        <f t="shared" si="91"/>
        <v>1072.17</v>
      </c>
      <c r="S132" s="1873">
        <f t="shared" si="92"/>
        <v>1</v>
      </c>
      <c r="T132" s="2215"/>
      <c r="U132" s="1418"/>
      <c r="V132" s="1418"/>
      <c r="W132" s="1418"/>
      <c r="X132" s="1428"/>
    </row>
    <row r="133" spans="1:24" s="1410" customFormat="1">
      <c r="A133" s="1423"/>
      <c r="B133" s="1874" t="s">
        <v>4156</v>
      </c>
      <c r="C133" s="1875" t="s">
        <v>4157</v>
      </c>
      <c r="D133" s="1861" t="s">
        <v>36</v>
      </c>
      <c r="E133" s="1722">
        <v>6</v>
      </c>
      <c r="F133" s="1722">
        <v>65.05</v>
      </c>
      <c r="G133" s="1862">
        <v>65.819999999999993</v>
      </c>
      <c r="H133" s="1863">
        <f t="shared" si="86"/>
        <v>390.29999999999995</v>
      </c>
      <c r="I133" s="1863">
        <f t="shared" si="44"/>
        <v>394.92</v>
      </c>
      <c r="J133" s="1865">
        <v>0</v>
      </c>
      <c r="K133" s="1866">
        <v>0</v>
      </c>
      <c r="L133" s="1867"/>
      <c r="M133" s="1868">
        <f t="shared" si="52"/>
        <v>0</v>
      </c>
      <c r="N133" s="1869">
        <f t="shared" si="87"/>
        <v>0</v>
      </c>
      <c r="O133" s="1870">
        <f t="shared" si="88"/>
        <v>0</v>
      </c>
      <c r="P133" s="1871">
        <f t="shared" si="89"/>
        <v>0</v>
      </c>
      <c r="Q133" s="1694">
        <f t="shared" si="90"/>
        <v>6</v>
      </c>
      <c r="R133" s="1872">
        <f t="shared" si="91"/>
        <v>394.92</v>
      </c>
      <c r="S133" s="1873">
        <f t="shared" si="92"/>
        <v>1</v>
      </c>
      <c r="T133" s="2215"/>
      <c r="U133" s="1418"/>
      <c r="V133" s="1418"/>
      <c r="W133" s="1418"/>
      <c r="X133" s="1428"/>
    </row>
    <row r="134" spans="1:24" s="1410" customFormat="1">
      <c r="B134" s="1874" t="s">
        <v>4158</v>
      </c>
      <c r="C134" s="1875" t="s">
        <v>4159</v>
      </c>
      <c r="D134" s="1861" t="s">
        <v>38</v>
      </c>
      <c r="E134" s="1722">
        <v>21.3</v>
      </c>
      <c r="F134" s="1722">
        <v>25.89</v>
      </c>
      <c r="G134" s="1862">
        <v>26.39</v>
      </c>
      <c r="H134" s="1863">
        <f t="shared" si="86"/>
        <v>551.45699999999999</v>
      </c>
      <c r="I134" s="1863">
        <f t="shared" si="44"/>
        <v>562.11</v>
      </c>
      <c r="J134" s="1865">
        <v>0</v>
      </c>
      <c r="K134" s="1866">
        <v>0</v>
      </c>
      <c r="L134" s="1867"/>
      <c r="M134" s="1868">
        <f t="shared" si="52"/>
        <v>0</v>
      </c>
      <c r="N134" s="1869">
        <f t="shared" si="87"/>
        <v>0</v>
      </c>
      <c r="O134" s="1870">
        <f t="shared" si="88"/>
        <v>0</v>
      </c>
      <c r="P134" s="1871">
        <f t="shared" si="89"/>
        <v>0</v>
      </c>
      <c r="Q134" s="1694">
        <f t="shared" si="90"/>
        <v>21.3</v>
      </c>
      <c r="R134" s="1872">
        <f t="shared" si="91"/>
        <v>562.11</v>
      </c>
      <c r="S134" s="1873">
        <f t="shared" si="92"/>
        <v>1</v>
      </c>
      <c r="T134" s="2215"/>
      <c r="U134" s="1418"/>
      <c r="V134" s="1418"/>
      <c r="W134" s="1418"/>
      <c r="X134" s="1428"/>
    </row>
    <row r="135" spans="1:24" s="1410" customFormat="1">
      <c r="A135" s="1409"/>
      <c r="B135" s="1874" t="s">
        <v>4160</v>
      </c>
      <c r="C135" s="1875" t="s">
        <v>4124</v>
      </c>
      <c r="D135" s="1861" t="s">
        <v>38</v>
      </c>
      <c r="E135" s="1722">
        <v>3.55</v>
      </c>
      <c r="F135" s="1722">
        <v>38.06</v>
      </c>
      <c r="G135" s="1862">
        <v>38.450000000000003</v>
      </c>
      <c r="H135" s="1863">
        <f t="shared" si="86"/>
        <v>135.113</v>
      </c>
      <c r="I135" s="1863">
        <f t="shared" si="44"/>
        <v>136.5</v>
      </c>
      <c r="J135" s="1865">
        <v>0</v>
      </c>
      <c r="K135" s="1866">
        <v>0</v>
      </c>
      <c r="L135" s="1867"/>
      <c r="M135" s="1868">
        <f t="shared" si="52"/>
        <v>0</v>
      </c>
      <c r="N135" s="1869">
        <f t="shared" si="87"/>
        <v>0</v>
      </c>
      <c r="O135" s="1870">
        <f t="shared" si="88"/>
        <v>0</v>
      </c>
      <c r="P135" s="1871">
        <f t="shared" si="89"/>
        <v>0</v>
      </c>
      <c r="Q135" s="1694">
        <f t="shared" si="90"/>
        <v>3.55</v>
      </c>
      <c r="R135" s="1872">
        <f t="shared" si="91"/>
        <v>136.5</v>
      </c>
      <c r="S135" s="1873">
        <f t="shared" si="92"/>
        <v>1</v>
      </c>
      <c r="T135" s="2215"/>
      <c r="U135" s="1418"/>
      <c r="V135" s="1418"/>
      <c r="W135" s="1418"/>
      <c r="X135" s="1428"/>
    </row>
    <row r="136" spans="1:24" s="1410" customFormat="1">
      <c r="A136" s="1423"/>
      <c r="B136" s="2259" t="s">
        <v>4161</v>
      </c>
      <c r="C136" s="2260" t="s">
        <v>4008</v>
      </c>
      <c r="D136" s="1861"/>
      <c r="E136" s="1722"/>
      <c r="F136" s="1722"/>
      <c r="G136" s="1862"/>
      <c r="H136" s="1863"/>
      <c r="I136" s="1863">
        <f t="shared" si="44"/>
        <v>0</v>
      </c>
      <c r="J136" s="1865"/>
      <c r="K136" s="1866"/>
      <c r="L136" s="1867"/>
      <c r="M136" s="1868"/>
      <c r="N136" s="1869"/>
      <c r="O136" s="1870"/>
      <c r="P136" s="1871"/>
      <c r="Q136" s="1694"/>
      <c r="R136" s="1872"/>
      <c r="S136" s="1873" t="str">
        <f t="shared" si="46"/>
        <v/>
      </c>
      <c r="T136" s="2215"/>
      <c r="U136" s="1418"/>
      <c r="V136" s="1418"/>
      <c r="W136" s="1418"/>
      <c r="X136" s="1428"/>
    </row>
    <row r="137" spans="1:24" s="1410" customFormat="1">
      <c r="B137" s="1874" t="s">
        <v>4162</v>
      </c>
      <c r="C137" s="1875" t="s">
        <v>4163</v>
      </c>
      <c r="D137" s="1861" t="s">
        <v>36</v>
      </c>
      <c r="E137" s="1722">
        <v>9</v>
      </c>
      <c r="F137" s="1722">
        <v>322.93</v>
      </c>
      <c r="G137" s="1862">
        <v>331.72</v>
      </c>
      <c r="H137" s="1863">
        <f t="shared" ref="H137:H138" si="93">+E137*F137</f>
        <v>2906.37</v>
      </c>
      <c r="I137" s="1863">
        <f t="shared" si="44"/>
        <v>2985.48</v>
      </c>
      <c r="J137" s="1865">
        <v>0</v>
      </c>
      <c r="K137" s="1866">
        <v>0</v>
      </c>
      <c r="L137" s="1867"/>
      <c r="M137" s="1868">
        <f t="shared" si="52"/>
        <v>0</v>
      </c>
      <c r="N137" s="1869">
        <f t="shared" ref="N137:N138" si="94">J137+L137</f>
        <v>0</v>
      </c>
      <c r="O137" s="1870">
        <f t="shared" ref="O137:O138" si="95">N137*G137</f>
        <v>0</v>
      </c>
      <c r="P137" s="1871">
        <f t="shared" ref="P137:P138" si="96">+IF(D137=0,"",O137/I137)</f>
        <v>0</v>
      </c>
      <c r="Q137" s="1694">
        <f t="shared" ref="Q137:Q138" si="97">E137-N137</f>
        <v>9</v>
      </c>
      <c r="R137" s="1872">
        <f t="shared" ref="R137:R138" si="98">ROUND((Q137*G137),2)</f>
        <v>2985.48</v>
      </c>
      <c r="S137" s="1873">
        <f t="shared" ref="S137:S138" si="99">+IF(I137=0,"",R137/I137)</f>
        <v>1</v>
      </c>
      <c r="T137" s="2215"/>
      <c r="U137" s="1418"/>
      <c r="V137" s="1418"/>
      <c r="W137" s="1418"/>
      <c r="X137" s="1428"/>
    </row>
    <row r="138" spans="1:24" s="1410" customFormat="1">
      <c r="A138" s="1409"/>
      <c r="B138" s="1874" t="s">
        <v>4164</v>
      </c>
      <c r="C138" s="1875" t="s">
        <v>4165</v>
      </c>
      <c r="D138" s="1861" t="s">
        <v>38</v>
      </c>
      <c r="E138" s="1722">
        <v>21.3</v>
      </c>
      <c r="F138" s="1722">
        <v>322.26</v>
      </c>
      <c r="G138" s="1862">
        <v>331.05</v>
      </c>
      <c r="H138" s="1863">
        <f t="shared" si="93"/>
        <v>6864.1379999999999</v>
      </c>
      <c r="I138" s="1863">
        <f t="shared" si="44"/>
        <v>7051.37</v>
      </c>
      <c r="J138" s="1865">
        <v>0</v>
      </c>
      <c r="K138" s="1866">
        <v>0</v>
      </c>
      <c r="L138" s="1867"/>
      <c r="M138" s="1868">
        <f t="shared" si="52"/>
        <v>0</v>
      </c>
      <c r="N138" s="1869">
        <f t="shared" si="94"/>
        <v>0</v>
      </c>
      <c r="O138" s="1870">
        <f t="shared" si="95"/>
        <v>0</v>
      </c>
      <c r="P138" s="1871">
        <f t="shared" si="96"/>
        <v>0</v>
      </c>
      <c r="Q138" s="1694">
        <f t="shared" si="97"/>
        <v>21.3</v>
      </c>
      <c r="R138" s="1872">
        <f t="shared" si="98"/>
        <v>7051.37</v>
      </c>
      <c r="S138" s="1873">
        <f t="shared" si="99"/>
        <v>1</v>
      </c>
      <c r="T138" s="2215"/>
      <c r="U138" s="1418"/>
      <c r="V138" s="1418"/>
      <c r="W138" s="1418"/>
      <c r="X138" s="1428"/>
    </row>
    <row r="139" spans="1:24" s="1410" customFormat="1">
      <c r="A139" s="1423"/>
      <c r="B139" s="2261" t="s">
        <v>4166</v>
      </c>
      <c r="C139" s="2262" t="s">
        <v>4167</v>
      </c>
      <c r="D139" s="1861"/>
      <c r="E139" s="1722"/>
      <c r="F139" s="1722"/>
      <c r="G139" s="1862"/>
      <c r="H139" s="1863"/>
      <c r="I139" s="1863">
        <f t="shared" si="44"/>
        <v>0</v>
      </c>
      <c r="J139" s="1865"/>
      <c r="K139" s="1866"/>
      <c r="L139" s="1867"/>
      <c r="M139" s="1868"/>
      <c r="N139" s="1869"/>
      <c r="O139" s="1870"/>
      <c r="P139" s="1871"/>
      <c r="Q139" s="1694"/>
      <c r="R139" s="1872"/>
      <c r="S139" s="1873" t="str">
        <f t="shared" si="46"/>
        <v/>
      </c>
      <c r="T139" s="2215"/>
      <c r="U139" s="1418"/>
      <c r="V139" s="1418"/>
      <c r="W139" s="1418"/>
      <c r="X139" s="1428"/>
    </row>
    <row r="140" spans="1:24" s="1410" customFormat="1">
      <c r="B140" s="1874" t="s">
        <v>4168</v>
      </c>
      <c r="C140" s="1875" t="s">
        <v>4169</v>
      </c>
      <c r="D140" s="1861" t="s">
        <v>36</v>
      </c>
      <c r="E140" s="1722">
        <v>26</v>
      </c>
      <c r="F140" s="1722">
        <v>185.31</v>
      </c>
      <c r="G140" s="1862">
        <v>188.37</v>
      </c>
      <c r="H140" s="1863">
        <f t="shared" ref="H140:H144" si="100">+E140*F140</f>
        <v>4818.0600000000004</v>
      </c>
      <c r="I140" s="1863">
        <f t="shared" si="44"/>
        <v>4897.62</v>
      </c>
      <c r="J140" s="1865">
        <v>0</v>
      </c>
      <c r="K140" s="1866">
        <v>0</v>
      </c>
      <c r="L140" s="1867"/>
      <c r="M140" s="1868">
        <f t="shared" si="52"/>
        <v>0</v>
      </c>
      <c r="N140" s="1869">
        <f t="shared" ref="N140:N144" si="101">J140+L140</f>
        <v>0</v>
      </c>
      <c r="O140" s="1870">
        <f t="shared" ref="O140:O144" si="102">N140*G140</f>
        <v>0</v>
      </c>
      <c r="P140" s="1871">
        <f t="shared" ref="P140:P144" si="103">+IF(D140=0,"",O140/I140)</f>
        <v>0</v>
      </c>
      <c r="Q140" s="1694">
        <f t="shared" ref="Q140:Q144" si="104">E140-N140</f>
        <v>26</v>
      </c>
      <c r="R140" s="1872">
        <f t="shared" ref="R140:R144" si="105">ROUND((Q140*G140),2)</f>
        <v>4897.62</v>
      </c>
      <c r="S140" s="1873">
        <f t="shared" ref="S140:S144" si="106">+IF(I140=0,"",R140/I140)</f>
        <v>1</v>
      </c>
      <c r="T140" s="2215"/>
      <c r="U140" s="1418"/>
      <c r="V140" s="1418"/>
      <c r="W140" s="1418"/>
      <c r="X140" s="1428"/>
    </row>
    <row r="141" spans="1:24" s="1410" customFormat="1">
      <c r="A141" s="1423"/>
      <c r="B141" s="1874" t="s">
        <v>4170</v>
      </c>
      <c r="C141" s="1875" t="s">
        <v>4171</v>
      </c>
      <c r="D141" s="1861" t="s">
        <v>36</v>
      </c>
      <c r="E141" s="1722">
        <v>26</v>
      </c>
      <c r="F141" s="1722">
        <v>268.35000000000002</v>
      </c>
      <c r="G141" s="1862">
        <v>271.41000000000003</v>
      </c>
      <c r="H141" s="1863">
        <f t="shared" si="100"/>
        <v>6977.1</v>
      </c>
      <c r="I141" s="1863">
        <f t="shared" si="44"/>
        <v>7056.66</v>
      </c>
      <c r="J141" s="1865">
        <v>26</v>
      </c>
      <c r="K141" s="1866">
        <v>7056.6600000000008</v>
      </c>
      <c r="L141" s="1867"/>
      <c r="M141" s="1868">
        <f t="shared" si="52"/>
        <v>0</v>
      </c>
      <c r="N141" s="1869">
        <f t="shared" si="101"/>
        <v>26</v>
      </c>
      <c r="O141" s="1870">
        <f t="shared" si="102"/>
        <v>7056.6600000000008</v>
      </c>
      <c r="P141" s="1871">
        <f t="shared" si="103"/>
        <v>1.0000000000000002</v>
      </c>
      <c r="Q141" s="1694">
        <f t="shared" si="104"/>
        <v>0</v>
      </c>
      <c r="R141" s="1872">
        <f t="shared" si="105"/>
        <v>0</v>
      </c>
      <c r="S141" s="1873">
        <f t="shared" si="106"/>
        <v>0</v>
      </c>
      <c r="T141" s="2215"/>
      <c r="U141" s="1418"/>
      <c r="V141" s="1418"/>
      <c r="W141" s="1418"/>
      <c r="X141" s="1428"/>
    </row>
    <row r="142" spans="1:24" s="1410" customFormat="1">
      <c r="A142" s="1423"/>
      <c r="B142" s="1874" t="s">
        <v>4172</v>
      </c>
      <c r="C142" s="1875" t="s">
        <v>4173</v>
      </c>
      <c r="D142" s="1861" t="s">
        <v>36</v>
      </c>
      <c r="E142" s="1722">
        <v>13</v>
      </c>
      <c r="F142" s="1722">
        <v>90.51</v>
      </c>
      <c r="G142" s="1862">
        <v>92.04</v>
      </c>
      <c r="H142" s="1863">
        <f t="shared" si="100"/>
        <v>1176.6300000000001</v>
      </c>
      <c r="I142" s="1863">
        <f t="shared" si="44"/>
        <v>1196.52</v>
      </c>
      <c r="J142" s="1865">
        <v>0</v>
      </c>
      <c r="K142" s="1866">
        <v>0</v>
      </c>
      <c r="L142" s="1867"/>
      <c r="M142" s="1868">
        <f t="shared" si="52"/>
        <v>0</v>
      </c>
      <c r="N142" s="1869">
        <f t="shared" si="101"/>
        <v>0</v>
      </c>
      <c r="O142" s="1870">
        <f t="shared" si="102"/>
        <v>0</v>
      </c>
      <c r="P142" s="1871">
        <f t="shared" si="103"/>
        <v>0</v>
      </c>
      <c r="Q142" s="1694">
        <f t="shared" si="104"/>
        <v>13</v>
      </c>
      <c r="R142" s="1872">
        <f t="shared" si="105"/>
        <v>1196.52</v>
      </c>
      <c r="S142" s="1873">
        <f t="shared" si="106"/>
        <v>1</v>
      </c>
      <c r="T142" s="2215"/>
      <c r="U142" s="1418"/>
      <c r="V142" s="1418"/>
      <c r="W142" s="1418"/>
      <c r="X142" s="1428"/>
    </row>
    <row r="143" spans="1:24" s="1410" customFormat="1">
      <c r="B143" s="1874" t="s">
        <v>4174</v>
      </c>
      <c r="C143" s="1875" t="s">
        <v>4175</v>
      </c>
      <c r="D143" s="1861" t="s">
        <v>38</v>
      </c>
      <c r="E143" s="1722">
        <v>126.7</v>
      </c>
      <c r="F143" s="1722">
        <v>65.5</v>
      </c>
      <c r="G143" s="1862">
        <v>66</v>
      </c>
      <c r="H143" s="1863">
        <f t="shared" si="100"/>
        <v>8298.85</v>
      </c>
      <c r="I143" s="1863">
        <f t="shared" si="44"/>
        <v>8362.2000000000007</v>
      </c>
      <c r="J143" s="1865">
        <v>0</v>
      </c>
      <c r="K143" s="1866">
        <v>0</v>
      </c>
      <c r="L143" s="1867"/>
      <c r="M143" s="1868">
        <f t="shared" si="52"/>
        <v>0</v>
      </c>
      <c r="N143" s="1869">
        <f t="shared" si="101"/>
        <v>0</v>
      </c>
      <c r="O143" s="1870">
        <f t="shared" si="102"/>
        <v>0</v>
      </c>
      <c r="P143" s="1871">
        <f t="shared" si="103"/>
        <v>0</v>
      </c>
      <c r="Q143" s="1694">
        <f t="shared" si="104"/>
        <v>126.7</v>
      </c>
      <c r="R143" s="1872">
        <f t="shared" si="105"/>
        <v>8362.2000000000007</v>
      </c>
      <c r="S143" s="1873">
        <f t="shared" si="106"/>
        <v>1</v>
      </c>
      <c r="T143" s="2215"/>
      <c r="U143" s="1418"/>
      <c r="V143" s="1418"/>
      <c r="W143" s="1418"/>
      <c r="X143" s="1428"/>
    </row>
    <row r="144" spans="1:24" s="1410" customFormat="1">
      <c r="A144" s="1409"/>
      <c r="B144" s="1874" t="s">
        <v>4176</v>
      </c>
      <c r="C144" s="1875" t="s">
        <v>4177</v>
      </c>
      <c r="D144" s="1861" t="s">
        <v>38</v>
      </c>
      <c r="E144" s="1722">
        <v>288</v>
      </c>
      <c r="F144" s="1722">
        <v>57.6</v>
      </c>
      <c r="G144" s="1862">
        <v>58.1</v>
      </c>
      <c r="H144" s="1863">
        <f t="shared" si="100"/>
        <v>16588.8</v>
      </c>
      <c r="I144" s="1863">
        <f t="shared" si="44"/>
        <v>16732.8</v>
      </c>
      <c r="J144" s="1865">
        <v>0</v>
      </c>
      <c r="K144" s="1866">
        <v>0</v>
      </c>
      <c r="L144" s="1867"/>
      <c r="M144" s="1868">
        <f t="shared" si="52"/>
        <v>0</v>
      </c>
      <c r="N144" s="1869">
        <f t="shared" si="101"/>
        <v>0</v>
      </c>
      <c r="O144" s="1870">
        <f t="shared" si="102"/>
        <v>0</v>
      </c>
      <c r="P144" s="1871">
        <f t="shared" si="103"/>
        <v>0</v>
      </c>
      <c r="Q144" s="1694">
        <f t="shared" si="104"/>
        <v>288</v>
      </c>
      <c r="R144" s="1872">
        <f t="shared" si="105"/>
        <v>16732.8</v>
      </c>
      <c r="S144" s="1873">
        <f t="shared" si="106"/>
        <v>1</v>
      </c>
      <c r="T144" s="2215"/>
      <c r="U144" s="1418"/>
      <c r="V144" s="1418"/>
      <c r="W144" s="1418"/>
      <c r="X144" s="1428"/>
    </row>
    <row r="145" spans="1:24" s="1410" customFormat="1">
      <c r="A145" s="1423"/>
      <c r="B145" s="2259" t="s">
        <v>4178</v>
      </c>
      <c r="C145" s="2260" t="s">
        <v>4008</v>
      </c>
      <c r="D145" s="1861"/>
      <c r="E145" s="1722"/>
      <c r="F145" s="1722"/>
      <c r="G145" s="1862"/>
      <c r="H145" s="1863"/>
      <c r="I145" s="1863">
        <f t="shared" si="44"/>
        <v>0</v>
      </c>
      <c r="J145" s="1865"/>
      <c r="K145" s="1866"/>
      <c r="L145" s="1867"/>
      <c r="M145" s="1868"/>
      <c r="N145" s="1869"/>
      <c r="O145" s="1870"/>
      <c r="P145" s="1871"/>
      <c r="Q145" s="1694"/>
      <c r="R145" s="1872"/>
      <c r="S145" s="1873" t="str">
        <f t="shared" si="46"/>
        <v/>
      </c>
      <c r="T145" s="2215"/>
      <c r="U145" s="1418"/>
      <c r="V145" s="1418"/>
      <c r="W145" s="1418"/>
      <c r="X145" s="1428"/>
    </row>
    <row r="146" spans="1:24" s="1410" customFormat="1">
      <c r="B146" s="1874" t="s">
        <v>4179</v>
      </c>
      <c r="C146" s="1875" t="s">
        <v>4180</v>
      </c>
      <c r="D146" s="1861" t="s">
        <v>36</v>
      </c>
      <c r="E146" s="1722">
        <v>39</v>
      </c>
      <c r="F146" s="1722">
        <v>72.56</v>
      </c>
      <c r="G146" s="1862">
        <v>75.53</v>
      </c>
      <c r="H146" s="1863">
        <f t="shared" ref="H146" si="107">+E146*F146</f>
        <v>2829.84</v>
      </c>
      <c r="I146" s="1863">
        <f t="shared" si="44"/>
        <v>2945.67</v>
      </c>
      <c r="J146" s="1865">
        <v>26</v>
      </c>
      <c r="K146" s="1866">
        <v>1963.78</v>
      </c>
      <c r="L146" s="1867"/>
      <c r="M146" s="1868">
        <f t="shared" si="52"/>
        <v>0</v>
      </c>
      <c r="N146" s="1869">
        <f t="shared" ref="N146" si="108">J146+L146</f>
        <v>26</v>
      </c>
      <c r="O146" s="1870">
        <f>N146*G146</f>
        <v>1963.78</v>
      </c>
      <c r="P146" s="1871">
        <f>+IF(D146=0,"",O146/I146)</f>
        <v>0.66666666666666663</v>
      </c>
      <c r="Q146" s="1694">
        <f t="shared" ref="Q146" si="109">E146-N146</f>
        <v>13</v>
      </c>
      <c r="R146" s="1872">
        <f>ROUND((Q146*G146),2)</f>
        <v>981.89</v>
      </c>
      <c r="S146" s="1873">
        <f>+IF(I146=0,"",R146/I146)</f>
        <v>0.33333333333333331</v>
      </c>
      <c r="T146" s="2215"/>
      <c r="U146" s="1418"/>
      <c r="V146" s="1418"/>
      <c r="W146" s="1418"/>
      <c r="X146" s="1428"/>
    </row>
    <row r="147" spans="1:24" s="1410" customFormat="1">
      <c r="A147" s="1409"/>
      <c r="B147" s="2265" t="s">
        <v>550</v>
      </c>
      <c r="C147" s="2266" t="s">
        <v>3130</v>
      </c>
      <c r="D147" s="1861"/>
      <c r="E147" s="1722"/>
      <c r="F147" s="1722"/>
      <c r="G147" s="1862"/>
      <c r="H147" s="1863"/>
      <c r="I147" s="1863">
        <f t="shared" si="44"/>
        <v>0</v>
      </c>
      <c r="J147" s="1865"/>
      <c r="K147" s="1866"/>
      <c r="L147" s="1867"/>
      <c r="M147" s="1868"/>
      <c r="N147" s="1869"/>
      <c r="O147" s="1870"/>
      <c r="P147" s="1871"/>
      <c r="Q147" s="1694"/>
      <c r="R147" s="1872"/>
      <c r="S147" s="1873" t="str">
        <f t="shared" ref="S147:S189" si="110">+IF(H147=0,"",R147/H147)</f>
        <v/>
      </c>
      <c r="T147" s="2215"/>
      <c r="U147" s="1418"/>
      <c r="V147" s="1418"/>
      <c r="W147" s="1418"/>
      <c r="X147" s="1428"/>
    </row>
    <row r="148" spans="1:24" s="1410" customFormat="1">
      <c r="A148" s="1423"/>
      <c r="B148" s="1874" t="s">
        <v>551</v>
      </c>
      <c r="C148" s="1875" t="s">
        <v>4181</v>
      </c>
      <c r="D148" s="1861" t="s">
        <v>37</v>
      </c>
      <c r="E148" s="1722">
        <v>450.38</v>
      </c>
      <c r="F148" s="1722">
        <v>90.15</v>
      </c>
      <c r="G148" s="1862">
        <v>91.24</v>
      </c>
      <c r="H148" s="1863">
        <f t="shared" ref="H148" si="111">+E148*F148</f>
        <v>40601.757000000005</v>
      </c>
      <c r="I148" s="1863">
        <f t="shared" si="44"/>
        <v>41092.67</v>
      </c>
      <c r="J148" s="1865">
        <v>0</v>
      </c>
      <c r="K148" s="1866">
        <v>0</v>
      </c>
      <c r="L148" s="1867"/>
      <c r="M148" s="1868">
        <f t="shared" si="52"/>
        <v>0</v>
      </c>
      <c r="N148" s="1869">
        <f t="shared" ref="N148" si="112">J148+L148</f>
        <v>0</v>
      </c>
      <c r="O148" s="1870">
        <f>N148*G148</f>
        <v>0</v>
      </c>
      <c r="P148" s="1871">
        <f>+IF(D148=0,"",O148/I148)</f>
        <v>0</v>
      </c>
      <c r="Q148" s="1694">
        <f t="shared" ref="Q148" si="113">E148-N148</f>
        <v>450.38</v>
      </c>
      <c r="R148" s="1872">
        <f>ROUND((Q148*G148),2)</f>
        <v>41092.67</v>
      </c>
      <c r="S148" s="1873">
        <f>+IF(I148=0,"",R148/I148)</f>
        <v>1</v>
      </c>
      <c r="T148" s="2215"/>
      <c r="U148" s="1418"/>
      <c r="V148" s="1418"/>
      <c r="W148" s="1418"/>
      <c r="X148" s="1428"/>
    </row>
    <row r="149" spans="1:24" s="1410" customFormat="1">
      <c r="B149" s="2265" t="s">
        <v>4182</v>
      </c>
      <c r="C149" s="2266" t="s">
        <v>4183</v>
      </c>
      <c r="D149" s="1861"/>
      <c r="E149" s="1722"/>
      <c r="F149" s="1722"/>
      <c r="G149" s="1862"/>
      <c r="H149" s="1863"/>
      <c r="I149" s="1863">
        <f t="shared" ref="I149:I190" si="114">ROUND(E149*G149,2)</f>
        <v>0</v>
      </c>
      <c r="J149" s="1865"/>
      <c r="K149" s="1866"/>
      <c r="L149" s="1867"/>
      <c r="M149" s="1868"/>
      <c r="N149" s="1869"/>
      <c r="O149" s="1870"/>
      <c r="P149" s="1871"/>
      <c r="Q149" s="1694"/>
      <c r="R149" s="1872"/>
      <c r="S149" s="1873" t="str">
        <f t="shared" si="110"/>
        <v/>
      </c>
      <c r="T149" s="2215"/>
      <c r="U149" s="1418"/>
      <c r="V149" s="1418"/>
      <c r="W149" s="1418"/>
      <c r="X149" s="1428"/>
    </row>
    <row r="150" spans="1:24" s="1410" customFormat="1">
      <c r="A150" s="1423"/>
      <c r="B150" s="1874" t="s">
        <v>2278</v>
      </c>
      <c r="C150" s="1875" t="s">
        <v>4184</v>
      </c>
      <c r="D150" s="1861" t="s">
        <v>41</v>
      </c>
      <c r="E150" s="1722">
        <v>9</v>
      </c>
      <c r="F150" s="1722">
        <v>500</v>
      </c>
      <c r="G150" s="1862">
        <v>500</v>
      </c>
      <c r="H150" s="1863">
        <f t="shared" ref="H150" si="115">+E150*F150</f>
        <v>4500</v>
      </c>
      <c r="I150" s="1863">
        <f t="shared" si="114"/>
        <v>4500</v>
      </c>
      <c r="J150" s="1865">
        <v>0</v>
      </c>
      <c r="K150" s="1866">
        <v>0</v>
      </c>
      <c r="L150" s="1867"/>
      <c r="M150" s="1868">
        <f t="shared" si="52"/>
        <v>0</v>
      </c>
      <c r="N150" s="1869">
        <f t="shared" ref="N150" si="116">J150+L150</f>
        <v>0</v>
      </c>
      <c r="O150" s="1870">
        <f>N150*G150</f>
        <v>0</v>
      </c>
      <c r="P150" s="1871">
        <f>+IF(D150=0,"",O150/I150)</f>
        <v>0</v>
      </c>
      <c r="Q150" s="1694">
        <f t="shared" ref="Q150" si="117">E150-N150</f>
        <v>9</v>
      </c>
      <c r="R150" s="1872">
        <f>ROUND((Q150*G150),2)</f>
        <v>4500</v>
      </c>
      <c r="S150" s="1873">
        <f>+IF(I150=0,"",R150/I150)</f>
        <v>1</v>
      </c>
      <c r="T150" s="2215"/>
      <c r="U150" s="1418"/>
      <c r="V150" s="1418"/>
      <c r="W150" s="1418"/>
      <c r="X150" s="1428"/>
    </row>
    <row r="151" spans="1:24" s="1410" customFormat="1">
      <c r="A151" s="1423"/>
      <c r="B151" s="2267" t="s">
        <v>42</v>
      </c>
      <c r="C151" s="2268" t="s">
        <v>1233</v>
      </c>
      <c r="D151" s="1861"/>
      <c r="E151" s="1722"/>
      <c r="F151" s="1722"/>
      <c r="G151" s="1862"/>
      <c r="H151" s="1863"/>
      <c r="I151" s="1863">
        <f t="shared" si="114"/>
        <v>0</v>
      </c>
      <c r="J151" s="1865"/>
      <c r="K151" s="1866"/>
      <c r="L151" s="1867"/>
      <c r="M151" s="1868"/>
      <c r="N151" s="1869"/>
      <c r="O151" s="1870"/>
      <c r="P151" s="1871"/>
      <c r="Q151" s="1694"/>
      <c r="R151" s="1872"/>
      <c r="S151" s="1873"/>
      <c r="T151" s="2215"/>
      <c r="U151" s="1418"/>
      <c r="V151" s="1418"/>
      <c r="W151" s="1418"/>
      <c r="X151" s="1428"/>
    </row>
    <row r="152" spans="1:24" s="1410" customFormat="1">
      <c r="B152" s="2265" t="s">
        <v>43</v>
      </c>
      <c r="C152" s="2266" t="s">
        <v>3066</v>
      </c>
      <c r="D152" s="1861"/>
      <c r="E152" s="1722"/>
      <c r="F152" s="1722"/>
      <c r="G152" s="1862"/>
      <c r="H152" s="1863"/>
      <c r="I152" s="1863">
        <f t="shared" si="114"/>
        <v>0</v>
      </c>
      <c r="J152" s="1865"/>
      <c r="K152" s="1866"/>
      <c r="L152" s="1867"/>
      <c r="M152" s="1868"/>
      <c r="N152" s="1869"/>
      <c r="O152" s="1870"/>
      <c r="P152" s="1871"/>
      <c r="Q152" s="1694"/>
      <c r="R152" s="1872"/>
      <c r="S152" s="1873" t="str">
        <f t="shared" si="110"/>
        <v/>
      </c>
      <c r="T152" s="2215"/>
      <c r="U152" s="1418"/>
      <c r="V152" s="1418"/>
      <c r="W152" s="1418"/>
      <c r="X152" s="1428"/>
    </row>
    <row r="153" spans="1:24" s="1410" customFormat="1">
      <c r="A153" s="1409"/>
      <c r="B153" s="1874" t="s">
        <v>53</v>
      </c>
      <c r="C153" s="1875" t="s">
        <v>4185</v>
      </c>
      <c r="D153" s="1861" t="s">
        <v>37</v>
      </c>
      <c r="E153" s="1722">
        <v>76.47</v>
      </c>
      <c r="F153" s="1722">
        <v>421.08</v>
      </c>
      <c r="G153" s="1862">
        <v>421.08</v>
      </c>
      <c r="H153" s="1863">
        <f t="shared" ref="H153" si="118">+E153*F153</f>
        <v>32199.987599999997</v>
      </c>
      <c r="I153" s="1863">
        <f t="shared" si="114"/>
        <v>32199.99</v>
      </c>
      <c r="J153" s="1865">
        <v>74.33</v>
      </c>
      <c r="K153" s="1866">
        <v>31298.876399999997</v>
      </c>
      <c r="L153" s="1867"/>
      <c r="M153" s="1868">
        <f t="shared" ref="M153" si="119">L153*G153</f>
        <v>0</v>
      </c>
      <c r="N153" s="1869">
        <f t="shared" ref="N153" si="120">J153+L153</f>
        <v>74.33</v>
      </c>
      <c r="O153" s="1870">
        <f>N153*G153</f>
        <v>31298.876399999997</v>
      </c>
      <c r="P153" s="1871">
        <f>+IF(D153=0,"",O153/I153)</f>
        <v>0.97201509689909826</v>
      </c>
      <c r="Q153" s="1694">
        <f t="shared" ref="Q153" si="121">E153-N153</f>
        <v>2.1400000000000006</v>
      </c>
      <c r="R153" s="1872">
        <f>ROUND((Q153*G153),2)</f>
        <v>901.11</v>
      </c>
      <c r="S153" s="1873">
        <f>+IF(I153=0,"",R153/I153)</f>
        <v>2.7984791299624626E-2</v>
      </c>
      <c r="T153" s="2215"/>
      <c r="U153" s="1418"/>
      <c r="V153" s="1418"/>
      <c r="W153" s="1418"/>
      <c r="X153" s="1428"/>
    </row>
    <row r="154" spans="1:24" s="1410" customFormat="1">
      <c r="A154" s="1423"/>
      <c r="B154" s="2265" t="s">
        <v>44</v>
      </c>
      <c r="C154" s="2266" t="s">
        <v>3097</v>
      </c>
      <c r="D154" s="1861"/>
      <c r="E154" s="1722"/>
      <c r="F154" s="1722"/>
      <c r="G154" s="1862"/>
      <c r="H154" s="1863"/>
      <c r="I154" s="1863">
        <f t="shared" si="114"/>
        <v>0</v>
      </c>
      <c r="J154" s="1865"/>
      <c r="K154" s="1866"/>
      <c r="L154" s="1867"/>
      <c r="M154" s="1868"/>
      <c r="N154" s="1869"/>
      <c r="O154" s="1870"/>
      <c r="P154" s="1871"/>
      <c r="Q154" s="1694"/>
      <c r="R154" s="1872"/>
      <c r="S154" s="1873" t="str">
        <f t="shared" si="110"/>
        <v/>
      </c>
      <c r="T154" s="2215"/>
      <c r="U154" s="1418"/>
      <c r="V154" s="1418"/>
      <c r="W154" s="1418"/>
      <c r="X154" s="1428"/>
    </row>
    <row r="155" spans="1:24" s="1410" customFormat="1">
      <c r="B155" s="1874" t="s">
        <v>54</v>
      </c>
      <c r="C155" s="2502" t="s">
        <v>4186</v>
      </c>
      <c r="D155" s="1861" t="s">
        <v>37</v>
      </c>
      <c r="E155" s="1722">
        <v>361</v>
      </c>
      <c r="F155" s="1722">
        <v>50</v>
      </c>
      <c r="G155" s="1862">
        <v>50</v>
      </c>
      <c r="H155" s="1863">
        <f t="shared" ref="H155:H156" si="122">+E155*F155</f>
        <v>18050</v>
      </c>
      <c r="I155" s="1863">
        <f t="shared" si="114"/>
        <v>18050</v>
      </c>
      <c r="J155" s="1865">
        <v>310.46100000000001</v>
      </c>
      <c r="K155" s="1866">
        <v>15523.050000000001</v>
      </c>
      <c r="L155" s="1867"/>
      <c r="M155" s="1868">
        <f t="shared" ref="M155:M156" si="123">L155*G155</f>
        <v>0</v>
      </c>
      <c r="N155" s="1869">
        <f t="shared" ref="N155:N156" si="124">J155+L155</f>
        <v>310.46100000000001</v>
      </c>
      <c r="O155" s="1870">
        <f t="shared" ref="O155:O156" si="125">N155*G155</f>
        <v>15523.050000000001</v>
      </c>
      <c r="P155" s="1871">
        <f t="shared" ref="P155:P156" si="126">+IF(D155=0,"",O155/I155)</f>
        <v>0.86000277008310255</v>
      </c>
      <c r="Q155" s="1694">
        <f t="shared" ref="Q155:Q156" si="127">E155-N155</f>
        <v>50.538999999999987</v>
      </c>
      <c r="R155" s="1872">
        <f t="shared" ref="R155:R156" si="128">ROUND((Q155*G155),2)</f>
        <v>2526.9499999999998</v>
      </c>
      <c r="S155" s="1873">
        <f t="shared" ref="S155:S156" si="129">+IF(I155=0,"",R155/I155)</f>
        <v>0.1399972299168975</v>
      </c>
      <c r="T155" s="2215"/>
      <c r="U155" s="1418"/>
      <c r="V155" s="1418"/>
      <c r="W155" s="1418"/>
      <c r="X155" s="1428"/>
    </row>
    <row r="156" spans="1:24" s="1410" customFormat="1">
      <c r="A156" s="1409"/>
      <c r="B156" s="1874" t="s">
        <v>55</v>
      </c>
      <c r="C156" s="2502" t="s">
        <v>4187</v>
      </c>
      <c r="D156" s="1861" t="s">
        <v>37</v>
      </c>
      <c r="E156" s="1722">
        <v>634.22</v>
      </c>
      <c r="F156" s="1722">
        <v>85.92</v>
      </c>
      <c r="G156" s="1862">
        <v>85.92</v>
      </c>
      <c r="H156" s="1863">
        <f t="shared" si="122"/>
        <v>54492.182400000005</v>
      </c>
      <c r="I156" s="1863">
        <f t="shared" si="114"/>
        <v>54492.18</v>
      </c>
      <c r="J156" s="1865">
        <v>290.39</v>
      </c>
      <c r="K156" s="1866">
        <v>24950.308799999999</v>
      </c>
      <c r="L156" s="1867"/>
      <c r="M156" s="1868">
        <f t="shared" si="123"/>
        <v>0</v>
      </c>
      <c r="N156" s="1869">
        <f t="shared" si="124"/>
        <v>290.39</v>
      </c>
      <c r="O156" s="1870">
        <f t="shared" si="125"/>
        <v>24950.308799999999</v>
      </c>
      <c r="P156" s="1871">
        <f t="shared" si="126"/>
        <v>0.45786952916913948</v>
      </c>
      <c r="Q156" s="1694">
        <f t="shared" si="127"/>
        <v>343.83000000000004</v>
      </c>
      <c r="R156" s="1872">
        <f t="shared" si="128"/>
        <v>29541.87</v>
      </c>
      <c r="S156" s="1873">
        <f t="shared" si="129"/>
        <v>0.54213044880935213</v>
      </c>
      <c r="T156" s="2215"/>
      <c r="U156" s="1418"/>
      <c r="V156" s="1418"/>
      <c r="W156" s="1418"/>
      <c r="X156" s="1428"/>
    </row>
    <row r="157" spans="1:24" s="1410" customFormat="1">
      <c r="A157" s="1423"/>
      <c r="B157" s="2265" t="s">
        <v>52</v>
      </c>
      <c r="C157" s="2266" t="s">
        <v>3100</v>
      </c>
      <c r="D157" s="1861"/>
      <c r="E157" s="1722"/>
      <c r="F157" s="1722"/>
      <c r="G157" s="1862"/>
      <c r="H157" s="1863"/>
      <c r="I157" s="1863">
        <f t="shared" si="114"/>
        <v>0</v>
      </c>
      <c r="J157" s="1865"/>
      <c r="K157" s="1866"/>
      <c r="L157" s="1867"/>
      <c r="M157" s="1868"/>
      <c r="N157" s="1869"/>
      <c r="O157" s="1870"/>
      <c r="P157" s="1871"/>
      <c r="Q157" s="1694"/>
      <c r="R157" s="1872"/>
      <c r="S157" s="1873" t="str">
        <f t="shared" si="110"/>
        <v/>
      </c>
      <c r="T157" s="2215"/>
      <c r="U157" s="1418"/>
      <c r="V157" s="1418"/>
      <c r="W157" s="1418"/>
      <c r="X157" s="1428"/>
    </row>
    <row r="158" spans="1:24" s="1410" customFormat="1">
      <c r="B158" s="1874" t="s">
        <v>56</v>
      </c>
      <c r="C158" s="1875" t="s">
        <v>4188</v>
      </c>
      <c r="D158" s="1861" t="s">
        <v>37</v>
      </c>
      <c r="E158" s="1722">
        <v>153.82</v>
      </c>
      <c r="F158" s="1722">
        <v>39.11</v>
      </c>
      <c r="G158" s="1862">
        <v>39.729999999999997</v>
      </c>
      <c r="H158" s="1863">
        <f t="shared" ref="H158:H162" si="130">+E158*F158</f>
        <v>6015.9002</v>
      </c>
      <c r="I158" s="1863">
        <f t="shared" si="114"/>
        <v>6111.27</v>
      </c>
      <c r="J158" s="1865">
        <v>0</v>
      </c>
      <c r="K158" s="1866">
        <v>0</v>
      </c>
      <c r="L158" s="1867">
        <v>140.54</v>
      </c>
      <c r="M158" s="1868">
        <f t="shared" ref="M158:M162" si="131">L158*G158</f>
        <v>5583.654199999999</v>
      </c>
      <c r="N158" s="1869">
        <f t="shared" ref="N158:N162" si="132">J158+L158</f>
        <v>140.54</v>
      </c>
      <c r="O158" s="1870">
        <f t="shared" ref="O158:O162" si="133">N158*G158</f>
        <v>5583.654199999999</v>
      </c>
      <c r="P158" s="1871">
        <f t="shared" ref="P158:P162" si="134">+IF(D158=0,"",O158/I158)</f>
        <v>0.91366511379795012</v>
      </c>
      <c r="Q158" s="1694">
        <f t="shared" ref="Q158:Q162" si="135">E158-N158</f>
        <v>13.280000000000001</v>
      </c>
      <c r="R158" s="1872">
        <f t="shared" ref="R158:R162" si="136">ROUND((Q158*G158),2)</f>
        <v>527.61</v>
      </c>
      <c r="S158" s="1873">
        <f t="shared" ref="S158:S162" si="137">+IF(I158=0,"",R158/I158)</f>
        <v>8.6333937135816288E-2</v>
      </c>
      <c r="T158" s="2215"/>
      <c r="U158" s="1418"/>
      <c r="V158" s="1418"/>
      <c r="W158" s="1418"/>
      <c r="X158" s="1428"/>
    </row>
    <row r="159" spans="1:24" s="1410" customFormat="1">
      <c r="A159" s="1423"/>
      <c r="B159" s="1874" t="s">
        <v>57</v>
      </c>
      <c r="C159" s="1875" t="s">
        <v>4189</v>
      </c>
      <c r="D159" s="1861" t="s">
        <v>37</v>
      </c>
      <c r="E159" s="1722">
        <v>344.37</v>
      </c>
      <c r="F159" s="1722">
        <v>445.18</v>
      </c>
      <c r="G159" s="1862">
        <v>455.95</v>
      </c>
      <c r="H159" s="1863">
        <f t="shared" si="130"/>
        <v>153306.6366</v>
      </c>
      <c r="I159" s="1863">
        <f t="shared" si="114"/>
        <v>157015.5</v>
      </c>
      <c r="J159" s="1865">
        <v>344.37</v>
      </c>
      <c r="K159" s="1866">
        <v>157015.50149999998</v>
      </c>
      <c r="L159" s="1867"/>
      <c r="M159" s="1868">
        <f t="shared" si="131"/>
        <v>0</v>
      </c>
      <c r="N159" s="1869">
        <f t="shared" si="132"/>
        <v>344.37</v>
      </c>
      <c r="O159" s="1870">
        <f t="shared" si="133"/>
        <v>157015.50149999998</v>
      </c>
      <c r="P159" s="1871">
        <f t="shared" si="134"/>
        <v>1.0000000095531969</v>
      </c>
      <c r="Q159" s="1694">
        <f t="shared" si="135"/>
        <v>0</v>
      </c>
      <c r="R159" s="1872">
        <f t="shared" si="136"/>
        <v>0</v>
      </c>
      <c r="S159" s="1873">
        <f t="shared" si="137"/>
        <v>0</v>
      </c>
      <c r="T159" s="2215"/>
      <c r="U159" s="1418"/>
      <c r="V159" s="1418"/>
      <c r="W159" s="1418"/>
      <c r="X159" s="1428"/>
    </row>
    <row r="160" spans="1:24" s="1410" customFormat="1">
      <c r="A160" s="1423"/>
      <c r="B160" s="1874" t="s">
        <v>660</v>
      </c>
      <c r="C160" s="2502" t="s">
        <v>4190</v>
      </c>
      <c r="D160" s="1861" t="s">
        <v>37</v>
      </c>
      <c r="E160" s="1722">
        <v>5827.92</v>
      </c>
      <c r="F160" s="1722">
        <v>79.260000000000005</v>
      </c>
      <c r="G160" s="1862">
        <v>80.17</v>
      </c>
      <c r="H160" s="1863">
        <f t="shared" si="130"/>
        <v>461920.93920000002</v>
      </c>
      <c r="I160" s="1863">
        <f t="shared" si="114"/>
        <v>467224.35</v>
      </c>
      <c r="J160" s="1865">
        <v>5369.98</v>
      </c>
      <c r="K160" s="1866">
        <v>430511.2966</v>
      </c>
      <c r="L160" s="1867">
        <v>49.92</v>
      </c>
      <c r="M160" s="1868">
        <f t="shared" si="131"/>
        <v>4002.0864000000001</v>
      </c>
      <c r="N160" s="1869">
        <f t="shared" si="132"/>
        <v>5419.9</v>
      </c>
      <c r="O160" s="1870">
        <f t="shared" si="133"/>
        <v>434513.38299999997</v>
      </c>
      <c r="P160" s="1871">
        <f t="shared" si="134"/>
        <v>0.9299887366743621</v>
      </c>
      <c r="Q160" s="1694">
        <f t="shared" si="135"/>
        <v>408.02000000000044</v>
      </c>
      <c r="R160" s="1872">
        <f t="shared" si="136"/>
        <v>32710.959999999999</v>
      </c>
      <c r="S160" s="1873">
        <f t="shared" si="137"/>
        <v>7.0011248343542026E-2</v>
      </c>
      <c r="T160" s="2215"/>
      <c r="U160" s="1418"/>
      <c r="V160" s="1418"/>
      <c r="W160" s="1418"/>
      <c r="X160" s="1428"/>
    </row>
    <row r="161" spans="1:24" s="1410" customFormat="1">
      <c r="B161" s="1874" t="s">
        <v>689</v>
      </c>
      <c r="C161" s="1875" t="s">
        <v>4191</v>
      </c>
      <c r="D161" s="1861" t="s">
        <v>37</v>
      </c>
      <c r="E161" s="1722">
        <v>376.27</v>
      </c>
      <c r="F161" s="1722">
        <v>69</v>
      </c>
      <c r="G161" s="1862">
        <v>69</v>
      </c>
      <c r="H161" s="1863">
        <f t="shared" si="130"/>
        <v>25962.629999999997</v>
      </c>
      <c r="I161" s="1863">
        <f t="shared" si="114"/>
        <v>25962.63</v>
      </c>
      <c r="J161" s="1865">
        <v>0</v>
      </c>
      <c r="K161" s="1866">
        <v>0</v>
      </c>
      <c r="L161" s="1867"/>
      <c r="M161" s="1868">
        <f t="shared" si="131"/>
        <v>0</v>
      </c>
      <c r="N161" s="1869">
        <f t="shared" si="132"/>
        <v>0</v>
      </c>
      <c r="O161" s="1870">
        <f t="shared" si="133"/>
        <v>0</v>
      </c>
      <c r="P161" s="1871">
        <f t="shared" si="134"/>
        <v>0</v>
      </c>
      <c r="Q161" s="1694">
        <f t="shared" si="135"/>
        <v>376.27</v>
      </c>
      <c r="R161" s="1872">
        <f t="shared" si="136"/>
        <v>25962.63</v>
      </c>
      <c r="S161" s="1873">
        <f t="shared" si="137"/>
        <v>1</v>
      </c>
      <c r="T161" s="2215"/>
      <c r="U161" s="1418"/>
      <c r="V161" s="1418"/>
      <c r="W161" s="1418"/>
      <c r="X161" s="1428"/>
    </row>
    <row r="162" spans="1:24" s="1410" customFormat="1">
      <c r="A162" s="1409"/>
      <c r="B162" s="1874" t="s">
        <v>691</v>
      </c>
      <c r="C162" s="1875" t="s">
        <v>4192</v>
      </c>
      <c r="D162" s="1861" t="s">
        <v>38</v>
      </c>
      <c r="E162" s="1722">
        <v>2672.1</v>
      </c>
      <c r="F162" s="1722">
        <v>13.71</v>
      </c>
      <c r="G162" s="1862">
        <v>14.28</v>
      </c>
      <c r="H162" s="1863">
        <f t="shared" si="130"/>
        <v>36634.491000000002</v>
      </c>
      <c r="I162" s="1863">
        <f t="shared" si="114"/>
        <v>38157.589999999997</v>
      </c>
      <c r="J162" s="1865">
        <v>2672.1</v>
      </c>
      <c r="K162" s="1866">
        <v>38157.587999999996</v>
      </c>
      <c r="L162" s="1867"/>
      <c r="M162" s="1868">
        <f t="shared" si="131"/>
        <v>0</v>
      </c>
      <c r="N162" s="1869">
        <f t="shared" si="132"/>
        <v>2672.1</v>
      </c>
      <c r="O162" s="1870">
        <f t="shared" si="133"/>
        <v>38157.587999999996</v>
      </c>
      <c r="P162" s="1871">
        <f t="shared" si="134"/>
        <v>0.99999994758578825</v>
      </c>
      <c r="Q162" s="1694">
        <f t="shared" si="135"/>
        <v>0</v>
      </c>
      <c r="R162" s="1872">
        <f t="shared" si="136"/>
        <v>0</v>
      </c>
      <c r="S162" s="1873">
        <f t="shared" si="137"/>
        <v>0</v>
      </c>
      <c r="T162" s="2215"/>
      <c r="U162" s="1418"/>
      <c r="V162" s="1418"/>
      <c r="W162" s="1418"/>
      <c r="X162" s="1428"/>
    </row>
    <row r="163" spans="1:24" s="1410" customFormat="1">
      <c r="A163" s="1423"/>
      <c r="B163" s="2265" t="s">
        <v>515</v>
      </c>
      <c r="C163" s="2266" t="s">
        <v>3122</v>
      </c>
      <c r="D163" s="1861"/>
      <c r="E163" s="1722"/>
      <c r="F163" s="1722"/>
      <c r="G163" s="1862"/>
      <c r="H163" s="1863"/>
      <c r="I163" s="1863">
        <f t="shared" si="114"/>
        <v>0</v>
      </c>
      <c r="J163" s="1865"/>
      <c r="K163" s="1866"/>
      <c r="L163" s="1867"/>
      <c r="M163" s="1868"/>
      <c r="N163" s="1869"/>
      <c r="O163" s="1870"/>
      <c r="P163" s="1871"/>
      <c r="Q163" s="1694"/>
      <c r="R163" s="1872"/>
      <c r="S163" s="1873" t="str">
        <f t="shared" si="110"/>
        <v/>
      </c>
      <c r="T163" s="2215"/>
      <c r="U163" s="1418"/>
      <c r="V163" s="1418"/>
      <c r="W163" s="1418"/>
      <c r="X163" s="1428"/>
    </row>
    <row r="164" spans="1:24" s="1410" customFormat="1">
      <c r="B164" s="2261" t="s">
        <v>516</v>
      </c>
      <c r="C164" s="2262" t="s">
        <v>3123</v>
      </c>
      <c r="D164" s="1861"/>
      <c r="E164" s="1722"/>
      <c r="F164" s="1722"/>
      <c r="G164" s="1862"/>
      <c r="H164" s="1863"/>
      <c r="I164" s="1863">
        <f t="shared" si="114"/>
        <v>0</v>
      </c>
      <c r="J164" s="1865"/>
      <c r="K164" s="1866"/>
      <c r="L164" s="1867"/>
      <c r="M164" s="1868"/>
      <c r="N164" s="1869"/>
      <c r="O164" s="1870"/>
      <c r="P164" s="1871"/>
      <c r="Q164" s="1694"/>
      <c r="R164" s="1872"/>
      <c r="S164" s="1873" t="str">
        <f t="shared" si="110"/>
        <v/>
      </c>
      <c r="T164" s="2215"/>
      <c r="U164" s="1418"/>
      <c r="V164" s="1418"/>
      <c r="W164" s="1418"/>
      <c r="X164" s="1428"/>
    </row>
    <row r="165" spans="1:24" s="1410" customFormat="1">
      <c r="A165" s="1409"/>
      <c r="B165" s="1874" t="s">
        <v>694</v>
      </c>
      <c r="C165" s="2502" t="s">
        <v>3814</v>
      </c>
      <c r="D165" s="1861" t="s">
        <v>37</v>
      </c>
      <c r="E165" s="1722">
        <v>1990.29</v>
      </c>
      <c r="F165" s="1722">
        <v>81.42</v>
      </c>
      <c r="G165" s="1862">
        <v>82.52</v>
      </c>
      <c r="H165" s="1863">
        <f t="shared" ref="H165" si="138">+E165*F165</f>
        <v>162049.4118</v>
      </c>
      <c r="I165" s="1863">
        <f t="shared" si="114"/>
        <v>164238.73000000001</v>
      </c>
      <c r="J165" s="1865">
        <v>1990.29</v>
      </c>
      <c r="K165" s="1866">
        <v>164238.73079999999</v>
      </c>
      <c r="L165" s="1867"/>
      <c r="M165" s="1868">
        <f t="shared" ref="M165" si="139">L165*G165</f>
        <v>0</v>
      </c>
      <c r="N165" s="1869">
        <f t="shared" ref="N165" si="140">J165+L165</f>
        <v>1990.29</v>
      </c>
      <c r="O165" s="1870">
        <f>N165*G165</f>
        <v>164238.73079999999</v>
      </c>
      <c r="P165" s="1871">
        <f>+IF(D165=0,"",O165/I165)</f>
        <v>1.0000000048709581</v>
      </c>
      <c r="Q165" s="1694">
        <f t="shared" ref="Q165" si="141">E165-N165</f>
        <v>0</v>
      </c>
      <c r="R165" s="1872">
        <f>ROUND((Q165*G165),2)</f>
        <v>0</v>
      </c>
      <c r="S165" s="1873">
        <f>+IF(I165=0,"",R165/I165)</f>
        <v>0</v>
      </c>
      <c r="T165" s="2215"/>
      <c r="U165" s="1418"/>
      <c r="V165" s="1418"/>
      <c r="W165" s="1418"/>
      <c r="X165" s="1428"/>
    </row>
    <row r="166" spans="1:24" s="1410" customFormat="1">
      <c r="A166" s="1423"/>
      <c r="B166" s="2261" t="s">
        <v>700</v>
      </c>
      <c r="C166" s="2262" t="s">
        <v>3127</v>
      </c>
      <c r="D166" s="1861"/>
      <c r="E166" s="1722"/>
      <c r="F166" s="1722"/>
      <c r="G166" s="1862"/>
      <c r="H166" s="1863"/>
      <c r="I166" s="1863">
        <f t="shared" si="114"/>
        <v>0</v>
      </c>
      <c r="J166" s="1865"/>
      <c r="K166" s="1866"/>
      <c r="L166" s="1867"/>
      <c r="M166" s="1868"/>
      <c r="N166" s="1869"/>
      <c r="O166" s="1870"/>
      <c r="P166" s="1871"/>
      <c r="Q166" s="1694"/>
      <c r="R166" s="1872"/>
      <c r="S166" s="1873" t="str">
        <f t="shared" si="110"/>
        <v/>
      </c>
      <c r="T166" s="2215"/>
      <c r="U166" s="1418"/>
      <c r="V166" s="1418"/>
      <c r="W166" s="1418"/>
      <c r="X166" s="1428"/>
    </row>
    <row r="167" spans="1:24" s="1410" customFormat="1">
      <c r="B167" s="1874" t="s">
        <v>701</v>
      </c>
      <c r="C167" s="1875" t="s">
        <v>4193</v>
      </c>
      <c r="D167" s="1861" t="s">
        <v>38</v>
      </c>
      <c r="E167" s="1722">
        <v>47.82</v>
      </c>
      <c r="F167" s="1722">
        <v>33.68</v>
      </c>
      <c r="G167" s="1862">
        <v>34.049999999999997</v>
      </c>
      <c r="H167" s="1863">
        <f t="shared" ref="H167:H169" si="142">+E167*F167</f>
        <v>1610.5776000000001</v>
      </c>
      <c r="I167" s="1863">
        <f t="shared" si="114"/>
        <v>1628.27</v>
      </c>
      <c r="J167" s="1865">
        <v>0</v>
      </c>
      <c r="K167" s="1866">
        <v>0</v>
      </c>
      <c r="L167" s="1867"/>
      <c r="M167" s="1868">
        <f t="shared" ref="M167:M169" si="143">L167*G167</f>
        <v>0</v>
      </c>
      <c r="N167" s="1869">
        <f t="shared" ref="N167:N169" si="144">J167+L167</f>
        <v>0</v>
      </c>
      <c r="O167" s="1870">
        <f t="shared" ref="O167:O169" si="145">N167*G167</f>
        <v>0</v>
      </c>
      <c r="P167" s="1871">
        <f t="shared" ref="P167:P169" si="146">+IF(D167=0,"",O167/I167)</f>
        <v>0</v>
      </c>
      <c r="Q167" s="1694">
        <f t="shared" ref="Q167:Q169" si="147">E167-N167</f>
        <v>47.82</v>
      </c>
      <c r="R167" s="1872">
        <f t="shared" ref="R167:R169" si="148">ROUND((Q167*G167),2)</f>
        <v>1628.27</v>
      </c>
      <c r="S167" s="1873">
        <f t="shared" ref="S167:S169" si="149">+IF(I167=0,"",R167/I167)</f>
        <v>1</v>
      </c>
      <c r="T167" s="2215"/>
      <c r="U167" s="1418"/>
      <c r="V167" s="1418"/>
      <c r="W167" s="1418"/>
      <c r="X167" s="1428"/>
    </row>
    <row r="168" spans="1:24" s="1410" customFormat="1">
      <c r="A168" s="1423"/>
      <c r="B168" s="1874" t="s">
        <v>702</v>
      </c>
      <c r="C168" s="1875" t="s">
        <v>4194</v>
      </c>
      <c r="D168" s="1861" t="s">
        <v>38</v>
      </c>
      <c r="E168" s="1722">
        <v>84.86</v>
      </c>
      <c r="F168" s="1722">
        <v>12.45</v>
      </c>
      <c r="G168" s="1862">
        <v>12.96</v>
      </c>
      <c r="H168" s="1863">
        <f t="shared" si="142"/>
        <v>1056.5069999999998</v>
      </c>
      <c r="I168" s="1863">
        <f t="shared" si="114"/>
        <v>1099.79</v>
      </c>
      <c r="J168" s="1865">
        <v>84.86</v>
      </c>
      <c r="K168" s="1866">
        <v>1099.7856000000002</v>
      </c>
      <c r="L168" s="1867"/>
      <c r="M168" s="1868">
        <f t="shared" si="143"/>
        <v>0</v>
      </c>
      <c r="N168" s="1869">
        <f t="shared" si="144"/>
        <v>84.86</v>
      </c>
      <c r="O168" s="1870">
        <f t="shared" si="145"/>
        <v>1099.7856000000002</v>
      </c>
      <c r="P168" s="1871">
        <f t="shared" si="146"/>
        <v>0.99999599923621796</v>
      </c>
      <c r="Q168" s="1694">
        <f t="shared" si="147"/>
        <v>0</v>
      </c>
      <c r="R168" s="1872">
        <f t="shared" si="148"/>
        <v>0</v>
      </c>
      <c r="S168" s="1873">
        <f t="shared" si="149"/>
        <v>0</v>
      </c>
      <c r="T168" s="2215"/>
      <c r="U168" s="1418"/>
      <c r="V168" s="1418"/>
      <c r="W168" s="1418"/>
      <c r="X168" s="1428"/>
    </row>
    <row r="169" spans="1:24" s="1410" customFormat="1">
      <c r="A169" s="1423"/>
      <c r="B169" s="1874" t="s">
        <v>703</v>
      </c>
      <c r="C169" s="2502" t="s">
        <v>4195</v>
      </c>
      <c r="D169" s="1861" t="s">
        <v>38</v>
      </c>
      <c r="E169" s="1722">
        <v>2303.92</v>
      </c>
      <c r="F169" s="1722">
        <v>31.22</v>
      </c>
      <c r="G169" s="1862">
        <v>32.130000000000003</v>
      </c>
      <c r="H169" s="1863">
        <f t="shared" si="142"/>
        <v>71928.382400000002</v>
      </c>
      <c r="I169" s="1863">
        <f t="shared" si="114"/>
        <v>74024.95</v>
      </c>
      <c r="J169" s="1865">
        <v>1255.06</v>
      </c>
      <c r="K169" s="1866">
        <v>40325.077799999999</v>
      </c>
      <c r="L169" s="1867"/>
      <c r="M169" s="1868">
        <f t="shared" si="143"/>
        <v>0</v>
      </c>
      <c r="N169" s="1869">
        <f t="shared" si="144"/>
        <v>1255.06</v>
      </c>
      <c r="O169" s="1870">
        <f t="shared" si="145"/>
        <v>40325.077799999999</v>
      </c>
      <c r="P169" s="1871">
        <f t="shared" si="146"/>
        <v>0.54474981475840245</v>
      </c>
      <c r="Q169" s="1694">
        <f t="shared" si="147"/>
        <v>1048.8600000000001</v>
      </c>
      <c r="R169" s="1872">
        <f t="shared" si="148"/>
        <v>33699.870000000003</v>
      </c>
      <c r="S169" s="1873">
        <f t="shared" si="149"/>
        <v>0.4552501555218883</v>
      </c>
      <c r="T169" s="2215"/>
      <c r="U169" s="1418"/>
      <c r="V169" s="1418"/>
      <c r="W169" s="1418"/>
      <c r="X169" s="1428"/>
    </row>
    <row r="170" spans="1:24" s="1410" customFormat="1">
      <c r="B170" s="2265" t="s">
        <v>741</v>
      </c>
      <c r="C170" s="2266" t="s">
        <v>3817</v>
      </c>
      <c r="D170" s="1861"/>
      <c r="E170" s="1722"/>
      <c r="F170" s="1722"/>
      <c r="G170" s="1862"/>
      <c r="H170" s="1863"/>
      <c r="I170" s="1863">
        <f t="shared" si="114"/>
        <v>0</v>
      </c>
      <c r="J170" s="1865"/>
      <c r="K170" s="1866"/>
      <c r="L170" s="1867"/>
      <c r="M170" s="1868"/>
      <c r="N170" s="1869"/>
      <c r="O170" s="1870"/>
      <c r="P170" s="1871"/>
      <c r="Q170" s="1694"/>
      <c r="R170" s="1872"/>
      <c r="S170" s="1873" t="str">
        <f t="shared" si="110"/>
        <v/>
      </c>
      <c r="T170" s="2215"/>
      <c r="U170" s="1418"/>
      <c r="V170" s="1418"/>
      <c r="W170" s="1418"/>
      <c r="X170" s="1428"/>
    </row>
    <row r="171" spans="1:24" s="1410" customFormat="1">
      <c r="A171" s="1409"/>
      <c r="B171" s="2261" t="s">
        <v>742</v>
      </c>
      <c r="C171" s="2262" t="s">
        <v>4196</v>
      </c>
      <c r="D171" s="1861"/>
      <c r="E171" s="1722"/>
      <c r="F171" s="1722"/>
      <c r="G171" s="1862"/>
      <c r="H171" s="1863"/>
      <c r="I171" s="1863">
        <f t="shared" si="114"/>
        <v>0</v>
      </c>
      <c r="J171" s="1865"/>
      <c r="K171" s="1866"/>
      <c r="L171" s="1867"/>
      <c r="M171" s="1868"/>
      <c r="N171" s="1869"/>
      <c r="O171" s="1870"/>
      <c r="P171" s="1871"/>
      <c r="Q171" s="1694"/>
      <c r="R171" s="1872"/>
      <c r="S171" s="1873" t="str">
        <f t="shared" si="110"/>
        <v/>
      </c>
      <c r="T171" s="2215"/>
      <c r="U171" s="1418"/>
      <c r="V171" s="1418"/>
      <c r="W171" s="1418"/>
      <c r="X171" s="1428"/>
    </row>
    <row r="172" spans="1:24" s="1410" customFormat="1">
      <c r="A172" s="1423"/>
      <c r="B172" s="1874" t="s">
        <v>743</v>
      </c>
      <c r="C172" s="1875" t="s">
        <v>4197</v>
      </c>
      <c r="D172" s="1861" t="s">
        <v>37</v>
      </c>
      <c r="E172" s="1722">
        <v>1</v>
      </c>
      <c r="F172" s="1722">
        <v>4836.2700000000004</v>
      </c>
      <c r="G172" s="1862">
        <v>4850.2</v>
      </c>
      <c r="H172" s="1863">
        <f t="shared" ref="H172:H173" si="150">+E172*F172</f>
        <v>4836.2700000000004</v>
      </c>
      <c r="I172" s="1863">
        <f t="shared" si="114"/>
        <v>4850.2</v>
      </c>
      <c r="J172" s="1865">
        <v>0</v>
      </c>
      <c r="K172" s="1866">
        <v>0</v>
      </c>
      <c r="L172" s="1867"/>
      <c r="M172" s="1868">
        <f t="shared" ref="M172:M173" si="151">L172*G172</f>
        <v>0</v>
      </c>
      <c r="N172" s="1869">
        <f t="shared" ref="N172:N173" si="152">J172+L172</f>
        <v>0</v>
      </c>
      <c r="O172" s="1870">
        <f t="shared" ref="O172:O173" si="153">N172*G172</f>
        <v>0</v>
      </c>
      <c r="P172" s="1871">
        <f t="shared" ref="P172:P173" si="154">+IF(D172=0,"",O172/I172)</f>
        <v>0</v>
      </c>
      <c r="Q172" s="1694">
        <f t="shared" ref="Q172:Q173" si="155">E172-N172</f>
        <v>1</v>
      </c>
      <c r="R172" s="1872">
        <f t="shared" ref="R172:R173" si="156">ROUND((Q172*G172),2)</f>
        <v>4850.2</v>
      </c>
      <c r="S172" s="1873">
        <f t="shared" ref="S172:S173" si="157">+IF(I172=0,"",R172/I172)</f>
        <v>1</v>
      </c>
      <c r="T172" s="2215"/>
      <c r="U172" s="1418"/>
      <c r="V172" s="1418"/>
      <c r="W172" s="1418"/>
      <c r="X172" s="1428"/>
    </row>
    <row r="173" spans="1:24" s="1410" customFormat="1">
      <c r="B173" s="1882" t="s">
        <v>744</v>
      </c>
      <c r="C173" s="1883" t="s">
        <v>4198</v>
      </c>
      <c r="D173" s="1861" t="s">
        <v>37</v>
      </c>
      <c r="E173" s="1722">
        <v>50.4</v>
      </c>
      <c r="F173" s="1722">
        <v>216</v>
      </c>
      <c r="G173" s="1862">
        <v>216</v>
      </c>
      <c r="H173" s="1863">
        <f t="shared" si="150"/>
        <v>10886.4</v>
      </c>
      <c r="I173" s="1863">
        <f t="shared" si="114"/>
        <v>10886.4</v>
      </c>
      <c r="J173" s="1865">
        <v>50.24</v>
      </c>
      <c r="K173" s="1866">
        <v>10851.84</v>
      </c>
      <c r="L173" s="1867"/>
      <c r="M173" s="1868">
        <f t="shared" si="151"/>
        <v>0</v>
      </c>
      <c r="N173" s="1869">
        <f t="shared" si="152"/>
        <v>50.24</v>
      </c>
      <c r="O173" s="1870">
        <f t="shared" si="153"/>
        <v>10851.84</v>
      </c>
      <c r="P173" s="1871">
        <f t="shared" si="154"/>
        <v>0.99682539682539684</v>
      </c>
      <c r="Q173" s="1694">
        <f t="shared" si="155"/>
        <v>0.15999999999999659</v>
      </c>
      <c r="R173" s="1872">
        <f t="shared" si="156"/>
        <v>34.56</v>
      </c>
      <c r="S173" s="1873">
        <f t="shared" si="157"/>
        <v>3.174603174603175E-3</v>
      </c>
      <c r="T173" s="2215"/>
      <c r="U173" s="1418"/>
      <c r="V173" s="1418"/>
      <c r="W173" s="1418"/>
      <c r="X173" s="1428"/>
    </row>
    <row r="174" spans="1:24" s="1410" customFormat="1">
      <c r="A174" s="1409"/>
      <c r="B174" s="2261" t="s">
        <v>745</v>
      </c>
      <c r="C174" s="2262" t="s">
        <v>3150</v>
      </c>
      <c r="D174" s="1861"/>
      <c r="E174" s="1722"/>
      <c r="F174" s="1722"/>
      <c r="G174" s="1862"/>
      <c r="H174" s="1863"/>
      <c r="I174" s="1863">
        <f t="shared" si="114"/>
        <v>0</v>
      </c>
      <c r="J174" s="1865"/>
      <c r="K174" s="1866"/>
      <c r="L174" s="1867"/>
      <c r="M174" s="1868"/>
      <c r="N174" s="1869"/>
      <c r="O174" s="1870"/>
      <c r="P174" s="1871"/>
      <c r="Q174" s="1694"/>
      <c r="R174" s="1872"/>
      <c r="S174" s="1873" t="str">
        <f t="shared" si="110"/>
        <v/>
      </c>
      <c r="T174" s="2215"/>
      <c r="U174" s="1418"/>
      <c r="V174" s="1418"/>
      <c r="W174" s="1418"/>
      <c r="X174" s="1428"/>
    </row>
    <row r="175" spans="1:24" s="1410" customFormat="1">
      <c r="A175" s="1423"/>
      <c r="B175" s="1874" t="s">
        <v>746</v>
      </c>
      <c r="C175" s="1875" t="s">
        <v>4199</v>
      </c>
      <c r="D175" s="1861" t="s">
        <v>38</v>
      </c>
      <c r="E175" s="1722">
        <v>3197.26</v>
      </c>
      <c r="F175" s="1722">
        <v>18.79</v>
      </c>
      <c r="G175" s="1862">
        <v>18.940000000000001</v>
      </c>
      <c r="H175" s="1863">
        <f t="shared" ref="H175" si="158">+E175*F175</f>
        <v>60076.515400000004</v>
      </c>
      <c r="I175" s="1863">
        <f t="shared" si="114"/>
        <v>60556.1</v>
      </c>
      <c r="J175" s="1865">
        <v>0</v>
      </c>
      <c r="K175" s="1866">
        <v>0</v>
      </c>
      <c r="L175" s="1867"/>
      <c r="M175" s="1868">
        <f t="shared" ref="M175" si="159">L175*G175</f>
        <v>0</v>
      </c>
      <c r="N175" s="1869">
        <f t="shared" ref="N175" si="160">J175+L175</f>
        <v>0</v>
      </c>
      <c r="O175" s="1870">
        <f>N175*G175</f>
        <v>0</v>
      </c>
      <c r="P175" s="1871">
        <f>+IF(D175=0,"",O175/I175)</f>
        <v>0</v>
      </c>
      <c r="Q175" s="1694">
        <f t="shared" ref="Q175" si="161">E175-N175</f>
        <v>3197.26</v>
      </c>
      <c r="R175" s="1872">
        <f>ROUND((Q175*G175),2)</f>
        <v>60556.1</v>
      </c>
      <c r="S175" s="1873">
        <f>+IF(I175=0,"",R175/I175)</f>
        <v>1</v>
      </c>
      <c r="T175" s="2215"/>
      <c r="U175" s="1418"/>
      <c r="V175" s="1418"/>
      <c r="W175" s="1418"/>
      <c r="X175" s="1428"/>
    </row>
    <row r="176" spans="1:24" s="1410" customFormat="1">
      <c r="B176" s="2265" t="s">
        <v>762</v>
      </c>
      <c r="C176" s="2266" t="s">
        <v>3184</v>
      </c>
      <c r="D176" s="1861"/>
      <c r="E176" s="1722"/>
      <c r="F176" s="1722"/>
      <c r="G176" s="1862"/>
      <c r="H176" s="1863"/>
      <c r="I176" s="1863">
        <f t="shared" si="114"/>
        <v>0</v>
      </c>
      <c r="J176" s="1865"/>
      <c r="K176" s="1866"/>
      <c r="L176" s="1867"/>
      <c r="M176" s="1868"/>
      <c r="N176" s="1869"/>
      <c r="O176" s="1870"/>
      <c r="P176" s="1871"/>
      <c r="Q176" s="1694"/>
      <c r="R176" s="1872"/>
      <c r="S176" s="1873" t="str">
        <f t="shared" si="110"/>
        <v/>
      </c>
      <c r="T176" s="2215"/>
      <c r="U176" s="1418"/>
      <c r="V176" s="1418"/>
      <c r="W176" s="1418"/>
      <c r="X176" s="1428"/>
    </row>
    <row r="177" spans="1:25" s="1410" customFormat="1">
      <c r="A177" s="1423"/>
      <c r="B177" s="1874" t="s">
        <v>763</v>
      </c>
      <c r="C177" s="1875" t="s">
        <v>4200</v>
      </c>
      <c r="D177" s="1861" t="s">
        <v>37</v>
      </c>
      <c r="E177" s="1722">
        <v>5505.09</v>
      </c>
      <c r="F177" s="1722">
        <v>13.01</v>
      </c>
      <c r="G177" s="1862">
        <v>13.37</v>
      </c>
      <c r="H177" s="1863">
        <f t="shared" ref="H177:H184" si="162">+E177*F177</f>
        <v>71621.2209</v>
      </c>
      <c r="I177" s="1863">
        <f t="shared" si="114"/>
        <v>73603.05</v>
      </c>
      <c r="J177" s="1865">
        <v>3564.4197500000005</v>
      </c>
      <c r="K177" s="1866">
        <v>47656.292057500003</v>
      </c>
      <c r="L177" s="1867">
        <v>294.85000000000002</v>
      </c>
      <c r="M177" s="1868">
        <f t="shared" ref="M177:M184" si="163">L177*G177</f>
        <v>3942.1444999999999</v>
      </c>
      <c r="N177" s="1869">
        <f t="shared" ref="N177:N184" si="164">J177+L177</f>
        <v>3859.2697500000004</v>
      </c>
      <c r="O177" s="1870">
        <f t="shared" ref="O177:O184" si="165">N177*G177</f>
        <v>51598.436557500005</v>
      </c>
      <c r="P177" s="1871">
        <f t="shared" ref="P177:P184" si="166">+IF(D177=0,"",O177/I177)</f>
        <v>0.70103666298475409</v>
      </c>
      <c r="Q177" s="1694">
        <f t="shared" ref="Q177:Q184" si="167">E177-N177</f>
        <v>1645.8202499999998</v>
      </c>
      <c r="R177" s="1872">
        <f t="shared" ref="R177:R184" si="168">ROUND((Q177*G177),2)</f>
        <v>22004.62</v>
      </c>
      <c r="S177" s="1873">
        <f t="shared" ref="S177:S184" si="169">+IF(I177=0,"",R177/I177)</f>
        <v>0.29896342610802129</v>
      </c>
      <c r="T177" s="2215"/>
      <c r="U177" s="1418">
        <f>+Q177*0.3</f>
        <v>493.74607499999991</v>
      </c>
      <c r="V177" s="1418">
        <v>1410.0453749999999</v>
      </c>
      <c r="W177" s="1418"/>
      <c r="X177" s="1428">
        <v>787.00875000000008</v>
      </c>
      <c r="Y177" s="2129">
        <f>+X177/E177</f>
        <v>0.14296019683601904</v>
      </c>
    </row>
    <row r="178" spans="1:25" s="1410" customFormat="1">
      <c r="A178" s="1423"/>
      <c r="B178" s="1874" t="s">
        <v>766</v>
      </c>
      <c r="C178" s="1875" t="s">
        <v>4201</v>
      </c>
      <c r="D178" s="1861" t="s">
        <v>37</v>
      </c>
      <c r="E178" s="1722">
        <v>4009.91</v>
      </c>
      <c r="F178" s="1722">
        <v>13.7</v>
      </c>
      <c r="G178" s="1862">
        <v>13.98</v>
      </c>
      <c r="H178" s="1863">
        <f t="shared" si="162"/>
        <v>54935.766999999993</v>
      </c>
      <c r="I178" s="1863">
        <f t="shared" si="114"/>
        <v>56058.54</v>
      </c>
      <c r="J178" s="1865">
        <v>1695.3179200000004</v>
      </c>
      <c r="K178" s="1866">
        <v>23700.544521600008</v>
      </c>
      <c r="L178" s="1867">
        <v>31.35</v>
      </c>
      <c r="M178" s="1868">
        <f t="shared" si="163"/>
        <v>438.27300000000002</v>
      </c>
      <c r="N178" s="1869">
        <f t="shared" si="164"/>
        <v>1726.6679200000003</v>
      </c>
      <c r="O178" s="1870">
        <f t="shared" si="165"/>
        <v>24138.817521600005</v>
      </c>
      <c r="P178" s="1871">
        <f t="shared" si="166"/>
        <v>0.43060018190983934</v>
      </c>
      <c r="Q178" s="1694">
        <f t="shared" si="167"/>
        <v>2283.2420799999995</v>
      </c>
      <c r="R178" s="1872">
        <f t="shared" si="168"/>
        <v>31919.72</v>
      </c>
      <c r="S178" s="1873">
        <f t="shared" si="169"/>
        <v>0.56939977387923413</v>
      </c>
      <c r="T178" s="2215"/>
      <c r="U178" s="1418">
        <f t="shared" ref="U178:U181" si="170">+Q178*0.3</f>
        <v>684.97262399999988</v>
      </c>
      <c r="V178" s="1418">
        <v>1173.9747749999999</v>
      </c>
      <c r="W178" s="1418">
        <f>+V178+L178</f>
        <v>1205.3247749999998</v>
      </c>
      <c r="X178" s="1428">
        <v>378.38925000000023</v>
      </c>
      <c r="Y178" s="2129">
        <f t="shared" ref="Y178:Y181" si="171">+X178/E178</f>
        <v>9.4363526862198968E-2</v>
      </c>
    </row>
    <row r="179" spans="1:25" s="1410" customFormat="1">
      <c r="B179" s="1874" t="s">
        <v>770</v>
      </c>
      <c r="C179" s="1875" t="s">
        <v>4202</v>
      </c>
      <c r="D179" s="1861" t="s">
        <v>37</v>
      </c>
      <c r="E179" s="1722">
        <v>5094.62</v>
      </c>
      <c r="F179" s="1722">
        <v>14.45</v>
      </c>
      <c r="G179" s="1862">
        <v>14.78</v>
      </c>
      <c r="H179" s="1863">
        <f t="shared" si="162"/>
        <v>73617.258999999991</v>
      </c>
      <c r="I179" s="1863">
        <f t="shared" si="114"/>
        <v>75298.48</v>
      </c>
      <c r="J179" s="1865">
        <v>2056.22912</v>
      </c>
      <c r="K179" s="1866">
        <v>30391.066393599998</v>
      </c>
      <c r="L179" s="1867">
        <v>208.44</v>
      </c>
      <c r="M179" s="1868">
        <f t="shared" si="163"/>
        <v>3080.7431999999999</v>
      </c>
      <c r="N179" s="1869">
        <f t="shared" si="164"/>
        <v>2264.66912</v>
      </c>
      <c r="O179" s="1870">
        <f t="shared" si="165"/>
        <v>33471.809593599995</v>
      </c>
      <c r="P179" s="1871">
        <f t="shared" si="166"/>
        <v>0.44452171668803936</v>
      </c>
      <c r="Q179" s="1694">
        <f t="shared" si="167"/>
        <v>2829.9508799999999</v>
      </c>
      <c r="R179" s="1872">
        <f t="shared" si="168"/>
        <v>41826.67</v>
      </c>
      <c r="S179" s="1873">
        <f t="shared" si="169"/>
        <v>0.55547827791477333</v>
      </c>
      <c r="T179" s="2215"/>
      <c r="U179" s="1418">
        <f t="shared" si="170"/>
        <v>848.98526399999992</v>
      </c>
      <c r="V179" s="1418">
        <v>1422.4368750000001</v>
      </c>
      <c r="W179" s="1418">
        <f t="shared" ref="W179:W181" si="172">+V179+L179</f>
        <v>1630.8768750000002</v>
      </c>
      <c r="X179" s="1428">
        <v>101.93325000000003</v>
      </c>
      <c r="Y179" s="2129">
        <f t="shared" si="171"/>
        <v>2.0008018262402304E-2</v>
      </c>
    </row>
    <row r="180" spans="1:25" s="1410" customFormat="1">
      <c r="A180" s="1409"/>
      <c r="B180" s="1874" t="s">
        <v>3815</v>
      </c>
      <c r="C180" s="1875" t="s">
        <v>4203</v>
      </c>
      <c r="D180" s="1861" t="s">
        <v>37</v>
      </c>
      <c r="E180" s="1722">
        <v>5242.09</v>
      </c>
      <c r="F180" s="1722">
        <v>13.7</v>
      </c>
      <c r="G180" s="1862">
        <v>13.98</v>
      </c>
      <c r="H180" s="1863">
        <f t="shared" si="162"/>
        <v>71816.633000000002</v>
      </c>
      <c r="I180" s="1863">
        <f t="shared" si="114"/>
        <v>73284.42</v>
      </c>
      <c r="J180" s="1865">
        <v>2432.4484249999991</v>
      </c>
      <c r="K180" s="1866">
        <v>34005.628981499991</v>
      </c>
      <c r="L180" s="1867">
        <v>316.23</v>
      </c>
      <c r="M180" s="1868">
        <f t="shared" si="163"/>
        <v>4420.8954000000003</v>
      </c>
      <c r="N180" s="1869">
        <f t="shared" si="164"/>
        <v>2748.6784249999992</v>
      </c>
      <c r="O180" s="1870">
        <f t="shared" si="165"/>
        <v>38426.524381499992</v>
      </c>
      <c r="P180" s="1871">
        <f t="shared" si="166"/>
        <v>0.52434779973014722</v>
      </c>
      <c r="Q180" s="1694">
        <f t="shared" si="167"/>
        <v>2493.411575000001</v>
      </c>
      <c r="R180" s="1872">
        <f t="shared" si="168"/>
        <v>34857.89</v>
      </c>
      <c r="S180" s="1873">
        <f t="shared" si="169"/>
        <v>0.47565212360280673</v>
      </c>
      <c r="T180" s="2215"/>
      <c r="U180" s="1418">
        <f t="shared" si="170"/>
        <v>748.02347250000025</v>
      </c>
      <c r="V180" s="1418">
        <v>1469.0766749999998</v>
      </c>
      <c r="W180" s="1418">
        <f t="shared" si="172"/>
        <v>1785.3066749999998</v>
      </c>
      <c r="X180" s="1428">
        <v>419.70599999999968</v>
      </c>
      <c r="Y180" s="2129">
        <f t="shared" si="171"/>
        <v>8.0064630710270077E-2</v>
      </c>
    </row>
    <row r="181" spans="1:25" s="1410" customFormat="1">
      <c r="A181" s="1423"/>
      <c r="B181" s="1874" t="s">
        <v>4204</v>
      </c>
      <c r="C181" s="1875" t="s">
        <v>4205</v>
      </c>
      <c r="D181" s="1861" t="s">
        <v>37</v>
      </c>
      <c r="E181" s="1722">
        <v>2830.02</v>
      </c>
      <c r="F181" s="1722">
        <v>12.05</v>
      </c>
      <c r="G181" s="1862">
        <v>12.38</v>
      </c>
      <c r="H181" s="1863">
        <f t="shared" si="162"/>
        <v>34101.741000000002</v>
      </c>
      <c r="I181" s="1863">
        <f t="shared" si="114"/>
        <v>35035.65</v>
      </c>
      <c r="J181" s="1865">
        <v>765.06232500000033</v>
      </c>
      <c r="K181" s="1866">
        <v>9471.4715835000043</v>
      </c>
      <c r="L181" s="1867">
        <v>69.16</v>
      </c>
      <c r="M181" s="1868">
        <f t="shared" si="163"/>
        <v>856.20079999999996</v>
      </c>
      <c r="N181" s="1869">
        <f t="shared" si="164"/>
        <v>834.2223250000003</v>
      </c>
      <c r="O181" s="1870">
        <f t="shared" si="165"/>
        <v>10327.672383500005</v>
      </c>
      <c r="P181" s="1871">
        <f t="shared" si="166"/>
        <v>0.29477610329764126</v>
      </c>
      <c r="Q181" s="1694">
        <f t="shared" si="167"/>
        <v>1995.7976749999998</v>
      </c>
      <c r="R181" s="1872">
        <f t="shared" si="168"/>
        <v>24707.98</v>
      </c>
      <c r="S181" s="1873">
        <f t="shared" si="169"/>
        <v>0.7052239647330647</v>
      </c>
      <c r="T181" s="2215"/>
      <c r="U181" s="1418">
        <f t="shared" si="170"/>
        <v>598.73930249999989</v>
      </c>
      <c r="V181" s="1418">
        <v>847.24770000000001</v>
      </c>
      <c r="W181" s="1418">
        <f t="shared" si="172"/>
        <v>916.40769999999998</v>
      </c>
      <c r="X181" s="1428">
        <v>60.952749999999988</v>
      </c>
      <c r="Y181" s="2129">
        <f t="shared" si="171"/>
        <v>2.153792199348414E-2</v>
      </c>
    </row>
    <row r="182" spans="1:25" s="1410" customFormat="1">
      <c r="B182" s="1874" t="s">
        <v>4206</v>
      </c>
      <c r="C182" s="1875" t="s">
        <v>4207</v>
      </c>
      <c r="D182" s="1861" t="s">
        <v>37</v>
      </c>
      <c r="E182" s="1722">
        <v>1899.96</v>
      </c>
      <c r="F182" s="1722">
        <v>13.7</v>
      </c>
      <c r="G182" s="1862">
        <v>13.98</v>
      </c>
      <c r="H182" s="1863">
        <f t="shared" si="162"/>
        <v>26029.451999999997</v>
      </c>
      <c r="I182" s="1863">
        <f t="shared" si="114"/>
        <v>26561.439999999999</v>
      </c>
      <c r="J182" s="1865">
        <v>0</v>
      </c>
      <c r="K182" s="1866">
        <v>0</v>
      </c>
      <c r="L182" s="1867"/>
      <c r="M182" s="1868">
        <f t="shared" si="163"/>
        <v>0</v>
      </c>
      <c r="N182" s="1869">
        <f t="shared" si="164"/>
        <v>0</v>
      </c>
      <c r="O182" s="1870">
        <f t="shared" si="165"/>
        <v>0</v>
      </c>
      <c r="P182" s="1871">
        <f t="shared" si="166"/>
        <v>0</v>
      </c>
      <c r="Q182" s="1694">
        <f t="shared" si="167"/>
        <v>1899.96</v>
      </c>
      <c r="R182" s="1872">
        <f t="shared" si="168"/>
        <v>26561.439999999999</v>
      </c>
      <c r="S182" s="1873">
        <f t="shared" si="169"/>
        <v>1</v>
      </c>
      <c r="T182" s="2215"/>
      <c r="U182" s="1418"/>
      <c r="V182" s="1418"/>
      <c r="W182" s="1418"/>
      <c r="X182" s="1428"/>
    </row>
    <row r="183" spans="1:25" s="1410" customFormat="1">
      <c r="A183" s="1409"/>
      <c r="B183" s="1874" t="s">
        <v>4208</v>
      </c>
      <c r="C183" s="1875" t="s">
        <v>4209</v>
      </c>
      <c r="D183" s="1861" t="s">
        <v>37</v>
      </c>
      <c r="E183" s="1722">
        <v>85.02</v>
      </c>
      <c r="F183" s="1722">
        <v>13.7</v>
      </c>
      <c r="G183" s="1862">
        <v>13.98</v>
      </c>
      <c r="H183" s="1863">
        <f t="shared" si="162"/>
        <v>1164.7739999999999</v>
      </c>
      <c r="I183" s="1863">
        <f t="shared" si="114"/>
        <v>1188.58</v>
      </c>
      <c r="J183" s="1865">
        <v>0</v>
      </c>
      <c r="K183" s="1866">
        <v>0</v>
      </c>
      <c r="L183" s="1867"/>
      <c r="M183" s="1868">
        <f t="shared" si="163"/>
        <v>0</v>
      </c>
      <c r="N183" s="1869">
        <f t="shared" si="164"/>
        <v>0</v>
      </c>
      <c r="O183" s="1870">
        <f t="shared" si="165"/>
        <v>0</v>
      </c>
      <c r="P183" s="1871">
        <f t="shared" si="166"/>
        <v>0</v>
      </c>
      <c r="Q183" s="1694">
        <f t="shared" si="167"/>
        <v>85.02</v>
      </c>
      <c r="R183" s="1872">
        <f t="shared" si="168"/>
        <v>1188.58</v>
      </c>
      <c r="S183" s="1873">
        <f t="shared" si="169"/>
        <v>1</v>
      </c>
      <c r="T183" s="2215"/>
      <c r="U183" s="1418"/>
      <c r="V183" s="1418"/>
      <c r="W183" s="1418"/>
      <c r="X183" s="1428"/>
    </row>
    <row r="184" spans="1:25" s="1410" customFormat="1">
      <c r="A184" s="1423"/>
      <c r="B184" s="1874" t="s">
        <v>4210</v>
      </c>
      <c r="C184" s="1875" t="s">
        <v>4211</v>
      </c>
      <c r="D184" s="1861" t="s">
        <v>37</v>
      </c>
      <c r="E184" s="1722">
        <v>293.13</v>
      </c>
      <c r="F184" s="1722">
        <v>13.7</v>
      </c>
      <c r="G184" s="1862">
        <v>13.98</v>
      </c>
      <c r="H184" s="1863">
        <f t="shared" si="162"/>
        <v>4015.8809999999999</v>
      </c>
      <c r="I184" s="1863">
        <f t="shared" si="114"/>
        <v>4097.96</v>
      </c>
      <c r="J184" s="1865">
        <v>126.07000000000002</v>
      </c>
      <c r="K184" s="1866">
        <v>1762.4586000000004</v>
      </c>
      <c r="L184" s="1867"/>
      <c r="M184" s="1868">
        <f t="shared" si="163"/>
        <v>0</v>
      </c>
      <c r="N184" s="1869">
        <f t="shared" si="164"/>
        <v>126.07000000000002</v>
      </c>
      <c r="O184" s="1870">
        <f t="shared" si="165"/>
        <v>1762.4586000000004</v>
      </c>
      <c r="P184" s="1871">
        <f t="shared" si="166"/>
        <v>0.43008194321076837</v>
      </c>
      <c r="Q184" s="1694">
        <f t="shared" si="167"/>
        <v>167.05999999999997</v>
      </c>
      <c r="R184" s="1872">
        <f t="shared" si="168"/>
        <v>2335.5</v>
      </c>
      <c r="S184" s="1873">
        <f t="shared" si="169"/>
        <v>0.56991771515583367</v>
      </c>
      <c r="T184" s="2215"/>
      <c r="U184" s="1418"/>
      <c r="V184" s="1418"/>
      <c r="W184" s="1418"/>
      <c r="X184" s="1428"/>
    </row>
    <row r="185" spans="1:25" s="1410" customFormat="1">
      <c r="B185" s="2265" t="s">
        <v>773</v>
      </c>
      <c r="C185" s="2266" t="s">
        <v>3063</v>
      </c>
      <c r="D185" s="1861"/>
      <c r="E185" s="1722"/>
      <c r="F185" s="1722"/>
      <c r="G185" s="1862"/>
      <c r="H185" s="1863"/>
      <c r="I185" s="1863">
        <f t="shared" si="114"/>
        <v>0</v>
      </c>
      <c r="J185" s="1865"/>
      <c r="K185" s="1866"/>
      <c r="L185" s="1867"/>
      <c r="M185" s="1868"/>
      <c r="N185" s="1869"/>
      <c r="O185" s="1870"/>
      <c r="P185" s="1871"/>
      <c r="Q185" s="1694"/>
      <c r="R185" s="1872"/>
      <c r="S185" s="1873" t="str">
        <f t="shared" si="110"/>
        <v/>
      </c>
      <c r="T185" s="2215"/>
      <c r="U185" s="1418"/>
      <c r="V185" s="1418"/>
      <c r="W185" s="1418"/>
      <c r="X185" s="1428"/>
    </row>
    <row r="186" spans="1:25" s="1410" customFormat="1">
      <c r="A186" s="1423"/>
      <c r="B186" s="1874" t="s">
        <v>774</v>
      </c>
      <c r="C186" s="1875" t="s">
        <v>4212</v>
      </c>
      <c r="D186" s="1861" t="s">
        <v>36</v>
      </c>
      <c r="E186" s="1722">
        <v>100</v>
      </c>
      <c r="F186" s="1722">
        <v>351.52</v>
      </c>
      <c r="G186" s="1862">
        <v>362.29</v>
      </c>
      <c r="H186" s="1863">
        <f t="shared" ref="H186:H188" si="173">+E186*F186</f>
        <v>35152</v>
      </c>
      <c r="I186" s="1863">
        <f t="shared" si="114"/>
        <v>36229</v>
      </c>
      <c r="J186" s="1865">
        <v>0</v>
      </c>
      <c r="K186" s="1866">
        <v>0</v>
      </c>
      <c r="L186" s="1867">
        <v>32</v>
      </c>
      <c r="M186" s="1868">
        <f t="shared" ref="M186:M188" si="174">L186*G186</f>
        <v>11593.28</v>
      </c>
      <c r="N186" s="1869">
        <f t="shared" ref="N186:N188" si="175">J186+L186</f>
        <v>32</v>
      </c>
      <c r="O186" s="1870">
        <f t="shared" ref="O186:O188" si="176">N186*G186</f>
        <v>11593.28</v>
      </c>
      <c r="P186" s="1871">
        <f t="shared" ref="P186:P188" si="177">+IF(D186=0,"",O186/I186)</f>
        <v>0.32</v>
      </c>
      <c r="Q186" s="1694">
        <f t="shared" ref="Q186:Q188" si="178">E186-N186</f>
        <v>68</v>
      </c>
      <c r="R186" s="1872">
        <f t="shared" ref="R186:R188" si="179">ROUND((Q186*G186),2)</f>
        <v>24635.72</v>
      </c>
      <c r="S186" s="1873">
        <f t="shared" ref="S186:S188" si="180">+IF(I186=0,"",R186/I186)</f>
        <v>0.68</v>
      </c>
      <c r="T186" s="2215"/>
      <c r="U186" s="1418"/>
      <c r="V186" s="1418"/>
      <c r="W186" s="1418"/>
      <c r="X186" s="1428"/>
    </row>
    <row r="187" spans="1:25" s="1410" customFormat="1">
      <c r="A187" s="1423"/>
      <c r="B187" s="1874" t="s">
        <v>777</v>
      </c>
      <c r="C187" s="1875" t="s">
        <v>4213</v>
      </c>
      <c r="D187" s="1861" t="s">
        <v>36</v>
      </c>
      <c r="E187" s="1722">
        <v>28</v>
      </c>
      <c r="F187" s="1722">
        <v>600</v>
      </c>
      <c r="G187" s="1862">
        <v>600</v>
      </c>
      <c r="H187" s="1863">
        <f t="shared" si="173"/>
        <v>16800</v>
      </c>
      <c r="I187" s="1863">
        <f t="shared" si="114"/>
        <v>16800</v>
      </c>
      <c r="J187" s="1865">
        <v>0</v>
      </c>
      <c r="K187" s="1866">
        <v>0</v>
      </c>
      <c r="L187" s="1867">
        <v>28</v>
      </c>
      <c r="M187" s="1868">
        <f t="shared" si="174"/>
        <v>16800</v>
      </c>
      <c r="N187" s="1869">
        <f t="shared" si="175"/>
        <v>28</v>
      </c>
      <c r="O187" s="1870">
        <f t="shared" si="176"/>
        <v>16800</v>
      </c>
      <c r="P187" s="1871">
        <f t="shared" si="177"/>
        <v>1</v>
      </c>
      <c r="Q187" s="1694">
        <f t="shared" si="178"/>
        <v>0</v>
      </c>
      <c r="R187" s="1872">
        <f t="shared" si="179"/>
        <v>0</v>
      </c>
      <c r="S187" s="1873">
        <f t="shared" si="180"/>
        <v>0</v>
      </c>
      <c r="T187" s="2215"/>
      <c r="U187" s="1418"/>
      <c r="V187" s="1418"/>
      <c r="W187" s="1418"/>
      <c r="X187" s="1428"/>
    </row>
    <row r="188" spans="1:25" s="1410" customFormat="1">
      <c r="B188" s="1874" t="s">
        <v>3819</v>
      </c>
      <c r="C188" s="1875" t="s">
        <v>4214</v>
      </c>
      <c r="D188" s="1861" t="s">
        <v>36</v>
      </c>
      <c r="E188" s="1722">
        <v>25</v>
      </c>
      <c r="F188" s="1722">
        <v>420.94</v>
      </c>
      <c r="G188" s="1862">
        <v>431.71</v>
      </c>
      <c r="H188" s="1863">
        <f t="shared" si="173"/>
        <v>10523.5</v>
      </c>
      <c r="I188" s="1863">
        <f t="shared" si="114"/>
        <v>10792.75</v>
      </c>
      <c r="J188" s="1865">
        <v>0</v>
      </c>
      <c r="K188" s="1866">
        <v>0</v>
      </c>
      <c r="L188" s="1867">
        <v>2</v>
      </c>
      <c r="M188" s="1868">
        <f t="shared" si="174"/>
        <v>863.42</v>
      </c>
      <c r="N188" s="1869">
        <f t="shared" si="175"/>
        <v>2</v>
      </c>
      <c r="O188" s="1870">
        <f t="shared" si="176"/>
        <v>863.42</v>
      </c>
      <c r="P188" s="1871">
        <f t="shared" si="177"/>
        <v>0.08</v>
      </c>
      <c r="Q188" s="1694">
        <f t="shared" si="178"/>
        <v>23</v>
      </c>
      <c r="R188" s="1872">
        <f t="shared" si="179"/>
        <v>9929.33</v>
      </c>
      <c r="S188" s="1873">
        <f t="shared" si="180"/>
        <v>0.92</v>
      </c>
      <c r="T188" s="2215"/>
      <c r="U188" s="1418"/>
      <c r="V188" s="1418"/>
      <c r="W188" s="1418"/>
      <c r="X188" s="1428"/>
    </row>
    <row r="189" spans="1:25" s="1410" customFormat="1">
      <c r="A189" s="1409"/>
      <c r="B189" s="2265" t="s">
        <v>780</v>
      </c>
      <c r="C189" s="2266" t="s">
        <v>4215</v>
      </c>
      <c r="D189" s="1861"/>
      <c r="E189" s="1722"/>
      <c r="F189" s="1722"/>
      <c r="G189" s="1862"/>
      <c r="H189" s="1863"/>
      <c r="I189" s="1863">
        <f t="shared" si="114"/>
        <v>0</v>
      </c>
      <c r="J189" s="1865"/>
      <c r="K189" s="1866"/>
      <c r="L189" s="1867"/>
      <c r="M189" s="1868"/>
      <c r="N189" s="1869"/>
      <c r="O189" s="1870"/>
      <c r="P189" s="1871"/>
      <c r="Q189" s="1694"/>
      <c r="R189" s="1872"/>
      <c r="S189" s="1873" t="str">
        <f t="shared" si="110"/>
        <v/>
      </c>
      <c r="T189" s="2215"/>
      <c r="U189" s="1418"/>
      <c r="V189" s="1418"/>
      <c r="W189" s="1418"/>
      <c r="X189" s="1428"/>
    </row>
    <row r="190" spans="1:25" s="1410" customFormat="1" ht="14.25" thickBot="1">
      <c r="A190" s="1423"/>
      <c r="B190" s="1884" t="s">
        <v>781</v>
      </c>
      <c r="C190" s="1885" t="s">
        <v>4216</v>
      </c>
      <c r="D190" s="1886" t="s">
        <v>36</v>
      </c>
      <c r="E190" s="1887">
        <v>165</v>
      </c>
      <c r="F190" s="1887">
        <v>39.69</v>
      </c>
      <c r="G190" s="1888">
        <v>40.340000000000003</v>
      </c>
      <c r="H190" s="1889">
        <f t="shared" ref="H190" si="181">+E190*F190</f>
        <v>6548.8499999999995</v>
      </c>
      <c r="I190" s="1889">
        <f t="shared" si="114"/>
        <v>6656.1</v>
      </c>
      <c r="J190" s="1890">
        <v>0</v>
      </c>
      <c r="K190" s="1891">
        <v>0</v>
      </c>
      <c r="L190" s="1892"/>
      <c r="M190" s="1893">
        <f t="shared" ref="M190" si="182">L190*G190</f>
        <v>0</v>
      </c>
      <c r="N190" s="1894">
        <f t="shared" ref="N190" si="183">J190+L190</f>
        <v>0</v>
      </c>
      <c r="O190" s="1895">
        <f>N190*G190</f>
        <v>0</v>
      </c>
      <c r="P190" s="1896">
        <f>+IF(D190=0,"",O190/I190)</f>
        <v>0</v>
      </c>
      <c r="Q190" s="1897">
        <f t="shared" ref="Q190" si="184">E190-N190</f>
        <v>165</v>
      </c>
      <c r="R190" s="1898">
        <f>ROUND((Q190*G190),2)</f>
        <v>6656.1</v>
      </c>
      <c r="S190" s="1899">
        <f>+IF(I190=0,"",R190/I190)</f>
        <v>1</v>
      </c>
      <c r="T190" s="2215"/>
      <c r="U190" s="1418"/>
      <c r="V190" s="1418"/>
      <c r="W190" s="1418"/>
      <c r="X190" s="1428"/>
    </row>
    <row r="191" spans="1:25" s="561" customFormat="1" thickBot="1">
      <c r="B191" s="2301"/>
      <c r="C191" s="2334" t="s">
        <v>59</v>
      </c>
      <c r="D191" s="2335"/>
      <c r="E191" s="2303"/>
      <c r="F191" s="2303"/>
      <c r="G191" s="2303"/>
      <c r="H191" s="2304">
        <f>(SUM(H17:H190))</f>
        <v>2866473.4419000009</v>
      </c>
      <c r="I191" s="2328">
        <f>(SUM(I17:I190))</f>
        <v>2917415.5299999993</v>
      </c>
      <c r="J191" s="2326">
        <f>+K191/I191</f>
        <v>0.41214530411363798</v>
      </c>
      <c r="K191" s="2327">
        <f>SUM(K17:K190)</f>
        <v>1202399.1108377001</v>
      </c>
      <c r="L191" s="2325">
        <f>M191/I191</f>
        <v>1.7680271106255478E-2</v>
      </c>
      <c r="M191" s="2322">
        <f>SUM(M17:M190)</f>
        <v>51580.697499999995</v>
      </c>
      <c r="N191" s="2323">
        <f>+O191/I191</f>
        <v>0.4298255752198934</v>
      </c>
      <c r="O191" s="2308">
        <f>SUM(O17:O190)</f>
        <v>1253979.8083376999</v>
      </c>
      <c r="P191" s="2324" t="str">
        <f t="shared" ref="P191:P197" si="185">+IF(D191=0,"",O191/H191)</f>
        <v/>
      </c>
      <c r="Q191" s="2309">
        <f>+R191/I191</f>
        <v>0.57017441735493912</v>
      </c>
      <c r="R191" s="2321">
        <f>SUM(R17:R190)</f>
        <v>1663435.7000000004</v>
      </c>
      <c r="S191" s="2306"/>
      <c r="T191" s="1714"/>
      <c r="U191" s="562">
        <f>+R191+O191</f>
        <v>2917415.5083377003</v>
      </c>
      <c r="V191" s="562"/>
      <c r="W191" s="562"/>
      <c r="X191" s="1348">
        <f>+H191</f>
        <v>2866473.4419000009</v>
      </c>
      <c r="Y191" s="562">
        <f>+U191-X191</f>
        <v>50942.066437699366</v>
      </c>
    </row>
    <row r="192" spans="1:25" s="49" customFormat="1" ht="12.75">
      <c r="B192" s="2311"/>
      <c r="C192" s="2312" t="s">
        <v>256</v>
      </c>
      <c r="D192" s="2313"/>
      <c r="E192" s="2314"/>
      <c r="F192" s="2314"/>
      <c r="G192" s="2314"/>
      <c r="H192" s="2300">
        <v>119729.76343418393</v>
      </c>
      <c r="I192" s="2300">
        <v>119729.76343418393</v>
      </c>
      <c r="J192" s="2299"/>
      <c r="K192" s="2299">
        <v>39170.210100749682</v>
      </c>
      <c r="L192" s="2315"/>
      <c r="M192" s="2299">
        <f>+L$191*I192</f>
        <v>2116.8546770042058</v>
      </c>
      <c r="N192" s="2315"/>
      <c r="O192" s="2316">
        <f t="shared" ref="O192:O196" si="186">K192+M192</f>
        <v>41287.064777753891</v>
      </c>
      <c r="P192" s="2317" t="str">
        <f t="shared" si="185"/>
        <v/>
      </c>
      <c r="Q192" s="2318"/>
      <c r="R192" s="2319">
        <f>I192-O192</f>
        <v>78442.698656430031</v>
      </c>
      <c r="S192" s="2320"/>
      <c r="T192" s="2216"/>
      <c r="U192" s="1678"/>
      <c r="V192" s="1678"/>
      <c r="W192" s="1678"/>
      <c r="X192" s="524"/>
    </row>
    <row r="193" spans="2:25" s="561" customFormat="1" ht="12.75">
      <c r="B193" s="1255"/>
      <c r="C193" s="1335" t="s">
        <v>1816</v>
      </c>
      <c r="D193" s="1336"/>
      <c r="E193" s="1330"/>
      <c r="F193" s="1330"/>
      <c r="G193" s="1330"/>
      <c r="H193" s="1331">
        <v>27075.04616385707</v>
      </c>
      <c r="I193" s="1331">
        <v>27075.04616385707</v>
      </c>
      <c r="J193" s="1332"/>
      <c r="K193" s="1408">
        <v>8857.7411021843345</v>
      </c>
      <c r="L193" s="1679"/>
      <c r="M193" s="1408">
        <f t="shared" ref="M193:M194" si="187">+L$191*I193</f>
        <v>478.69415639137537</v>
      </c>
      <c r="N193" s="1333"/>
      <c r="O193" s="1732">
        <f t="shared" si="186"/>
        <v>9336.4352585757097</v>
      </c>
      <c r="P193" s="1901" t="str">
        <f t="shared" si="185"/>
        <v/>
      </c>
      <c r="Q193" s="1676"/>
      <c r="R193" s="1902">
        <f t="shared" ref="R193:R196" si="188">I193-O193</f>
        <v>17738.610905281363</v>
      </c>
      <c r="S193" s="1334"/>
      <c r="T193" s="2217"/>
      <c r="U193" s="562"/>
      <c r="V193" s="562"/>
      <c r="W193" s="562"/>
      <c r="X193" s="1348"/>
    </row>
    <row r="194" spans="2:25" s="561" customFormat="1" ht="12.75">
      <c r="B194" s="1255"/>
      <c r="C194" s="1335" t="s">
        <v>3920</v>
      </c>
      <c r="D194" s="1336"/>
      <c r="E194" s="1330"/>
      <c r="F194" s="1330"/>
      <c r="G194" s="1330"/>
      <c r="H194" s="1331">
        <v>4744.3166181431379</v>
      </c>
      <c r="I194" s="1331">
        <v>4744.3166181431379</v>
      </c>
      <c r="J194" s="1332"/>
      <c r="K194" s="1408">
        <v>1552.1276697360206</v>
      </c>
      <c r="L194" s="1679"/>
      <c r="M194" s="1408">
        <f t="shared" si="187"/>
        <v>83.880804022683819</v>
      </c>
      <c r="N194" s="1333"/>
      <c r="O194" s="1732">
        <f t="shared" si="186"/>
        <v>1636.0084737587044</v>
      </c>
      <c r="P194" s="1901"/>
      <c r="Q194" s="1676"/>
      <c r="R194" s="1902">
        <f t="shared" si="188"/>
        <v>3108.3081443844335</v>
      </c>
      <c r="S194" s="1334"/>
      <c r="T194" s="2217"/>
      <c r="U194" s="562"/>
      <c r="V194" s="562"/>
      <c r="W194" s="562"/>
      <c r="X194" s="1348"/>
    </row>
    <row r="195" spans="2:25" s="561" customFormat="1" ht="12.75">
      <c r="B195" s="1255"/>
      <c r="C195" s="1337" t="s">
        <v>3567</v>
      </c>
      <c r="D195" s="1338"/>
      <c r="E195" s="1338"/>
      <c r="F195" s="1338"/>
      <c r="G195" s="1338"/>
      <c r="H195" s="1339">
        <f>ROUND(SUM(H191:H194),2)</f>
        <v>3018022.57</v>
      </c>
      <c r="I195" s="1339">
        <f>ROUND(SUM(I191:I194),2)</f>
        <v>3068964.66</v>
      </c>
      <c r="J195" s="1339"/>
      <c r="K195" s="1340">
        <f>SUM(K191:K194)</f>
        <v>1251979.1897103703</v>
      </c>
      <c r="L195" s="1903"/>
      <c r="M195" s="1425">
        <f>SUM(M191:M194)</f>
        <v>54260.127137418269</v>
      </c>
      <c r="N195" s="1339"/>
      <c r="O195" s="1904">
        <f>SUM(O191:O194)</f>
        <v>1306239.3168477882</v>
      </c>
      <c r="P195" s="1901" t="str">
        <f t="shared" si="185"/>
        <v/>
      </c>
      <c r="Q195" s="1676"/>
      <c r="R195" s="1905">
        <f>SUM(R191:R194)</f>
        <v>1762725.3177060962</v>
      </c>
      <c r="S195" s="1342"/>
      <c r="T195" s="1714"/>
      <c r="U195" s="562" t="e">
        <f>+#REF!-R191</f>
        <v>#REF!</v>
      </c>
      <c r="V195" s="562"/>
      <c r="W195" s="562"/>
      <c r="X195" s="1348"/>
    </row>
    <row r="196" spans="2:25" s="561" customFormat="1" ht="12.75">
      <c r="B196" s="1255"/>
      <c r="C196" s="1335" t="s">
        <v>4217</v>
      </c>
      <c r="D196" s="1336"/>
      <c r="E196" s="1330"/>
      <c r="F196" s="1330"/>
      <c r="G196" s="1330"/>
      <c r="H196" s="1331">
        <v>37719.259999999995</v>
      </c>
      <c r="I196" s="1331">
        <v>37719.259999999995</v>
      </c>
      <c r="J196" s="1332"/>
      <c r="K196" s="1408">
        <v>12340.050599506752</v>
      </c>
      <c r="L196" s="1679"/>
      <c r="M196" s="1408">
        <f>+L191*I196</f>
        <v>666.88674272733795</v>
      </c>
      <c r="N196" s="1333"/>
      <c r="O196" s="1732">
        <f t="shared" si="186"/>
        <v>13006.93734223409</v>
      </c>
      <c r="P196" s="1901"/>
      <c r="Q196" s="1676"/>
      <c r="R196" s="1902">
        <f t="shared" si="188"/>
        <v>24712.322657765904</v>
      </c>
      <c r="S196" s="1334"/>
      <c r="T196" s="2217"/>
      <c r="U196" s="562"/>
      <c r="V196" s="562"/>
      <c r="W196" s="562"/>
      <c r="X196" s="1348"/>
    </row>
    <row r="197" spans="2:25" s="1229" customFormat="1" ht="14.25" thickBot="1">
      <c r="B197" s="1256"/>
      <c r="C197" s="1257" t="s">
        <v>61</v>
      </c>
      <c r="D197" s="1257"/>
      <c r="E197" s="1257"/>
      <c r="F197" s="1257"/>
      <c r="G197" s="1257"/>
      <c r="H197" s="1258">
        <f>SUM(H195:H195)+H196</f>
        <v>3055741.8299999996</v>
      </c>
      <c r="I197" s="1258">
        <f>SUM(I195:I195)+I196</f>
        <v>3106683.92</v>
      </c>
      <c r="J197" s="1261">
        <f>+K197/I197</f>
        <v>0.40696745239209181</v>
      </c>
      <c r="K197" s="1259">
        <f>SUM(K195:K196)</f>
        <v>1264319.2403098771</v>
      </c>
      <c r="L197" s="1681">
        <f>M197/I197</f>
        <v>1.7680271084721616E-2</v>
      </c>
      <c r="M197" s="1426">
        <f>SUM(M195:M196)</f>
        <v>54927.013880145605</v>
      </c>
      <c r="N197" s="1261">
        <f>O197/I197</f>
        <v>0.42464772347681329</v>
      </c>
      <c r="O197" s="1906">
        <f>SUM(O195:O196)</f>
        <v>1319246.2541900224</v>
      </c>
      <c r="P197" s="1907" t="str">
        <f t="shared" si="185"/>
        <v/>
      </c>
      <c r="Q197" s="1261">
        <f>+R197/I197</f>
        <v>0.57535226821530006</v>
      </c>
      <c r="R197" s="1908">
        <f>ROUND(SUM(R195:R196),2)</f>
        <v>1787437.64</v>
      </c>
      <c r="S197" s="1684"/>
      <c r="T197" s="2218"/>
      <c r="U197" s="562">
        <f>+H197</f>
        <v>3055741.8299999996</v>
      </c>
      <c r="V197" s="562"/>
      <c r="W197" s="562"/>
      <c r="X197" s="1348">
        <f>+O197+R197</f>
        <v>3106683.8941900223</v>
      </c>
      <c r="Y197" s="562">
        <f>+U197-X197</f>
        <v>-50942.064190022647</v>
      </c>
    </row>
    <row r="198" spans="2:25" s="18" customFormat="1" ht="12.75">
      <c r="D198" s="97"/>
      <c r="E198" s="523"/>
      <c r="F198" s="523"/>
      <c r="G198" s="523"/>
      <c r="J198" s="1208"/>
      <c r="K198" s="97"/>
      <c r="L198" s="1433"/>
      <c r="M198" s="524"/>
      <c r="N198" s="524"/>
      <c r="O198" s="524"/>
      <c r="P198" s="524"/>
      <c r="Q198" s="1707"/>
      <c r="R198" s="26"/>
    </row>
    <row r="199" spans="2:25" s="18" customFormat="1" ht="15">
      <c r="D199" s="97"/>
      <c r="E199" s="523"/>
      <c r="F199" s="523"/>
      <c r="G199" s="523"/>
      <c r="H199" s="26"/>
      <c r="I199" s="1909">
        <f>I191-H191</f>
        <v>50942.088099998422</v>
      </c>
      <c r="J199" s="1208"/>
      <c r="K199" s="1825"/>
      <c r="L199" s="1433"/>
      <c r="M199" s="1709"/>
      <c r="N199" s="524">
        <f>+K191+M191</f>
        <v>1253979.8083377001</v>
      </c>
      <c r="O199" s="524">
        <f>+R191+O191</f>
        <v>2917415.5083377003</v>
      </c>
      <c r="P199" s="524"/>
      <c r="Q199" s="1710"/>
      <c r="R199" s="26"/>
    </row>
    <row r="200" spans="2:25" s="18" customFormat="1">
      <c r="D200" s="1711"/>
      <c r="E200" s="523"/>
      <c r="F200" s="523">
        <v>457948.8995</v>
      </c>
      <c r="G200" s="523"/>
      <c r="H200" s="26">
        <v>15398736.550000001</v>
      </c>
      <c r="I200" s="26"/>
      <c r="J200" s="1209"/>
      <c r="K200" s="1825">
        <v>616776.95999999996</v>
      </c>
      <c r="L200" s="1433"/>
      <c r="M200" s="524"/>
      <c r="N200" s="1709">
        <f>+M201-N191</f>
        <v>-0.12982557521989341</v>
      </c>
      <c r="O200" s="524">
        <f>+N200*H191</f>
        <v>-372141.5634472153</v>
      </c>
      <c r="P200" s="524"/>
      <c r="Q200" s="1710"/>
      <c r="S200" s="200"/>
      <c r="T200" s="200"/>
    </row>
    <row r="201" spans="2:25" s="18" customFormat="1">
      <c r="D201" s="97">
        <v>6.4802882051551394E-2</v>
      </c>
      <c r="E201" s="523"/>
      <c r="F201" s="523"/>
      <c r="G201" s="523"/>
      <c r="H201" s="26"/>
      <c r="I201" s="26"/>
      <c r="J201" s="1209"/>
      <c r="K201" s="1712"/>
      <c r="L201" s="1713"/>
      <c r="M201" s="524">
        <v>0.3</v>
      </c>
      <c r="N201" s="524"/>
      <c r="O201" s="524"/>
      <c r="P201" s="524"/>
      <c r="Q201" s="1710"/>
      <c r="R201" s="26"/>
      <c r="S201" s="1714">
        <f>+R197+H197</f>
        <v>4843179.47</v>
      </c>
      <c r="T201" s="1714"/>
      <c r="U201" s="1715"/>
    </row>
    <row r="202" spans="2:25" s="18" customFormat="1">
      <c r="D202" s="1910">
        <f>+H191*D201</f>
        <v>185755.74035935031</v>
      </c>
      <c r="E202" s="97"/>
      <c r="F202" s="97"/>
      <c r="G202" s="97"/>
      <c r="H202" s="26">
        <f>+H200-H191</f>
        <v>12532263.108100001</v>
      </c>
      <c r="I202" s="26"/>
      <c r="J202" s="1209"/>
      <c r="K202" s="1405">
        <f>+K200-K192</f>
        <v>577606.74989925022</v>
      </c>
      <c r="L202" s="1433"/>
      <c r="M202" s="524"/>
      <c r="N202" s="524"/>
      <c r="O202" s="524"/>
      <c r="P202" s="524"/>
      <c r="Q202" s="1710"/>
    </row>
    <row r="203" spans="2:25">
      <c r="F203" s="1237">
        <f>+H192/H191</f>
        <v>4.1769011944803779E-2</v>
      </c>
      <c r="H203" s="1716"/>
      <c r="I203" s="1716"/>
      <c r="J203" s="1716"/>
      <c r="K203" s="1320"/>
      <c r="M203" s="1717" t="e">
        <f>SUM(#REF!)</f>
        <v>#REF!</v>
      </c>
      <c r="N203" s="1718" t="e">
        <f>SUM(#REF!)</f>
        <v>#REF!</v>
      </c>
      <c r="O203" s="1718"/>
      <c r="P203" s="1718"/>
      <c r="Q203" s="1710"/>
      <c r="X203" s="1215"/>
    </row>
    <row r="204" spans="2:25">
      <c r="F204" s="1237">
        <f>+H193/H191</f>
        <v>9.4454202045251689E-3</v>
      </c>
      <c r="H204" s="1716"/>
      <c r="I204" s="1716"/>
      <c r="J204" s="1716"/>
      <c r="K204" s="1320">
        <v>3211.18999999994</v>
      </c>
      <c r="L204" s="1435"/>
      <c r="M204" s="1717"/>
      <c r="N204" s="1718"/>
      <c r="O204" s="1718"/>
      <c r="P204" s="1718"/>
      <c r="Q204" s="1710"/>
      <c r="X204" s="1215"/>
    </row>
    <row r="205" spans="2:25">
      <c r="H205" s="1716"/>
      <c r="I205" s="1716"/>
      <c r="J205" s="1716"/>
      <c r="K205" s="1321"/>
      <c r="L205" s="1435"/>
      <c r="M205" s="1717"/>
      <c r="N205" s="1709" t="e">
        <f>+N203/H191</f>
        <v>#REF!</v>
      </c>
      <c r="O205" s="1718"/>
      <c r="P205" s="1718"/>
      <c r="Q205" s="1710"/>
      <c r="R205" s="1719"/>
      <c r="X205" s="1215"/>
    </row>
    <row r="206" spans="2:25" ht="15.75">
      <c r="D206" s="1237"/>
      <c r="H206" s="1716"/>
      <c r="I206" s="1716"/>
      <c r="J206" s="1716"/>
      <c r="K206" s="1302"/>
      <c r="L206" s="1435"/>
      <c r="M206" s="1717">
        <f>SUM(M153:M190)</f>
        <v>51580.697499999995</v>
      </c>
      <c r="N206" s="1718"/>
      <c r="O206" s="1718"/>
      <c r="P206" s="1718"/>
      <c r="Q206" s="1710"/>
      <c r="R206" s="1719"/>
      <c r="X206" s="1215"/>
    </row>
    <row r="207" spans="2:25">
      <c r="H207" s="1716"/>
      <c r="I207" s="1716"/>
      <c r="J207" s="1716"/>
      <c r="K207" s="18"/>
      <c r="L207" s="1435"/>
      <c r="M207" s="1717"/>
      <c r="N207" s="1718"/>
      <c r="O207" s="1718"/>
      <c r="P207" s="1718"/>
      <c r="Q207" s="1710"/>
      <c r="R207" s="1719"/>
      <c r="X207" s="1215"/>
    </row>
    <row r="208" spans="2:25">
      <c r="H208" s="1716"/>
      <c r="I208" s="1716"/>
      <c r="J208" s="1716"/>
      <c r="K208" s="1716"/>
      <c r="L208" s="1435"/>
      <c r="M208" s="1717"/>
      <c r="N208" s="1718"/>
      <c r="O208" s="1718"/>
      <c r="P208" s="1718"/>
      <c r="Q208" s="1710"/>
      <c r="R208" s="1719"/>
      <c r="X208" s="1215"/>
    </row>
    <row r="209" spans="8:24">
      <c r="H209" s="1716"/>
      <c r="I209" s="1716"/>
      <c r="J209" s="1716"/>
      <c r="K209" s="1716"/>
      <c r="L209" s="1435"/>
      <c r="M209" s="1717"/>
      <c r="N209" s="1718"/>
      <c r="O209" s="1718"/>
      <c r="P209" s="1718"/>
      <c r="Q209" s="1710"/>
      <c r="R209" s="1719"/>
      <c r="X209" s="1215"/>
    </row>
    <row r="210" spans="8:24">
      <c r="H210" s="1716"/>
      <c r="I210" s="1716"/>
      <c r="J210" s="1716"/>
      <c r="K210" s="1716"/>
      <c r="L210" s="1435"/>
      <c r="M210" s="1717"/>
      <c r="N210" s="1718"/>
      <c r="O210" s="1718"/>
      <c r="P210" s="1718"/>
      <c r="Q210" s="1710"/>
      <c r="R210" s="1719"/>
      <c r="X210" s="1215"/>
    </row>
    <row r="211" spans="8:24">
      <c r="H211" s="1716"/>
      <c r="I211" s="1716"/>
      <c r="J211" s="1716"/>
      <c r="K211" s="1716"/>
      <c r="L211" s="1435"/>
      <c r="M211" s="1717"/>
      <c r="N211" s="1718"/>
      <c r="O211" s="1718"/>
      <c r="P211" s="1718"/>
      <c r="Q211" s="1710"/>
      <c r="R211" s="1719"/>
      <c r="X211" s="1215"/>
    </row>
    <row r="212" spans="8:24">
      <c r="H212" s="1716"/>
      <c r="I212" s="1716"/>
      <c r="J212" s="1716"/>
      <c r="K212" s="1716"/>
      <c r="L212" s="1435"/>
      <c r="M212" s="1717"/>
      <c r="N212" s="1718"/>
      <c r="O212" s="1718"/>
      <c r="P212" s="1718"/>
      <c r="Q212" s="1710"/>
      <c r="R212" s="1719"/>
      <c r="X212" s="1215"/>
    </row>
    <row r="213" spans="8:24">
      <c r="H213" s="1716"/>
      <c r="I213" s="1716"/>
      <c r="J213" s="1716"/>
      <c r="K213" s="1720"/>
      <c r="L213" s="1435"/>
      <c r="M213" s="1717"/>
      <c r="N213" s="1718"/>
      <c r="O213" s="1718"/>
      <c r="P213" s="1718"/>
      <c r="Q213" s="1710"/>
      <c r="R213" s="1719"/>
      <c r="X213" s="1215"/>
    </row>
    <row r="214" spans="8:24">
      <c r="H214" s="1716"/>
      <c r="I214" s="1716"/>
      <c r="J214" s="1716"/>
      <c r="K214" s="1716"/>
      <c r="L214" s="1435"/>
      <c r="M214" s="1717"/>
      <c r="N214" s="1718"/>
      <c r="O214" s="1718"/>
      <c r="P214" s="1718"/>
      <c r="Q214" s="1710"/>
      <c r="R214" s="1719"/>
      <c r="X214" s="1215"/>
    </row>
  </sheetData>
  <autoFilter ref="C1:C214" xr:uid="{00000000-0009-0000-0000-00001F000000}"/>
  <mergeCells count="30">
    <mergeCell ref="X13:Z13"/>
    <mergeCell ref="K13:K14"/>
    <mergeCell ref="L13:L14"/>
    <mergeCell ref="M13:M14"/>
    <mergeCell ref="N13:N14"/>
    <mergeCell ref="O13:O14"/>
    <mergeCell ref="P13:P14"/>
    <mergeCell ref="Q11:S12"/>
    <mergeCell ref="J12:K12"/>
    <mergeCell ref="L12:M12"/>
    <mergeCell ref="N12:P12"/>
    <mergeCell ref="E13:E14"/>
    <mergeCell ref="F13:F14"/>
    <mergeCell ref="G13:G14"/>
    <mergeCell ref="H13:H14"/>
    <mergeCell ref="I13:I14"/>
    <mergeCell ref="J13:J14"/>
    <mergeCell ref="Q13:Q14"/>
    <mergeCell ref="R13:R14"/>
    <mergeCell ref="S13:S14"/>
    <mergeCell ref="B1:S1"/>
    <mergeCell ref="B2:S2"/>
    <mergeCell ref="B3:S3"/>
    <mergeCell ref="B4:S4"/>
    <mergeCell ref="R6:S6"/>
    <mergeCell ref="B11:B14"/>
    <mergeCell ref="C11:C14"/>
    <mergeCell ref="D11:D14"/>
    <mergeCell ref="E11:H12"/>
    <mergeCell ref="J11:P11"/>
  </mergeCells>
  <conditionalFormatting sqref="S198:T1048576 S6:T17 S2:T3 S22:T196 S18:S21">
    <cfRule type="cellIs" dxfId="2" priority="3" operator="lessThan">
      <formula>0</formula>
    </cfRule>
  </conditionalFormatting>
  <conditionalFormatting sqref="Q192:Q196 Q198:Q1048576 Q6:Q190 Q2:Q3">
    <cfRule type="cellIs" dxfId="1" priority="1" operator="lessThan">
      <formula>0</formula>
    </cfRule>
    <cfRule type="cellIs" dxfId="0" priority="2" operator="lessThan">
      <formula>0</formula>
    </cfRule>
  </conditionalFormatting>
  <pageMargins left="0.25" right="0.25" top="0.75" bottom="0.75" header="0.3" footer="0.3"/>
  <pageSetup paperSize="9" scale="59" fitToHeight="0" orientation="landscape" r:id="rId1"/>
  <rowBreaks count="4" manualBreakCount="4">
    <brk id="62" min="1" max="18" man="1"/>
    <brk id="110" min="1" max="18" man="1"/>
    <brk id="158" min="1" max="18" man="1"/>
    <brk id="198"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BN54"/>
  <sheetViews>
    <sheetView topLeftCell="A32" workbookViewId="0"/>
  </sheetViews>
  <sheetFormatPr baseColWidth="10" defaultRowHeight="12.75"/>
  <cols>
    <col min="1" max="1" width="3.42578125" style="18" customWidth="1"/>
    <col min="2" max="2" width="5.42578125" style="18" bestFit="1" customWidth="1"/>
    <col min="3" max="3" width="43.42578125" style="18" customWidth="1"/>
    <col min="4" max="4" width="7.5703125" style="18" customWidth="1"/>
    <col min="5" max="5" width="14.42578125" style="18" customWidth="1"/>
    <col min="6" max="6" width="12.42578125" style="26" customWidth="1"/>
    <col min="7" max="7" width="13" style="26" customWidth="1"/>
    <col min="8" max="8" width="11.5703125" style="26" customWidth="1"/>
    <col min="9" max="9" width="11.42578125" style="49" customWidth="1"/>
    <col min="10" max="10" width="14" style="49" customWidth="1"/>
    <col min="11" max="11" width="8.42578125" style="18" customWidth="1"/>
    <col min="12" max="12" width="7.42578125" style="18" bestFit="1" customWidth="1"/>
    <col min="13" max="13" width="5.5703125" style="18" customWidth="1"/>
    <col min="14" max="14" width="19.42578125" style="18" bestFit="1" customWidth="1"/>
    <col min="15" max="256" width="11.5703125" style="18"/>
    <col min="257" max="257" width="3.42578125" style="18" customWidth="1"/>
    <col min="258" max="258" width="5.42578125" style="18" bestFit="1" customWidth="1"/>
    <col min="259" max="259" width="43.42578125" style="18" customWidth="1"/>
    <col min="260" max="260" width="7.5703125" style="18" customWidth="1"/>
    <col min="261" max="261" width="14.42578125" style="18" customWidth="1"/>
    <col min="262" max="262" width="12.42578125" style="18" customWidth="1"/>
    <col min="263" max="263" width="13" style="18" customWidth="1"/>
    <col min="264" max="264" width="11.5703125" style="18" customWidth="1"/>
    <col min="265" max="265" width="11.42578125" style="18" customWidth="1"/>
    <col min="266" max="266" width="14" style="18" customWidth="1"/>
    <col min="267" max="267" width="8.42578125" style="18" customWidth="1"/>
    <col min="268" max="268" width="7.42578125" style="18" bestFit="1" customWidth="1"/>
    <col min="269" max="269" width="5.5703125" style="18" customWidth="1"/>
    <col min="270" max="270" width="19.42578125" style="18" bestFit="1" customWidth="1"/>
    <col min="271" max="512" width="11.5703125" style="18"/>
    <col min="513" max="513" width="3.42578125" style="18" customWidth="1"/>
    <col min="514" max="514" width="5.42578125" style="18" bestFit="1" customWidth="1"/>
    <col min="515" max="515" width="43.42578125" style="18" customWidth="1"/>
    <col min="516" max="516" width="7.5703125" style="18" customWidth="1"/>
    <col min="517" max="517" width="14.42578125" style="18" customWidth="1"/>
    <col min="518" max="518" width="12.42578125" style="18" customWidth="1"/>
    <col min="519" max="519" width="13" style="18" customWidth="1"/>
    <col min="520" max="520" width="11.5703125" style="18" customWidth="1"/>
    <col min="521" max="521" width="11.42578125" style="18" customWidth="1"/>
    <col min="522" max="522" width="14" style="18" customWidth="1"/>
    <col min="523" max="523" width="8.42578125" style="18" customWidth="1"/>
    <col min="524" max="524" width="7.42578125" style="18" bestFit="1" customWidth="1"/>
    <col min="525" max="525" width="5.5703125" style="18" customWidth="1"/>
    <col min="526" max="526" width="19.42578125" style="18" bestFit="1" customWidth="1"/>
    <col min="527" max="768" width="11.5703125" style="18"/>
    <col min="769" max="769" width="3.42578125" style="18" customWidth="1"/>
    <col min="770" max="770" width="5.42578125" style="18" bestFit="1" customWidth="1"/>
    <col min="771" max="771" width="43.42578125" style="18" customWidth="1"/>
    <col min="772" max="772" width="7.5703125" style="18" customWidth="1"/>
    <col min="773" max="773" width="14.42578125" style="18" customWidth="1"/>
    <col min="774" max="774" width="12.42578125" style="18" customWidth="1"/>
    <col min="775" max="775" width="13" style="18" customWidth="1"/>
    <col min="776" max="776" width="11.5703125" style="18" customWidth="1"/>
    <col min="777" max="777" width="11.42578125" style="18" customWidth="1"/>
    <col min="778" max="778" width="14" style="18" customWidth="1"/>
    <col min="779" max="779" width="8.42578125" style="18" customWidth="1"/>
    <col min="780" max="780" width="7.42578125" style="18" bestFit="1" customWidth="1"/>
    <col min="781" max="781" width="5.5703125" style="18" customWidth="1"/>
    <col min="782" max="782" width="19.42578125" style="18" bestFit="1" customWidth="1"/>
    <col min="783" max="1024" width="11.5703125" style="18"/>
    <col min="1025" max="1025" width="3.42578125" style="18" customWidth="1"/>
    <col min="1026" max="1026" width="5.42578125" style="18" bestFit="1" customWidth="1"/>
    <col min="1027" max="1027" width="43.42578125" style="18" customWidth="1"/>
    <col min="1028" max="1028" width="7.5703125" style="18" customWidth="1"/>
    <col min="1029" max="1029" width="14.42578125" style="18" customWidth="1"/>
    <col min="1030" max="1030" width="12.42578125" style="18" customWidth="1"/>
    <col min="1031" max="1031" width="13" style="18" customWidth="1"/>
    <col min="1032" max="1032" width="11.5703125" style="18" customWidth="1"/>
    <col min="1033" max="1033" width="11.42578125" style="18" customWidth="1"/>
    <col min="1034" max="1034" width="14" style="18" customWidth="1"/>
    <col min="1035" max="1035" width="8.42578125" style="18" customWidth="1"/>
    <col min="1036" max="1036" width="7.42578125" style="18" bestFit="1" customWidth="1"/>
    <col min="1037" max="1037" width="5.5703125" style="18" customWidth="1"/>
    <col min="1038" max="1038" width="19.42578125" style="18" bestFit="1" customWidth="1"/>
    <col min="1039" max="1280" width="11.5703125" style="18"/>
    <col min="1281" max="1281" width="3.42578125" style="18" customWidth="1"/>
    <col min="1282" max="1282" width="5.42578125" style="18" bestFit="1" customWidth="1"/>
    <col min="1283" max="1283" width="43.42578125" style="18" customWidth="1"/>
    <col min="1284" max="1284" width="7.5703125" style="18" customWidth="1"/>
    <col min="1285" max="1285" width="14.42578125" style="18" customWidth="1"/>
    <col min="1286" max="1286" width="12.42578125" style="18" customWidth="1"/>
    <col min="1287" max="1287" width="13" style="18" customWidth="1"/>
    <col min="1288" max="1288" width="11.5703125" style="18" customWidth="1"/>
    <col min="1289" max="1289" width="11.42578125" style="18" customWidth="1"/>
    <col min="1290" max="1290" width="14" style="18" customWidth="1"/>
    <col min="1291" max="1291" width="8.42578125" style="18" customWidth="1"/>
    <col min="1292" max="1292" width="7.42578125" style="18" bestFit="1" customWidth="1"/>
    <col min="1293" max="1293" width="5.5703125" style="18" customWidth="1"/>
    <col min="1294" max="1294" width="19.42578125" style="18" bestFit="1" customWidth="1"/>
    <col min="1295" max="1536" width="11.5703125" style="18"/>
    <col min="1537" max="1537" width="3.42578125" style="18" customWidth="1"/>
    <col min="1538" max="1538" width="5.42578125" style="18" bestFit="1" customWidth="1"/>
    <col min="1539" max="1539" width="43.42578125" style="18" customWidth="1"/>
    <col min="1540" max="1540" width="7.5703125" style="18" customWidth="1"/>
    <col min="1541" max="1541" width="14.42578125" style="18" customWidth="1"/>
    <col min="1542" max="1542" width="12.42578125" style="18" customWidth="1"/>
    <col min="1543" max="1543" width="13" style="18" customWidth="1"/>
    <col min="1544" max="1544" width="11.5703125" style="18" customWidth="1"/>
    <col min="1545" max="1545" width="11.42578125" style="18" customWidth="1"/>
    <col min="1546" max="1546" width="14" style="18" customWidth="1"/>
    <col min="1547" max="1547" width="8.42578125" style="18" customWidth="1"/>
    <col min="1548" max="1548" width="7.42578125" style="18" bestFit="1" customWidth="1"/>
    <col min="1549" max="1549" width="5.5703125" style="18" customWidth="1"/>
    <col min="1550" max="1550" width="19.42578125" style="18" bestFit="1" customWidth="1"/>
    <col min="1551" max="1792" width="11.5703125" style="18"/>
    <col min="1793" max="1793" width="3.42578125" style="18" customWidth="1"/>
    <col min="1794" max="1794" width="5.42578125" style="18" bestFit="1" customWidth="1"/>
    <col min="1795" max="1795" width="43.42578125" style="18" customWidth="1"/>
    <col min="1796" max="1796" width="7.5703125" style="18" customWidth="1"/>
    <col min="1797" max="1797" width="14.42578125" style="18" customWidth="1"/>
    <col min="1798" max="1798" width="12.42578125" style="18" customWidth="1"/>
    <col min="1799" max="1799" width="13" style="18" customWidth="1"/>
    <col min="1800" max="1800" width="11.5703125" style="18" customWidth="1"/>
    <col min="1801" max="1801" width="11.42578125" style="18" customWidth="1"/>
    <col min="1802" max="1802" width="14" style="18" customWidth="1"/>
    <col min="1803" max="1803" width="8.42578125" style="18" customWidth="1"/>
    <col min="1804" max="1804" width="7.42578125" style="18" bestFit="1" customWidth="1"/>
    <col min="1805" max="1805" width="5.5703125" style="18" customWidth="1"/>
    <col min="1806" max="1806" width="19.42578125" style="18" bestFit="1" customWidth="1"/>
    <col min="1807" max="2048" width="11.5703125" style="18"/>
    <col min="2049" max="2049" width="3.42578125" style="18" customWidth="1"/>
    <col min="2050" max="2050" width="5.42578125" style="18" bestFit="1" customWidth="1"/>
    <col min="2051" max="2051" width="43.42578125" style="18" customWidth="1"/>
    <col min="2052" max="2052" width="7.5703125" style="18" customWidth="1"/>
    <col min="2053" max="2053" width="14.42578125" style="18" customWidth="1"/>
    <col min="2054" max="2054" width="12.42578125" style="18" customWidth="1"/>
    <col min="2055" max="2055" width="13" style="18" customWidth="1"/>
    <col min="2056" max="2056" width="11.5703125" style="18" customWidth="1"/>
    <col min="2057" max="2057" width="11.42578125" style="18" customWidth="1"/>
    <col min="2058" max="2058" width="14" style="18" customWidth="1"/>
    <col min="2059" max="2059" width="8.42578125" style="18" customWidth="1"/>
    <col min="2060" max="2060" width="7.42578125" style="18" bestFit="1" customWidth="1"/>
    <col min="2061" max="2061" width="5.5703125" style="18" customWidth="1"/>
    <col min="2062" max="2062" width="19.42578125" style="18" bestFit="1" customWidth="1"/>
    <col min="2063" max="2304" width="11.5703125" style="18"/>
    <col min="2305" max="2305" width="3.42578125" style="18" customWidth="1"/>
    <col min="2306" max="2306" width="5.42578125" style="18" bestFit="1" customWidth="1"/>
    <col min="2307" max="2307" width="43.42578125" style="18" customWidth="1"/>
    <col min="2308" max="2308" width="7.5703125" style="18" customWidth="1"/>
    <col min="2309" max="2309" width="14.42578125" style="18" customWidth="1"/>
    <col min="2310" max="2310" width="12.42578125" style="18" customWidth="1"/>
    <col min="2311" max="2311" width="13" style="18" customWidth="1"/>
    <col min="2312" max="2312" width="11.5703125" style="18" customWidth="1"/>
    <col min="2313" max="2313" width="11.42578125" style="18" customWidth="1"/>
    <col min="2314" max="2314" width="14" style="18" customWidth="1"/>
    <col min="2315" max="2315" width="8.42578125" style="18" customWidth="1"/>
    <col min="2316" max="2316" width="7.42578125" style="18" bestFit="1" customWidth="1"/>
    <col min="2317" max="2317" width="5.5703125" style="18" customWidth="1"/>
    <col min="2318" max="2318" width="19.42578125" style="18" bestFit="1" customWidth="1"/>
    <col min="2319" max="2560" width="11.5703125" style="18"/>
    <col min="2561" max="2561" width="3.42578125" style="18" customWidth="1"/>
    <col min="2562" max="2562" width="5.42578125" style="18" bestFit="1" customWidth="1"/>
    <col min="2563" max="2563" width="43.42578125" style="18" customWidth="1"/>
    <col min="2564" max="2564" width="7.5703125" style="18" customWidth="1"/>
    <col min="2565" max="2565" width="14.42578125" style="18" customWidth="1"/>
    <col min="2566" max="2566" width="12.42578125" style="18" customWidth="1"/>
    <col min="2567" max="2567" width="13" style="18" customWidth="1"/>
    <col min="2568" max="2568" width="11.5703125" style="18" customWidth="1"/>
    <col min="2569" max="2569" width="11.42578125" style="18" customWidth="1"/>
    <col min="2570" max="2570" width="14" style="18" customWidth="1"/>
    <col min="2571" max="2571" width="8.42578125" style="18" customWidth="1"/>
    <col min="2572" max="2572" width="7.42578125" style="18" bestFit="1" customWidth="1"/>
    <col min="2573" max="2573" width="5.5703125" style="18" customWidth="1"/>
    <col min="2574" max="2574" width="19.42578125" style="18" bestFit="1" customWidth="1"/>
    <col min="2575" max="2816" width="11.5703125" style="18"/>
    <col min="2817" max="2817" width="3.42578125" style="18" customWidth="1"/>
    <col min="2818" max="2818" width="5.42578125" style="18" bestFit="1" customWidth="1"/>
    <col min="2819" max="2819" width="43.42578125" style="18" customWidth="1"/>
    <col min="2820" max="2820" width="7.5703125" style="18" customWidth="1"/>
    <col min="2821" max="2821" width="14.42578125" style="18" customWidth="1"/>
    <col min="2822" max="2822" width="12.42578125" style="18" customWidth="1"/>
    <col min="2823" max="2823" width="13" style="18" customWidth="1"/>
    <col min="2824" max="2824" width="11.5703125" style="18" customWidth="1"/>
    <col min="2825" max="2825" width="11.42578125" style="18" customWidth="1"/>
    <col min="2826" max="2826" width="14" style="18" customWidth="1"/>
    <col min="2827" max="2827" width="8.42578125" style="18" customWidth="1"/>
    <col min="2828" max="2828" width="7.42578125" style="18" bestFit="1" customWidth="1"/>
    <col min="2829" max="2829" width="5.5703125" style="18" customWidth="1"/>
    <col min="2830" max="2830" width="19.42578125" style="18" bestFit="1" customWidth="1"/>
    <col min="2831" max="3072" width="11.5703125" style="18"/>
    <col min="3073" max="3073" width="3.42578125" style="18" customWidth="1"/>
    <col min="3074" max="3074" width="5.42578125" style="18" bestFit="1" customWidth="1"/>
    <col min="3075" max="3075" width="43.42578125" style="18" customWidth="1"/>
    <col min="3076" max="3076" width="7.5703125" style="18" customWidth="1"/>
    <col min="3077" max="3077" width="14.42578125" style="18" customWidth="1"/>
    <col min="3078" max="3078" width="12.42578125" style="18" customWidth="1"/>
    <col min="3079" max="3079" width="13" style="18" customWidth="1"/>
    <col min="3080" max="3080" width="11.5703125" style="18" customWidth="1"/>
    <col min="3081" max="3081" width="11.42578125" style="18" customWidth="1"/>
    <col min="3082" max="3082" width="14" style="18" customWidth="1"/>
    <col min="3083" max="3083" width="8.42578125" style="18" customWidth="1"/>
    <col min="3084" max="3084" width="7.42578125" style="18" bestFit="1" customWidth="1"/>
    <col min="3085" max="3085" width="5.5703125" style="18" customWidth="1"/>
    <col min="3086" max="3086" width="19.42578125" style="18" bestFit="1" customWidth="1"/>
    <col min="3087" max="3328" width="11.5703125" style="18"/>
    <col min="3329" max="3329" width="3.42578125" style="18" customWidth="1"/>
    <col min="3330" max="3330" width="5.42578125" style="18" bestFit="1" customWidth="1"/>
    <col min="3331" max="3331" width="43.42578125" style="18" customWidth="1"/>
    <col min="3332" max="3332" width="7.5703125" style="18" customWidth="1"/>
    <col min="3333" max="3333" width="14.42578125" style="18" customWidth="1"/>
    <col min="3334" max="3334" width="12.42578125" style="18" customWidth="1"/>
    <col min="3335" max="3335" width="13" style="18" customWidth="1"/>
    <col min="3336" max="3336" width="11.5703125" style="18" customWidth="1"/>
    <col min="3337" max="3337" width="11.42578125" style="18" customWidth="1"/>
    <col min="3338" max="3338" width="14" style="18" customWidth="1"/>
    <col min="3339" max="3339" width="8.42578125" style="18" customWidth="1"/>
    <col min="3340" max="3340" width="7.42578125" style="18" bestFit="1" customWidth="1"/>
    <col min="3341" max="3341" width="5.5703125" style="18" customWidth="1"/>
    <col min="3342" max="3342" width="19.42578125" style="18" bestFit="1" customWidth="1"/>
    <col min="3343" max="3584" width="11.5703125" style="18"/>
    <col min="3585" max="3585" width="3.42578125" style="18" customWidth="1"/>
    <col min="3586" max="3586" width="5.42578125" style="18" bestFit="1" customWidth="1"/>
    <col min="3587" max="3587" width="43.42578125" style="18" customWidth="1"/>
    <col min="3588" max="3588" width="7.5703125" style="18" customWidth="1"/>
    <col min="3589" max="3589" width="14.42578125" style="18" customWidth="1"/>
    <col min="3590" max="3590" width="12.42578125" style="18" customWidth="1"/>
    <col min="3591" max="3591" width="13" style="18" customWidth="1"/>
    <col min="3592" max="3592" width="11.5703125" style="18" customWidth="1"/>
    <col min="3593" max="3593" width="11.42578125" style="18" customWidth="1"/>
    <col min="3594" max="3594" width="14" style="18" customWidth="1"/>
    <col min="3595" max="3595" width="8.42578125" style="18" customWidth="1"/>
    <col min="3596" max="3596" width="7.42578125" style="18" bestFit="1" customWidth="1"/>
    <col min="3597" max="3597" width="5.5703125" style="18" customWidth="1"/>
    <col min="3598" max="3598" width="19.42578125" style="18" bestFit="1" customWidth="1"/>
    <col min="3599" max="3840" width="11.5703125" style="18"/>
    <col min="3841" max="3841" width="3.42578125" style="18" customWidth="1"/>
    <col min="3842" max="3842" width="5.42578125" style="18" bestFit="1" customWidth="1"/>
    <col min="3843" max="3843" width="43.42578125" style="18" customWidth="1"/>
    <col min="3844" max="3844" width="7.5703125" style="18" customWidth="1"/>
    <col min="3845" max="3845" width="14.42578125" style="18" customWidth="1"/>
    <col min="3846" max="3846" width="12.42578125" style="18" customWidth="1"/>
    <col min="3847" max="3847" width="13" style="18" customWidth="1"/>
    <col min="3848" max="3848" width="11.5703125" style="18" customWidth="1"/>
    <col min="3849" max="3849" width="11.42578125" style="18" customWidth="1"/>
    <col min="3850" max="3850" width="14" style="18" customWidth="1"/>
    <col min="3851" max="3851" width="8.42578125" style="18" customWidth="1"/>
    <col min="3852" max="3852" width="7.42578125" style="18" bestFit="1" customWidth="1"/>
    <col min="3853" max="3853" width="5.5703125" style="18" customWidth="1"/>
    <col min="3854" max="3854" width="19.42578125" style="18" bestFit="1" customWidth="1"/>
    <col min="3855" max="4096" width="11.5703125" style="18"/>
    <col min="4097" max="4097" width="3.42578125" style="18" customWidth="1"/>
    <col min="4098" max="4098" width="5.42578125" style="18" bestFit="1" customWidth="1"/>
    <col min="4099" max="4099" width="43.42578125" style="18" customWidth="1"/>
    <col min="4100" max="4100" width="7.5703125" style="18" customWidth="1"/>
    <col min="4101" max="4101" width="14.42578125" style="18" customWidth="1"/>
    <col min="4102" max="4102" width="12.42578125" style="18" customWidth="1"/>
    <col min="4103" max="4103" width="13" style="18" customWidth="1"/>
    <col min="4104" max="4104" width="11.5703125" style="18" customWidth="1"/>
    <col min="4105" max="4105" width="11.42578125" style="18" customWidth="1"/>
    <col min="4106" max="4106" width="14" style="18" customWidth="1"/>
    <col min="4107" max="4107" width="8.42578125" style="18" customWidth="1"/>
    <col min="4108" max="4108" width="7.42578125" style="18" bestFit="1" customWidth="1"/>
    <col min="4109" max="4109" width="5.5703125" style="18" customWidth="1"/>
    <col min="4110" max="4110" width="19.42578125" style="18" bestFit="1" customWidth="1"/>
    <col min="4111" max="4352" width="11.5703125" style="18"/>
    <col min="4353" max="4353" width="3.42578125" style="18" customWidth="1"/>
    <col min="4354" max="4354" width="5.42578125" style="18" bestFit="1" customWidth="1"/>
    <col min="4355" max="4355" width="43.42578125" style="18" customWidth="1"/>
    <col min="4356" max="4356" width="7.5703125" style="18" customWidth="1"/>
    <col min="4357" max="4357" width="14.42578125" style="18" customWidth="1"/>
    <col min="4358" max="4358" width="12.42578125" style="18" customWidth="1"/>
    <col min="4359" max="4359" width="13" style="18" customWidth="1"/>
    <col min="4360" max="4360" width="11.5703125" style="18" customWidth="1"/>
    <col min="4361" max="4361" width="11.42578125" style="18" customWidth="1"/>
    <col min="4362" max="4362" width="14" style="18" customWidth="1"/>
    <col min="4363" max="4363" width="8.42578125" style="18" customWidth="1"/>
    <col min="4364" max="4364" width="7.42578125" style="18" bestFit="1" customWidth="1"/>
    <col min="4365" max="4365" width="5.5703125" style="18" customWidth="1"/>
    <col min="4366" max="4366" width="19.42578125" style="18" bestFit="1" customWidth="1"/>
    <col min="4367" max="4608" width="11.5703125" style="18"/>
    <col min="4609" max="4609" width="3.42578125" style="18" customWidth="1"/>
    <col min="4610" max="4610" width="5.42578125" style="18" bestFit="1" customWidth="1"/>
    <col min="4611" max="4611" width="43.42578125" style="18" customWidth="1"/>
    <col min="4612" max="4612" width="7.5703125" style="18" customWidth="1"/>
    <col min="4613" max="4613" width="14.42578125" style="18" customWidth="1"/>
    <col min="4614" max="4614" width="12.42578125" style="18" customWidth="1"/>
    <col min="4615" max="4615" width="13" style="18" customWidth="1"/>
    <col min="4616" max="4616" width="11.5703125" style="18" customWidth="1"/>
    <col min="4617" max="4617" width="11.42578125" style="18" customWidth="1"/>
    <col min="4618" max="4618" width="14" style="18" customWidth="1"/>
    <col min="4619" max="4619" width="8.42578125" style="18" customWidth="1"/>
    <col min="4620" max="4620" width="7.42578125" style="18" bestFit="1" customWidth="1"/>
    <col min="4621" max="4621" width="5.5703125" style="18" customWidth="1"/>
    <col min="4622" max="4622" width="19.42578125" style="18" bestFit="1" customWidth="1"/>
    <col min="4623" max="4864" width="11.5703125" style="18"/>
    <col min="4865" max="4865" width="3.42578125" style="18" customWidth="1"/>
    <col min="4866" max="4866" width="5.42578125" style="18" bestFit="1" customWidth="1"/>
    <col min="4867" max="4867" width="43.42578125" style="18" customWidth="1"/>
    <col min="4868" max="4868" width="7.5703125" style="18" customWidth="1"/>
    <col min="4869" max="4869" width="14.42578125" style="18" customWidth="1"/>
    <col min="4870" max="4870" width="12.42578125" style="18" customWidth="1"/>
    <col min="4871" max="4871" width="13" style="18" customWidth="1"/>
    <col min="4872" max="4872" width="11.5703125" style="18" customWidth="1"/>
    <col min="4873" max="4873" width="11.42578125" style="18" customWidth="1"/>
    <col min="4874" max="4874" width="14" style="18" customWidth="1"/>
    <col min="4875" max="4875" width="8.42578125" style="18" customWidth="1"/>
    <col min="4876" max="4876" width="7.42578125" style="18" bestFit="1" customWidth="1"/>
    <col min="4877" max="4877" width="5.5703125" style="18" customWidth="1"/>
    <col min="4878" max="4878" width="19.42578125" style="18" bestFit="1" customWidth="1"/>
    <col min="4879" max="5120" width="11.5703125" style="18"/>
    <col min="5121" max="5121" width="3.42578125" style="18" customWidth="1"/>
    <col min="5122" max="5122" width="5.42578125" style="18" bestFit="1" customWidth="1"/>
    <col min="5123" max="5123" width="43.42578125" style="18" customWidth="1"/>
    <col min="5124" max="5124" width="7.5703125" style="18" customWidth="1"/>
    <col min="5125" max="5125" width="14.42578125" style="18" customWidth="1"/>
    <col min="5126" max="5126" width="12.42578125" style="18" customWidth="1"/>
    <col min="5127" max="5127" width="13" style="18" customWidth="1"/>
    <col min="5128" max="5128" width="11.5703125" style="18" customWidth="1"/>
    <col min="5129" max="5129" width="11.42578125" style="18" customWidth="1"/>
    <col min="5130" max="5130" width="14" style="18" customWidth="1"/>
    <col min="5131" max="5131" width="8.42578125" style="18" customWidth="1"/>
    <col min="5132" max="5132" width="7.42578125" style="18" bestFit="1" customWidth="1"/>
    <col min="5133" max="5133" width="5.5703125" style="18" customWidth="1"/>
    <col min="5134" max="5134" width="19.42578125" style="18" bestFit="1" customWidth="1"/>
    <col min="5135" max="5376" width="11.5703125" style="18"/>
    <col min="5377" max="5377" width="3.42578125" style="18" customWidth="1"/>
    <col min="5378" max="5378" width="5.42578125" style="18" bestFit="1" customWidth="1"/>
    <col min="5379" max="5379" width="43.42578125" style="18" customWidth="1"/>
    <col min="5380" max="5380" width="7.5703125" style="18" customWidth="1"/>
    <col min="5381" max="5381" width="14.42578125" style="18" customWidth="1"/>
    <col min="5382" max="5382" width="12.42578125" style="18" customWidth="1"/>
    <col min="5383" max="5383" width="13" style="18" customWidth="1"/>
    <col min="5384" max="5384" width="11.5703125" style="18" customWidth="1"/>
    <col min="5385" max="5385" width="11.42578125" style="18" customWidth="1"/>
    <col min="5386" max="5386" width="14" style="18" customWidth="1"/>
    <col min="5387" max="5387" width="8.42578125" style="18" customWidth="1"/>
    <col min="5388" max="5388" width="7.42578125" style="18" bestFit="1" customWidth="1"/>
    <col min="5389" max="5389" width="5.5703125" style="18" customWidth="1"/>
    <col min="5390" max="5390" width="19.42578125" style="18" bestFit="1" customWidth="1"/>
    <col min="5391" max="5632" width="11.5703125" style="18"/>
    <col min="5633" max="5633" width="3.42578125" style="18" customWidth="1"/>
    <col min="5634" max="5634" width="5.42578125" style="18" bestFit="1" customWidth="1"/>
    <col min="5635" max="5635" width="43.42578125" style="18" customWidth="1"/>
    <col min="5636" max="5636" width="7.5703125" style="18" customWidth="1"/>
    <col min="5637" max="5637" width="14.42578125" style="18" customWidth="1"/>
    <col min="5638" max="5638" width="12.42578125" style="18" customWidth="1"/>
    <col min="5639" max="5639" width="13" style="18" customWidth="1"/>
    <col min="5640" max="5640" width="11.5703125" style="18" customWidth="1"/>
    <col min="5641" max="5641" width="11.42578125" style="18" customWidth="1"/>
    <col min="5642" max="5642" width="14" style="18" customWidth="1"/>
    <col min="5643" max="5643" width="8.42578125" style="18" customWidth="1"/>
    <col min="5644" max="5644" width="7.42578125" style="18" bestFit="1" customWidth="1"/>
    <col min="5645" max="5645" width="5.5703125" style="18" customWidth="1"/>
    <col min="5646" max="5646" width="19.42578125" style="18" bestFit="1" customWidth="1"/>
    <col min="5647" max="5888" width="11.5703125" style="18"/>
    <col min="5889" max="5889" width="3.42578125" style="18" customWidth="1"/>
    <col min="5890" max="5890" width="5.42578125" style="18" bestFit="1" customWidth="1"/>
    <col min="5891" max="5891" width="43.42578125" style="18" customWidth="1"/>
    <col min="5892" max="5892" width="7.5703125" style="18" customWidth="1"/>
    <col min="5893" max="5893" width="14.42578125" style="18" customWidth="1"/>
    <col min="5894" max="5894" width="12.42578125" style="18" customWidth="1"/>
    <col min="5895" max="5895" width="13" style="18" customWidth="1"/>
    <col min="5896" max="5896" width="11.5703125" style="18" customWidth="1"/>
    <col min="5897" max="5897" width="11.42578125" style="18" customWidth="1"/>
    <col min="5898" max="5898" width="14" style="18" customWidth="1"/>
    <col min="5899" max="5899" width="8.42578125" style="18" customWidth="1"/>
    <col min="5900" max="5900" width="7.42578125" style="18" bestFit="1" customWidth="1"/>
    <col min="5901" max="5901" width="5.5703125" style="18" customWidth="1"/>
    <col min="5902" max="5902" width="19.42578125" style="18" bestFit="1" customWidth="1"/>
    <col min="5903" max="6144" width="11.5703125" style="18"/>
    <col min="6145" max="6145" width="3.42578125" style="18" customWidth="1"/>
    <col min="6146" max="6146" width="5.42578125" style="18" bestFit="1" customWidth="1"/>
    <col min="6147" max="6147" width="43.42578125" style="18" customWidth="1"/>
    <col min="6148" max="6148" width="7.5703125" style="18" customWidth="1"/>
    <col min="6149" max="6149" width="14.42578125" style="18" customWidth="1"/>
    <col min="6150" max="6150" width="12.42578125" style="18" customWidth="1"/>
    <col min="6151" max="6151" width="13" style="18" customWidth="1"/>
    <col min="6152" max="6152" width="11.5703125" style="18" customWidth="1"/>
    <col min="6153" max="6153" width="11.42578125" style="18" customWidth="1"/>
    <col min="6154" max="6154" width="14" style="18" customWidth="1"/>
    <col min="6155" max="6155" width="8.42578125" style="18" customWidth="1"/>
    <col min="6156" max="6156" width="7.42578125" style="18" bestFit="1" customWidth="1"/>
    <col min="6157" max="6157" width="5.5703125" style="18" customWidth="1"/>
    <col min="6158" max="6158" width="19.42578125" style="18" bestFit="1" customWidth="1"/>
    <col min="6159" max="6400" width="11.5703125" style="18"/>
    <col min="6401" max="6401" width="3.42578125" style="18" customWidth="1"/>
    <col min="6402" max="6402" width="5.42578125" style="18" bestFit="1" customWidth="1"/>
    <col min="6403" max="6403" width="43.42578125" style="18" customWidth="1"/>
    <col min="6404" max="6404" width="7.5703125" style="18" customWidth="1"/>
    <col min="6405" max="6405" width="14.42578125" style="18" customWidth="1"/>
    <col min="6406" max="6406" width="12.42578125" style="18" customWidth="1"/>
    <col min="6407" max="6407" width="13" style="18" customWidth="1"/>
    <col min="6408" max="6408" width="11.5703125" style="18" customWidth="1"/>
    <col min="6409" max="6409" width="11.42578125" style="18" customWidth="1"/>
    <col min="6410" max="6410" width="14" style="18" customWidth="1"/>
    <col min="6411" max="6411" width="8.42578125" style="18" customWidth="1"/>
    <col min="6412" max="6412" width="7.42578125" style="18" bestFit="1" customWidth="1"/>
    <col min="6413" max="6413" width="5.5703125" style="18" customWidth="1"/>
    <col min="6414" max="6414" width="19.42578125" style="18" bestFit="1" customWidth="1"/>
    <col min="6415" max="6656" width="11.5703125" style="18"/>
    <col min="6657" max="6657" width="3.42578125" style="18" customWidth="1"/>
    <col min="6658" max="6658" width="5.42578125" style="18" bestFit="1" customWidth="1"/>
    <col min="6659" max="6659" width="43.42578125" style="18" customWidth="1"/>
    <col min="6660" max="6660" width="7.5703125" style="18" customWidth="1"/>
    <col min="6661" max="6661" width="14.42578125" style="18" customWidth="1"/>
    <col min="6662" max="6662" width="12.42578125" style="18" customWidth="1"/>
    <col min="6663" max="6663" width="13" style="18" customWidth="1"/>
    <col min="6664" max="6664" width="11.5703125" style="18" customWidth="1"/>
    <col min="6665" max="6665" width="11.42578125" style="18" customWidth="1"/>
    <col min="6666" max="6666" width="14" style="18" customWidth="1"/>
    <col min="6667" max="6667" width="8.42578125" style="18" customWidth="1"/>
    <col min="6668" max="6668" width="7.42578125" style="18" bestFit="1" customWidth="1"/>
    <col min="6669" max="6669" width="5.5703125" style="18" customWidth="1"/>
    <col min="6670" max="6670" width="19.42578125" style="18" bestFit="1" customWidth="1"/>
    <col min="6671" max="6912" width="11.5703125" style="18"/>
    <col min="6913" max="6913" width="3.42578125" style="18" customWidth="1"/>
    <col min="6914" max="6914" width="5.42578125" style="18" bestFit="1" customWidth="1"/>
    <col min="6915" max="6915" width="43.42578125" style="18" customWidth="1"/>
    <col min="6916" max="6916" width="7.5703125" style="18" customWidth="1"/>
    <col min="6917" max="6917" width="14.42578125" style="18" customWidth="1"/>
    <col min="6918" max="6918" width="12.42578125" style="18" customWidth="1"/>
    <col min="6919" max="6919" width="13" style="18" customWidth="1"/>
    <col min="6920" max="6920" width="11.5703125" style="18" customWidth="1"/>
    <col min="6921" max="6921" width="11.42578125" style="18" customWidth="1"/>
    <col min="6922" max="6922" width="14" style="18" customWidth="1"/>
    <col min="6923" max="6923" width="8.42578125" style="18" customWidth="1"/>
    <col min="6924" max="6924" width="7.42578125" style="18" bestFit="1" customWidth="1"/>
    <col min="6925" max="6925" width="5.5703125" style="18" customWidth="1"/>
    <col min="6926" max="6926" width="19.42578125" style="18" bestFit="1" customWidth="1"/>
    <col min="6927" max="7168" width="11.5703125" style="18"/>
    <col min="7169" max="7169" width="3.42578125" style="18" customWidth="1"/>
    <col min="7170" max="7170" width="5.42578125" style="18" bestFit="1" customWidth="1"/>
    <col min="7171" max="7171" width="43.42578125" style="18" customWidth="1"/>
    <col min="7172" max="7172" width="7.5703125" style="18" customWidth="1"/>
    <col min="7173" max="7173" width="14.42578125" style="18" customWidth="1"/>
    <col min="7174" max="7174" width="12.42578125" style="18" customWidth="1"/>
    <col min="7175" max="7175" width="13" style="18" customWidth="1"/>
    <col min="7176" max="7176" width="11.5703125" style="18" customWidth="1"/>
    <col min="7177" max="7177" width="11.42578125" style="18" customWidth="1"/>
    <col min="7178" max="7178" width="14" style="18" customWidth="1"/>
    <col min="7179" max="7179" width="8.42578125" style="18" customWidth="1"/>
    <col min="7180" max="7180" width="7.42578125" style="18" bestFit="1" customWidth="1"/>
    <col min="7181" max="7181" width="5.5703125" style="18" customWidth="1"/>
    <col min="7182" max="7182" width="19.42578125" style="18" bestFit="1" customWidth="1"/>
    <col min="7183" max="7424" width="11.5703125" style="18"/>
    <col min="7425" max="7425" width="3.42578125" style="18" customWidth="1"/>
    <col min="7426" max="7426" width="5.42578125" style="18" bestFit="1" customWidth="1"/>
    <col min="7427" max="7427" width="43.42578125" style="18" customWidth="1"/>
    <col min="7428" max="7428" width="7.5703125" style="18" customWidth="1"/>
    <col min="7429" max="7429" width="14.42578125" style="18" customWidth="1"/>
    <col min="7430" max="7430" width="12.42578125" style="18" customWidth="1"/>
    <col min="7431" max="7431" width="13" style="18" customWidth="1"/>
    <col min="7432" max="7432" width="11.5703125" style="18" customWidth="1"/>
    <col min="7433" max="7433" width="11.42578125" style="18" customWidth="1"/>
    <col min="7434" max="7434" width="14" style="18" customWidth="1"/>
    <col min="7435" max="7435" width="8.42578125" style="18" customWidth="1"/>
    <col min="7436" max="7436" width="7.42578125" style="18" bestFit="1" customWidth="1"/>
    <col min="7437" max="7437" width="5.5703125" style="18" customWidth="1"/>
    <col min="7438" max="7438" width="19.42578125" style="18" bestFit="1" customWidth="1"/>
    <col min="7439" max="7680" width="11.5703125" style="18"/>
    <col min="7681" max="7681" width="3.42578125" style="18" customWidth="1"/>
    <col min="7682" max="7682" width="5.42578125" style="18" bestFit="1" customWidth="1"/>
    <col min="7683" max="7683" width="43.42578125" style="18" customWidth="1"/>
    <col min="7684" max="7684" width="7.5703125" style="18" customWidth="1"/>
    <col min="7685" max="7685" width="14.42578125" style="18" customWidth="1"/>
    <col min="7686" max="7686" width="12.42578125" style="18" customWidth="1"/>
    <col min="7687" max="7687" width="13" style="18" customWidth="1"/>
    <col min="7688" max="7688" width="11.5703125" style="18" customWidth="1"/>
    <col min="7689" max="7689" width="11.42578125" style="18" customWidth="1"/>
    <col min="7690" max="7690" width="14" style="18" customWidth="1"/>
    <col min="7691" max="7691" width="8.42578125" style="18" customWidth="1"/>
    <col min="7692" max="7692" width="7.42578125" style="18" bestFit="1" customWidth="1"/>
    <col min="7693" max="7693" width="5.5703125" style="18" customWidth="1"/>
    <col min="7694" max="7694" width="19.42578125" style="18" bestFit="1" customWidth="1"/>
    <col min="7695" max="7936" width="11.5703125" style="18"/>
    <col min="7937" max="7937" width="3.42578125" style="18" customWidth="1"/>
    <col min="7938" max="7938" width="5.42578125" style="18" bestFit="1" customWidth="1"/>
    <col min="7939" max="7939" width="43.42578125" style="18" customWidth="1"/>
    <col min="7940" max="7940" width="7.5703125" style="18" customWidth="1"/>
    <col min="7941" max="7941" width="14.42578125" style="18" customWidth="1"/>
    <col min="7942" max="7942" width="12.42578125" style="18" customWidth="1"/>
    <col min="7943" max="7943" width="13" style="18" customWidth="1"/>
    <col min="7944" max="7944" width="11.5703125" style="18" customWidth="1"/>
    <col min="7945" max="7945" width="11.42578125" style="18" customWidth="1"/>
    <col min="7946" max="7946" width="14" style="18" customWidth="1"/>
    <col min="7947" max="7947" width="8.42578125" style="18" customWidth="1"/>
    <col min="7948" max="7948" width="7.42578125" style="18" bestFit="1" customWidth="1"/>
    <col min="7949" max="7949" width="5.5703125" style="18" customWidth="1"/>
    <col min="7950" max="7950" width="19.42578125" style="18" bestFit="1" customWidth="1"/>
    <col min="7951" max="8192" width="11.5703125" style="18"/>
    <col min="8193" max="8193" width="3.42578125" style="18" customWidth="1"/>
    <col min="8194" max="8194" width="5.42578125" style="18" bestFit="1" customWidth="1"/>
    <col min="8195" max="8195" width="43.42578125" style="18" customWidth="1"/>
    <col min="8196" max="8196" width="7.5703125" style="18" customWidth="1"/>
    <col min="8197" max="8197" width="14.42578125" style="18" customWidth="1"/>
    <col min="8198" max="8198" width="12.42578125" style="18" customWidth="1"/>
    <col min="8199" max="8199" width="13" style="18" customWidth="1"/>
    <col min="8200" max="8200" width="11.5703125" style="18" customWidth="1"/>
    <col min="8201" max="8201" width="11.42578125" style="18" customWidth="1"/>
    <col min="8202" max="8202" width="14" style="18" customWidth="1"/>
    <col min="8203" max="8203" width="8.42578125" style="18" customWidth="1"/>
    <col min="8204" max="8204" width="7.42578125" style="18" bestFit="1" customWidth="1"/>
    <col min="8205" max="8205" width="5.5703125" style="18" customWidth="1"/>
    <col min="8206" max="8206" width="19.42578125" style="18" bestFit="1" customWidth="1"/>
    <col min="8207" max="8448" width="11.5703125" style="18"/>
    <col min="8449" max="8449" width="3.42578125" style="18" customWidth="1"/>
    <col min="8450" max="8450" width="5.42578125" style="18" bestFit="1" customWidth="1"/>
    <col min="8451" max="8451" width="43.42578125" style="18" customWidth="1"/>
    <col min="8452" max="8452" width="7.5703125" style="18" customWidth="1"/>
    <col min="8453" max="8453" width="14.42578125" style="18" customWidth="1"/>
    <col min="8454" max="8454" width="12.42578125" style="18" customWidth="1"/>
    <col min="8455" max="8455" width="13" style="18" customWidth="1"/>
    <col min="8456" max="8456" width="11.5703125" style="18" customWidth="1"/>
    <col min="8457" max="8457" width="11.42578125" style="18" customWidth="1"/>
    <col min="8458" max="8458" width="14" style="18" customWidth="1"/>
    <col min="8459" max="8459" width="8.42578125" style="18" customWidth="1"/>
    <col min="8460" max="8460" width="7.42578125" style="18" bestFit="1" customWidth="1"/>
    <col min="8461" max="8461" width="5.5703125" style="18" customWidth="1"/>
    <col min="8462" max="8462" width="19.42578125" style="18" bestFit="1" customWidth="1"/>
    <col min="8463" max="8704" width="11.5703125" style="18"/>
    <col min="8705" max="8705" width="3.42578125" style="18" customWidth="1"/>
    <col min="8706" max="8706" width="5.42578125" style="18" bestFit="1" customWidth="1"/>
    <col min="8707" max="8707" width="43.42578125" style="18" customWidth="1"/>
    <col min="8708" max="8708" width="7.5703125" style="18" customWidth="1"/>
    <col min="8709" max="8709" width="14.42578125" style="18" customWidth="1"/>
    <col min="8710" max="8710" width="12.42578125" style="18" customWidth="1"/>
    <col min="8711" max="8711" width="13" style="18" customWidth="1"/>
    <col min="8712" max="8712" width="11.5703125" style="18" customWidth="1"/>
    <col min="8713" max="8713" width="11.42578125" style="18" customWidth="1"/>
    <col min="8714" max="8714" width="14" style="18" customWidth="1"/>
    <col min="8715" max="8715" width="8.42578125" style="18" customWidth="1"/>
    <col min="8716" max="8716" width="7.42578125" style="18" bestFit="1" customWidth="1"/>
    <col min="8717" max="8717" width="5.5703125" style="18" customWidth="1"/>
    <col min="8718" max="8718" width="19.42578125" style="18" bestFit="1" customWidth="1"/>
    <col min="8719" max="8960" width="11.5703125" style="18"/>
    <col min="8961" max="8961" width="3.42578125" style="18" customWidth="1"/>
    <col min="8962" max="8962" width="5.42578125" style="18" bestFit="1" customWidth="1"/>
    <col min="8963" max="8963" width="43.42578125" style="18" customWidth="1"/>
    <col min="8964" max="8964" width="7.5703125" style="18" customWidth="1"/>
    <col min="8965" max="8965" width="14.42578125" style="18" customWidth="1"/>
    <col min="8966" max="8966" width="12.42578125" style="18" customWidth="1"/>
    <col min="8967" max="8967" width="13" style="18" customWidth="1"/>
    <col min="8968" max="8968" width="11.5703125" style="18" customWidth="1"/>
    <col min="8969" max="8969" width="11.42578125" style="18" customWidth="1"/>
    <col min="8970" max="8970" width="14" style="18" customWidth="1"/>
    <col min="8971" max="8971" width="8.42578125" style="18" customWidth="1"/>
    <col min="8972" max="8972" width="7.42578125" style="18" bestFit="1" customWidth="1"/>
    <col min="8973" max="8973" width="5.5703125" style="18" customWidth="1"/>
    <col min="8974" max="8974" width="19.42578125" style="18" bestFit="1" customWidth="1"/>
    <col min="8975" max="9216" width="11.5703125" style="18"/>
    <col min="9217" max="9217" width="3.42578125" style="18" customWidth="1"/>
    <col min="9218" max="9218" width="5.42578125" style="18" bestFit="1" customWidth="1"/>
    <col min="9219" max="9219" width="43.42578125" style="18" customWidth="1"/>
    <col min="9220" max="9220" width="7.5703125" style="18" customWidth="1"/>
    <col min="9221" max="9221" width="14.42578125" style="18" customWidth="1"/>
    <col min="9222" max="9222" width="12.42578125" style="18" customWidth="1"/>
    <col min="9223" max="9223" width="13" style="18" customWidth="1"/>
    <col min="9224" max="9224" width="11.5703125" style="18" customWidth="1"/>
    <col min="9225" max="9225" width="11.42578125" style="18" customWidth="1"/>
    <col min="9226" max="9226" width="14" style="18" customWidth="1"/>
    <col min="9227" max="9227" width="8.42578125" style="18" customWidth="1"/>
    <col min="9228" max="9228" width="7.42578125" style="18" bestFit="1" customWidth="1"/>
    <col min="9229" max="9229" width="5.5703125" style="18" customWidth="1"/>
    <col min="9230" max="9230" width="19.42578125" style="18" bestFit="1" customWidth="1"/>
    <col min="9231" max="9472" width="11.5703125" style="18"/>
    <col min="9473" max="9473" width="3.42578125" style="18" customWidth="1"/>
    <col min="9474" max="9474" width="5.42578125" style="18" bestFit="1" customWidth="1"/>
    <col min="9475" max="9475" width="43.42578125" style="18" customWidth="1"/>
    <col min="9476" max="9476" width="7.5703125" style="18" customWidth="1"/>
    <col min="9477" max="9477" width="14.42578125" style="18" customWidth="1"/>
    <col min="9478" max="9478" width="12.42578125" style="18" customWidth="1"/>
    <col min="9479" max="9479" width="13" style="18" customWidth="1"/>
    <col min="9480" max="9480" width="11.5703125" style="18" customWidth="1"/>
    <col min="9481" max="9481" width="11.42578125" style="18" customWidth="1"/>
    <col min="9482" max="9482" width="14" style="18" customWidth="1"/>
    <col min="9483" max="9483" width="8.42578125" style="18" customWidth="1"/>
    <col min="9484" max="9484" width="7.42578125" style="18" bestFit="1" customWidth="1"/>
    <col min="9485" max="9485" width="5.5703125" style="18" customWidth="1"/>
    <col min="9486" max="9486" width="19.42578125" style="18" bestFit="1" customWidth="1"/>
    <col min="9487" max="9728" width="11.5703125" style="18"/>
    <col min="9729" max="9729" width="3.42578125" style="18" customWidth="1"/>
    <col min="9730" max="9730" width="5.42578125" style="18" bestFit="1" customWidth="1"/>
    <col min="9731" max="9731" width="43.42578125" style="18" customWidth="1"/>
    <col min="9732" max="9732" width="7.5703125" style="18" customWidth="1"/>
    <col min="9733" max="9733" width="14.42578125" style="18" customWidth="1"/>
    <col min="9734" max="9734" width="12.42578125" style="18" customWidth="1"/>
    <col min="9735" max="9735" width="13" style="18" customWidth="1"/>
    <col min="9736" max="9736" width="11.5703125" style="18" customWidth="1"/>
    <col min="9737" max="9737" width="11.42578125" style="18" customWidth="1"/>
    <col min="9738" max="9738" width="14" style="18" customWidth="1"/>
    <col min="9739" max="9739" width="8.42578125" style="18" customWidth="1"/>
    <col min="9740" max="9740" width="7.42578125" style="18" bestFit="1" customWidth="1"/>
    <col min="9741" max="9741" width="5.5703125" style="18" customWidth="1"/>
    <col min="9742" max="9742" width="19.42578125" style="18" bestFit="1" customWidth="1"/>
    <col min="9743" max="9984" width="11.5703125" style="18"/>
    <col min="9985" max="9985" width="3.42578125" style="18" customWidth="1"/>
    <col min="9986" max="9986" width="5.42578125" style="18" bestFit="1" customWidth="1"/>
    <col min="9987" max="9987" width="43.42578125" style="18" customWidth="1"/>
    <col min="9988" max="9988" width="7.5703125" style="18" customWidth="1"/>
    <col min="9989" max="9989" width="14.42578125" style="18" customWidth="1"/>
    <col min="9990" max="9990" width="12.42578125" style="18" customWidth="1"/>
    <col min="9991" max="9991" width="13" style="18" customWidth="1"/>
    <col min="9992" max="9992" width="11.5703125" style="18" customWidth="1"/>
    <col min="9993" max="9993" width="11.42578125" style="18" customWidth="1"/>
    <col min="9994" max="9994" width="14" style="18" customWidth="1"/>
    <col min="9995" max="9995" width="8.42578125" style="18" customWidth="1"/>
    <col min="9996" max="9996" width="7.42578125" style="18" bestFit="1" customWidth="1"/>
    <col min="9997" max="9997" width="5.5703125" style="18" customWidth="1"/>
    <col min="9998" max="9998" width="19.42578125" style="18" bestFit="1" customWidth="1"/>
    <col min="9999" max="10240" width="11.5703125" style="18"/>
    <col min="10241" max="10241" width="3.42578125" style="18" customWidth="1"/>
    <col min="10242" max="10242" width="5.42578125" style="18" bestFit="1" customWidth="1"/>
    <col min="10243" max="10243" width="43.42578125" style="18" customWidth="1"/>
    <col min="10244" max="10244" width="7.5703125" style="18" customWidth="1"/>
    <col min="10245" max="10245" width="14.42578125" style="18" customWidth="1"/>
    <col min="10246" max="10246" width="12.42578125" style="18" customWidth="1"/>
    <col min="10247" max="10247" width="13" style="18" customWidth="1"/>
    <col min="10248" max="10248" width="11.5703125" style="18" customWidth="1"/>
    <col min="10249" max="10249" width="11.42578125" style="18" customWidth="1"/>
    <col min="10250" max="10250" width="14" style="18" customWidth="1"/>
    <col min="10251" max="10251" width="8.42578125" style="18" customWidth="1"/>
    <col min="10252" max="10252" width="7.42578125" style="18" bestFit="1" customWidth="1"/>
    <col min="10253" max="10253" width="5.5703125" style="18" customWidth="1"/>
    <col min="10254" max="10254" width="19.42578125" style="18" bestFit="1" customWidth="1"/>
    <col min="10255" max="10496" width="11.5703125" style="18"/>
    <col min="10497" max="10497" width="3.42578125" style="18" customWidth="1"/>
    <col min="10498" max="10498" width="5.42578125" style="18" bestFit="1" customWidth="1"/>
    <col min="10499" max="10499" width="43.42578125" style="18" customWidth="1"/>
    <col min="10500" max="10500" width="7.5703125" style="18" customWidth="1"/>
    <col min="10501" max="10501" width="14.42578125" style="18" customWidth="1"/>
    <col min="10502" max="10502" width="12.42578125" style="18" customWidth="1"/>
    <col min="10503" max="10503" width="13" style="18" customWidth="1"/>
    <col min="10504" max="10504" width="11.5703125" style="18" customWidth="1"/>
    <col min="10505" max="10505" width="11.42578125" style="18" customWidth="1"/>
    <col min="10506" max="10506" width="14" style="18" customWidth="1"/>
    <col min="10507" max="10507" width="8.42578125" style="18" customWidth="1"/>
    <col min="10508" max="10508" width="7.42578125" style="18" bestFit="1" customWidth="1"/>
    <col min="10509" max="10509" width="5.5703125" style="18" customWidth="1"/>
    <col min="10510" max="10510" width="19.42578125" style="18" bestFit="1" customWidth="1"/>
    <col min="10511" max="10752" width="11.5703125" style="18"/>
    <col min="10753" max="10753" width="3.42578125" style="18" customWidth="1"/>
    <col min="10754" max="10754" width="5.42578125" style="18" bestFit="1" customWidth="1"/>
    <col min="10755" max="10755" width="43.42578125" style="18" customWidth="1"/>
    <col min="10756" max="10756" width="7.5703125" style="18" customWidth="1"/>
    <col min="10757" max="10757" width="14.42578125" style="18" customWidth="1"/>
    <col min="10758" max="10758" width="12.42578125" style="18" customWidth="1"/>
    <col min="10759" max="10759" width="13" style="18" customWidth="1"/>
    <col min="10760" max="10760" width="11.5703125" style="18" customWidth="1"/>
    <col min="10761" max="10761" width="11.42578125" style="18" customWidth="1"/>
    <col min="10762" max="10762" width="14" style="18" customWidth="1"/>
    <col min="10763" max="10763" width="8.42578125" style="18" customWidth="1"/>
    <col min="10764" max="10764" width="7.42578125" style="18" bestFit="1" customWidth="1"/>
    <col min="10765" max="10765" width="5.5703125" style="18" customWidth="1"/>
    <col min="10766" max="10766" width="19.42578125" style="18" bestFit="1" customWidth="1"/>
    <col min="10767" max="11008" width="11.5703125" style="18"/>
    <col min="11009" max="11009" width="3.42578125" style="18" customWidth="1"/>
    <col min="11010" max="11010" width="5.42578125" style="18" bestFit="1" customWidth="1"/>
    <col min="11011" max="11011" width="43.42578125" style="18" customWidth="1"/>
    <col min="11012" max="11012" width="7.5703125" style="18" customWidth="1"/>
    <col min="11013" max="11013" width="14.42578125" style="18" customWidth="1"/>
    <col min="11014" max="11014" width="12.42578125" style="18" customWidth="1"/>
    <col min="11015" max="11015" width="13" style="18" customWidth="1"/>
    <col min="11016" max="11016" width="11.5703125" style="18" customWidth="1"/>
    <col min="11017" max="11017" width="11.42578125" style="18" customWidth="1"/>
    <col min="11018" max="11018" width="14" style="18" customWidth="1"/>
    <col min="11019" max="11019" width="8.42578125" style="18" customWidth="1"/>
    <col min="11020" max="11020" width="7.42578125" style="18" bestFit="1" customWidth="1"/>
    <col min="11021" max="11021" width="5.5703125" style="18" customWidth="1"/>
    <col min="11022" max="11022" width="19.42578125" style="18" bestFit="1" customWidth="1"/>
    <col min="11023" max="11264" width="11.5703125" style="18"/>
    <col min="11265" max="11265" width="3.42578125" style="18" customWidth="1"/>
    <col min="11266" max="11266" width="5.42578125" style="18" bestFit="1" customWidth="1"/>
    <col min="11267" max="11267" width="43.42578125" style="18" customWidth="1"/>
    <col min="11268" max="11268" width="7.5703125" style="18" customWidth="1"/>
    <col min="11269" max="11269" width="14.42578125" style="18" customWidth="1"/>
    <col min="11270" max="11270" width="12.42578125" style="18" customWidth="1"/>
    <col min="11271" max="11271" width="13" style="18" customWidth="1"/>
    <col min="11272" max="11272" width="11.5703125" style="18" customWidth="1"/>
    <col min="11273" max="11273" width="11.42578125" style="18" customWidth="1"/>
    <col min="11274" max="11274" width="14" style="18" customWidth="1"/>
    <col min="11275" max="11275" width="8.42578125" style="18" customWidth="1"/>
    <col min="11276" max="11276" width="7.42578125" style="18" bestFit="1" customWidth="1"/>
    <col min="11277" max="11277" width="5.5703125" style="18" customWidth="1"/>
    <col min="11278" max="11278" width="19.42578125" style="18" bestFit="1" customWidth="1"/>
    <col min="11279" max="11520" width="11.5703125" style="18"/>
    <col min="11521" max="11521" width="3.42578125" style="18" customWidth="1"/>
    <col min="11522" max="11522" width="5.42578125" style="18" bestFit="1" customWidth="1"/>
    <col min="11523" max="11523" width="43.42578125" style="18" customWidth="1"/>
    <col min="11524" max="11524" width="7.5703125" style="18" customWidth="1"/>
    <col min="11525" max="11525" width="14.42578125" style="18" customWidth="1"/>
    <col min="11526" max="11526" width="12.42578125" style="18" customWidth="1"/>
    <col min="11527" max="11527" width="13" style="18" customWidth="1"/>
    <col min="11528" max="11528" width="11.5703125" style="18" customWidth="1"/>
    <col min="11529" max="11529" width="11.42578125" style="18" customWidth="1"/>
    <col min="11530" max="11530" width="14" style="18" customWidth="1"/>
    <col min="11531" max="11531" width="8.42578125" style="18" customWidth="1"/>
    <col min="11532" max="11532" width="7.42578125" style="18" bestFit="1" customWidth="1"/>
    <col min="11533" max="11533" width="5.5703125" style="18" customWidth="1"/>
    <col min="11534" max="11534" width="19.42578125" style="18" bestFit="1" customWidth="1"/>
    <col min="11535" max="11776" width="11.5703125" style="18"/>
    <col min="11777" max="11777" width="3.42578125" style="18" customWidth="1"/>
    <col min="11778" max="11778" width="5.42578125" style="18" bestFit="1" customWidth="1"/>
    <col min="11779" max="11779" width="43.42578125" style="18" customWidth="1"/>
    <col min="11780" max="11780" width="7.5703125" style="18" customWidth="1"/>
    <col min="11781" max="11781" width="14.42578125" style="18" customWidth="1"/>
    <col min="11782" max="11782" width="12.42578125" style="18" customWidth="1"/>
    <col min="11783" max="11783" width="13" style="18" customWidth="1"/>
    <col min="11784" max="11784" width="11.5703125" style="18" customWidth="1"/>
    <col min="11785" max="11785" width="11.42578125" style="18" customWidth="1"/>
    <col min="11786" max="11786" width="14" style="18" customWidth="1"/>
    <col min="11787" max="11787" width="8.42578125" style="18" customWidth="1"/>
    <col min="11788" max="11788" width="7.42578125" style="18" bestFit="1" customWidth="1"/>
    <col min="11789" max="11789" width="5.5703125" style="18" customWidth="1"/>
    <col min="11790" max="11790" width="19.42578125" style="18" bestFit="1" customWidth="1"/>
    <col min="11791" max="12032" width="11.5703125" style="18"/>
    <col min="12033" max="12033" width="3.42578125" style="18" customWidth="1"/>
    <col min="12034" max="12034" width="5.42578125" style="18" bestFit="1" customWidth="1"/>
    <col min="12035" max="12035" width="43.42578125" style="18" customWidth="1"/>
    <col min="12036" max="12036" width="7.5703125" style="18" customWidth="1"/>
    <col min="12037" max="12037" width="14.42578125" style="18" customWidth="1"/>
    <col min="12038" max="12038" width="12.42578125" style="18" customWidth="1"/>
    <col min="12039" max="12039" width="13" style="18" customWidth="1"/>
    <col min="12040" max="12040" width="11.5703125" style="18" customWidth="1"/>
    <col min="12041" max="12041" width="11.42578125" style="18" customWidth="1"/>
    <col min="12042" max="12042" width="14" style="18" customWidth="1"/>
    <col min="12043" max="12043" width="8.42578125" style="18" customWidth="1"/>
    <col min="12044" max="12044" width="7.42578125" style="18" bestFit="1" customWidth="1"/>
    <col min="12045" max="12045" width="5.5703125" style="18" customWidth="1"/>
    <col min="12046" max="12046" width="19.42578125" style="18" bestFit="1" customWidth="1"/>
    <col min="12047" max="12288" width="11.5703125" style="18"/>
    <col min="12289" max="12289" width="3.42578125" style="18" customWidth="1"/>
    <col min="12290" max="12290" width="5.42578125" style="18" bestFit="1" customWidth="1"/>
    <col min="12291" max="12291" width="43.42578125" style="18" customWidth="1"/>
    <col min="12292" max="12292" width="7.5703125" style="18" customWidth="1"/>
    <col min="12293" max="12293" width="14.42578125" style="18" customWidth="1"/>
    <col min="12294" max="12294" width="12.42578125" style="18" customWidth="1"/>
    <col min="12295" max="12295" width="13" style="18" customWidth="1"/>
    <col min="12296" max="12296" width="11.5703125" style="18" customWidth="1"/>
    <col min="12297" max="12297" width="11.42578125" style="18" customWidth="1"/>
    <col min="12298" max="12298" width="14" style="18" customWidth="1"/>
    <col min="12299" max="12299" width="8.42578125" style="18" customWidth="1"/>
    <col min="12300" max="12300" width="7.42578125" style="18" bestFit="1" customWidth="1"/>
    <col min="12301" max="12301" width="5.5703125" style="18" customWidth="1"/>
    <col min="12302" max="12302" width="19.42578125" style="18" bestFit="1" customWidth="1"/>
    <col min="12303" max="12544" width="11.5703125" style="18"/>
    <col min="12545" max="12545" width="3.42578125" style="18" customWidth="1"/>
    <col min="12546" max="12546" width="5.42578125" style="18" bestFit="1" customWidth="1"/>
    <col min="12547" max="12547" width="43.42578125" style="18" customWidth="1"/>
    <col min="12548" max="12548" width="7.5703125" style="18" customWidth="1"/>
    <col min="12549" max="12549" width="14.42578125" style="18" customWidth="1"/>
    <col min="12550" max="12550" width="12.42578125" style="18" customWidth="1"/>
    <col min="12551" max="12551" width="13" style="18" customWidth="1"/>
    <col min="12552" max="12552" width="11.5703125" style="18" customWidth="1"/>
    <col min="12553" max="12553" width="11.42578125" style="18" customWidth="1"/>
    <col min="12554" max="12554" width="14" style="18" customWidth="1"/>
    <col min="12555" max="12555" width="8.42578125" style="18" customWidth="1"/>
    <col min="12556" max="12556" width="7.42578125" style="18" bestFit="1" customWidth="1"/>
    <col min="12557" max="12557" width="5.5703125" style="18" customWidth="1"/>
    <col min="12558" max="12558" width="19.42578125" style="18" bestFit="1" customWidth="1"/>
    <col min="12559" max="12800" width="11.5703125" style="18"/>
    <col min="12801" max="12801" width="3.42578125" style="18" customWidth="1"/>
    <col min="12802" max="12802" width="5.42578125" style="18" bestFit="1" customWidth="1"/>
    <col min="12803" max="12803" width="43.42578125" style="18" customWidth="1"/>
    <col min="12804" max="12804" width="7.5703125" style="18" customWidth="1"/>
    <col min="12805" max="12805" width="14.42578125" style="18" customWidth="1"/>
    <col min="12806" max="12806" width="12.42578125" style="18" customWidth="1"/>
    <col min="12807" max="12807" width="13" style="18" customWidth="1"/>
    <col min="12808" max="12808" width="11.5703125" style="18" customWidth="1"/>
    <col min="12809" max="12809" width="11.42578125" style="18" customWidth="1"/>
    <col min="12810" max="12810" width="14" style="18" customWidth="1"/>
    <col min="12811" max="12811" width="8.42578125" style="18" customWidth="1"/>
    <col min="12812" max="12812" width="7.42578125" style="18" bestFit="1" customWidth="1"/>
    <col min="12813" max="12813" width="5.5703125" style="18" customWidth="1"/>
    <col min="12814" max="12814" width="19.42578125" style="18" bestFit="1" customWidth="1"/>
    <col min="12815" max="13056" width="11.5703125" style="18"/>
    <col min="13057" max="13057" width="3.42578125" style="18" customWidth="1"/>
    <col min="13058" max="13058" width="5.42578125" style="18" bestFit="1" customWidth="1"/>
    <col min="13059" max="13059" width="43.42578125" style="18" customWidth="1"/>
    <col min="13060" max="13060" width="7.5703125" style="18" customWidth="1"/>
    <col min="13061" max="13061" width="14.42578125" style="18" customWidth="1"/>
    <col min="13062" max="13062" width="12.42578125" style="18" customWidth="1"/>
    <col min="13063" max="13063" width="13" style="18" customWidth="1"/>
    <col min="13064" max="13064" width="11.5703125" style="18" customWidth="1"/>
    <col min="13065" max="13065" width="11.42578125" style="18" customWidth="1"/>
    <col min="13066" max="13066" width="14" style="18" customWidth="1"/>
    <col min="13067" max="13067" width="8.42578125" style="18" customWidth="1"/>
    <col min="13068" max="13068" width="7.42578125" style="18" bestFit="1" customWidth="1"/>
    <col min="13069" max="13069" width="5.5703125" style="18" customWidth="1"/>
    <col min="13070" max="13070" width="19.42578125" style="18" bestFit="1" customWidth="1"/>
    <col min="13071" max="13312" width="11.5703125" style="18"/>
    <col min="13313" max="13313" width="3.42578125" style="18" customWidth="1"/>
    <col min="13314" max="13314" width="5.42578125" style="18" bestFit="1" customWidth="1"/>
    <col min="13315" max="13315" width="43.42578125" style="18" customWidth="1"/>
    <col min="13316" max="13316" width="7.5703125" style="18" customWidth="1"/>
    <col min="13317" max="13317" width="14.42578125" style="18" customWidth="1"/>
    <col min="13318" max="13318" width="12.42578125" style="18" customWidth="1"/>
    <col min="13319" max="13319" width="13" style="18" customWidth="1"/>
    <col min="13320" max="13320" width="11.5703125" style="18" customWidth="1"/>
    <col min="13321" max="13321" width="11.42578125" style="18" customWidth="1"/>
    <col min="13322" max="13322" width="14" style="18" customWidth="1"/>
    <col min="13323" max="13323" width="8.42578125" style="18" customWidth="1"/>
    <col min="13324" max="13324" width="7.42578125" style="18" bestFit="1" customWidth="1"/>
    <col min="13325" max="13325" width="5.5703125" style="18" customWidth="1"/>
    <col min="13326" max="13326" width="19.42578125" style="18" bestFit="1" customWidth="1"/>
    <col min="13327" max="13568" width="11.5703125" style="18"/>
    <col min="13569" max="13569" width="3.42578125" style="18" customWidth="1"/>
    <col min="13570" max="13570" width="5.42578125" style="18" bestFit="1" customWidth="1"/>
    <col min="13571" max="13571" width="43.42578125" style="18" customWidth="1"/>
    <col min="13572" max="13572" width="7.5703125" style="18" customWidth="1"/>
    <col min="13573" max="13573" width="14.42578125" style="18" customWidth="1"/>
    <col min="13574" max="13574" width="12.42578125" style="18" customWidth="1"/>
    <col min="13575" max="13575" width="13" style="18" customWidth="1"/>
    <col min="13576" max="13576" width="11.5703125" style="18" customWidth="1"/>
    <col min="13577" max="13577" width="11.42578125" style="18" customWidth="1"/>
    <col min="13578" max="13578" width="14" style="18" customWidth="1"/>
    <col min="13579" max="13579" width="8.42578125" style="18" customWidth="1"/>
    <col min="13580" max="13580" width="7.42578125" style="18" bestFit="1" customWidth="1"/>
    <col min="13581" max="13581" width="5.5703125" style="18" customWidth="1"/>
    <col min="13582" max="13582" width="19.42578125" style="18" bestFit="1" customWidth="1"/>
    <col min="13583" max="13824" width="11.5703125" style="18"/>
    <col min="13825" max="13825" width="3.42578125" style="18" customWidth="1"/>
    <col min="13826" max="13826" width="5.42578125" style="18" bestFit="1" customWidth="1"/>
    <col min="13827" max="13827" width="43.42578125" style="18" customWidth="1"/>
    <col min="13828" max="13828" width="7.5703125" style="18" customWidth="1"/>
    <col min="13829" max="13829" width="14.42578125" style="18" customWidth="1"/>
    <col min="13830" max="13830" width="12.42578125" style="18" customWidth="1"/>
    <col min="13831" max="13831" width="13" style="18" customWidth="1"/>
    <col min="13832" max="13832" width="11.5703125" style="18" customWidth="1"/>
    <col min="13833" max="13833" width="11.42578125" style="18" customWidth="1"/>
    <col min="13834" max="13834" width="14" style="18" customWidth="1"/>
    <col min="13835" max="13835" width="8.42578125" style="18" customWidth="1"/>
    <col min="13836" max="13836" width="7.42578125" style="18" bestFit="1" customWidth="1"/>
    <col min="13837" max="13837" width="5.5703125" style="18" customWidth="1"/>
    <col min="13838" max="13838" width="19.42578125" style="18" bestFit="1" customWidth="1"/>
    <col min="13839" max="14080" width="11.5703125" style="18"/>
    <col min="14081" max="14081" width="3.42578125" style="18" customWidth="1"/>
    <col min="14082" max="14082" width="5.42578125" style="18" bestFit="1" customWidth="1"/>
    <col min="14083" max="14083" width="43.42578125" style="18" customWidth="1"/>
    <col min="14084" max="14084" width="7.5703125" style="18" customWidth="1"/>
    <col min="14085" max="14085" width="14.42578125" style="18" customWidth="1"/>
    <col min="14086" max="14086" width="12.42578125" style="18" customWidth="1"/>
    <col min="14087" max="14087" width="13" style="18" customWidth="1"/>
    <col min="14088" max="14088" width="11.5703125" style="18" customWidth="1"/>
    <col min="14089" max="14089" width="11.42578125" style="18" customWidth="1"/>
    <col min="14090" max="14090" width="14" style="18" customWidth="1"/>
    <col min="14091" max="14091" width="8.42578125" style="18" customWidth="1"/>
    <col min="14092" max="14092" width="7.42578125" style="18" bestFit="1" customWidth="1"/>
    <col min="14093" max="14093" width="5.5703125" style="18" customWidth="1"/>
    <col min="14094" max="14094" width="19.42578125" style="18" bestFit="1" customWidth="1"/>
    <col min="14095" max="14336" width="11.5703125" style="18"/>
    <col min="14337" max="14337" width="3.42578125" style="18" customWidth="1"/>
    <col min="14338" max="14338" width="5.42578125" style="18" bestFit="1" customWidth="1"/>
    <col min="14339" max="14339" width="43.42578125" style="18" customWidth="1"/>
    <col min="14340" max="14340" width="7.5703125" style="18" customWidth="1"/>
    <col min="14341" max="14341" width="14.42578125" style="18" customWidth="1"/>
    <col min="14342" max="14342" width="12.42578125" style="18" customWidth="1"/>
    <col min="14343" max="14343" width="13" style="18" customWidth="1"/>
    <col min="14344" max="14344" width="11.5703125" style="18" customWidth="1"/>
    <col min="14345" max="14345" width="11.42578125" style="18" customWidth="1"/>
    <col min="14346" max="14346" width="14" style="18" customWidth="1"/>
    <col min="14347" max="14347" width="8.42578125" style="18" customWidth="1"/>
    <col min="14348" max="14348" width="7.42578125" style="18" bestFit="1" customWidth="1"/>
    <col min="14349" max="14349" width="5.5703125" style="18" customWidth="1"/>
    <col min="14350" max="14350" width="19.42578125" style="18" bestFit="1" customWidth="1"/>
    <col min="14351" max="14592" width="11.5703125" style="18"/>
    <col min="14593" max="14593" width="3.42578125" style="18" customWidth="1"/>
    <col min="14594" max="14594" width="5.42578125" style="18" bestFit="1" customWidth="1"/>
    <col min="14595" max="14595" width="43.42578125" style="18" customWidth="1"/>
    <col min="14596" max="14596" width="7.5703125" style="18" customWidth="1"/>
    <col min="14597" max="14597" width="14.42578125" style="18" customWidth="1"/>
    <col min="14598" max="14598" width="12.42578125" style="18" customWidth="1"/>
    <col min="14599" max="14599" width="13" style="18" customWidth="1"/>
    <col min="14600" max="14600" width="11.5703125" style="18" customWidth="1"/>
    <col min="14601" max="14601" width="11.42578125" style="18" customWidth="1"/>
    <col min="14602" max="14602" width="14" style="18" customWidth="1"/>
    <col min="14603" max="14603" width="8.42578125" style="18" customWidth="1"/>
    <col min="14604" max="14604" width="7.42578125" style="18" bestFit="1" customWidth="1"/>
    <col min="14605" max="14605" width="5.5703125" style="18" customWidth="1"/>
    <col min="14606" max="14606" width="19.42578125" style="18" bestFit="1" customWidth="1"/>
    <col min="14607" max="14848" width="11.5703125" style="18"/>
    <col min="14849" max="14849" width="3.42578125" style="18" customWidth="1"/>
    <col min="14850" max="14850" width="5.42578125" style="18" bestFit="1" customWidth="1"/>
    <col min="14851" max="14851" width="43.42578125" style="18" customWidth="1"/>
    <col min="14852" max="14852" width="7.5703125" style="18" customWidth="1"/>
    <col min="14853" max="14853" width="14.42578125" style="18" customWidth="1"/>
    <col min="14854" max="14854" width="12.42578125" style="18" customWidth="1"/>
    <col min="14855" max="14855" width="13" style="18" customWidth="1"/>
    <col min="14856" max="14856" width="11.5703125" style="18" customWidth="1"/>
    <col min="14857" max="14857" width="11.42578125" style="18" customWidth="1"/>
    <col min="14858" max="14858" width="14" style="18" customWidth="1"/>
    <col min="14859" max="14859" width="8.42578125" style="18" customWidth="1"/>
    <col min="14860" max="14860" width="7.42578125" style="18" bestFit="1" customWidth="1"/>
    <col min="14861" max="14861" width="5.5703125" style="18" customWidth="1"/>
    <col min="14862" max="14862" width="19.42578125" style="18" bestFit="1" customWidth="1"/>
    <col min="14863" max="15104" width="11.5703125" style="18"/>
    <col min="15105" max="15105" width="3.42578125" style="18" customWidth="1"/>
    <col min="15106" max="15106" width="5.42578125" style="18" bestFit="1" customWidth="1"/>
    <col min="15107" max="15107" width="43.42578125" style="18" customWidth="1"/>
    <col min="15108" max="15108" width="7.5703125" style="18" customWidth="1"/>
    <col min="15109" max="15109" width="14.42578125" style="18" customWidth="1"/>
    <col min="15110" max="15110" width="12.42578125" style="18" customWidth="1"/>
    <col min="15111" max="15111" width="13" style="18" customWidth="1"/>
    <col min="15112" max="15112" width="11.5703125" style="18" customWidth="1"/>
    <col min="15113" max="15113" width="11.42578125" style="18" customWidth="1"/>
    <col min="15114" max="15114" width="14" style="18" customWidth="1"/>
    <col min="15115" max="15115" width="8.42578125" style="18" customWidth="1"/>
    <col min="15116" max="15116" width="7.42578125" style="18" bestFit="1" customWidth="1"/>
    <col min="15117" max="15117" width="5.5703125" style="18" customWidth="1"/>
    <col min="15118" max="15118" width="19.42578125" style="18" bestFit="1" customWidth="1"/>
    <col min="15119" max="15360" width="11.5703125" style="18"/>
    <col min="15361" max="15361" width="3.42578125" style="18" customWidth="1"/>
    <col min="15362" max="15362" width="5.42578125" style="18" bestFit="1" customWidth="1"/>
    <col min="15363" max="15363" width="43.42578125" style="18" customWidth="1"/>
    <col min="15364" max="15364" width="7.5703125" style="18" customWidth="1"/>
    <col min="15365" max="15365" width="14.42578125" style="18" customWidth="1"/>
    <col min="15366" max="15366" width="12.42578125" style="18" customWidth="1"/>
    <col min="15367" max="15367" width="13" style="18" customWidth="1"/>
    <col min="15368" max="15368" width="11.5703125" style="18" customWidth="1"/>
    <col min="15369" max="15369" width="11.42578125" style="18" customWidth="1"/>
    <col min="15370" max="15370" width="14" style="18" customWidth="1"/>
    <col min="15371" max="15371" width="8.42578125" style="18" customWidth="1"/>
    <col min="15372" max="15372" width="7.42578125" style="18" bestFit="1" customWidth="1"/>
    <col min="15373" max="15373" width="5.5703125" style="18" customWidth="1"/>
    <col min="15374" max="15374" width="19.42578125" style="18" bestFit="1" customWidth="1"/>
    <col min="15375" max="15616" width="11.5703125" style="18"/>
    <col min="15617" max="15617" width="3.42578125" style="18" customWidth="1"/>
    <col min="15618" max="15618" width="5.42578125" style="18" bestFit="1" customWidth="1"/>
    <col min="15619" max="15619" width="43.42578125" style="18" customWidth="1"/>
    <col min="15620" max="15620" width="7.5703125" style="18" customWidth="1"/>
    <col min="15621" max="15621" width="14.42578125" style="18" customWidth="1"/>
    <col min="15622" max="15622" width="12.42578125" style="18" customWidth="1"/>
    <col min="15623" max="15623" width="13" style="18" customWidth="1"/>
    <col min="15624" max="15624" width="11.5703125" style="18" customWidth="1"/>
    <col min="15625" max="15625" width="11.42578125" style="18" customWidth="1"/>
    <col min="15626" max="15626" width="14" style="18" customWidth="1"/>
    <col min="15627" max="15627" width="8.42578125" style="18" customWidth="1"/>
    <col min="15628" max="15628" width="7.42578125" style="18" bestFit="1" customWidth="1"/>
    <col min="15629" max="15629" width="5.5703125" style="18" customWidth="1"/>
    <col min="15630" max="15630" width="19.42578125" style="18" bestFit="1" customWidth="1"/>
    <col min="15631" max="15872" width="11.5703125" style="18"/>
    <col min="15873" max="15873" width="3.42578125" style="18" customWidth="1"/>
    <col min="15874" max="15874" width="5.42578125" style="18" bestFit="1" customWidth="1"/>
    <col min="15875" max="15875" width="43.42578125" style="18" customWidth="1"/>
    <col min="15876" max="15876" width="7.5703125" style="18" customWidth="1"/>
    <col min="15877" max="15877" width="14.42578125" style="18" customWidth="1"/>
    <col min="15878" max="15878" width="12.42578125" style="18" customWidth="1"/>
    <col min="15879" max="15879" width="13" style="18" customWidth="1"/>
    <col min="15880" max="15880" width="11.5703125" style="18" customWidth="1"/>
    <col min="15881" max="15881" width="11.42578125" style="18" customWidth="1"/>
    <col min="15882" max="15882" width="14" style="18" customWidth="1"/>
    <col min="15883" max="15883" width="8.42578125" style="18" customWidth="1"/>
    <col min="15884" max="15884" width="7.42578125" style="18" bestFit="1" customWidth="1"/>
    <col min="15885" max="15885" width="5.5703125" style="18" customWidth="1"/>
    <col min="15886" max="15886" width="19.42578125" style="18" bestFit="1" customWidth="1"/>
    <col min="15887" max="16128" width="11.5703125" style="18"/>
    <col min="16129" max="16129" width="3.42578125" style="18" customWidth="1"/>
    <col min="16130" max="16130" width="5.42578125" style="18" bestFit="1" customWidth="1"/>
    <col min="16131" max="16131" width="43.42578125" style="18" customWidth="1"/>
    <col min="16132" max="16132" width="7.5703125" style="18" customWidth="1"/>
    <col min="16133" max="16133" width="14.42578125" style="18" customWidth="1"/>
    <col min="16134" max="16134" width="12.42578125" style="18" customWidth="1"/>
    <col min="16135" max="16135" width="13" style="18" customWidth="1"/>
    <col min="16136" max="16136" width="11.5703125" style="18" customWidth="1"/>
    <col min="16137" max="16137" width="11.42578125" style="18" customWidth="1"/>
    <col min="16138" max="16138" width="14" style="18" customWidth="1"/>
    <col min="16139" max="16139" width="8.42578125" style="18" customWidth="1"/>
    <col min="16140" max="16140" width="7.42578125" style="18" bestFit="1" customWidth="1"/>
    <col min="16141" max="16141" width="5.5703125" style="18" customWidth="1"/>
    <col min="16142" max="16142" width="19.42578125" style="18" bestFit="1" customWidth="1"/>
    <col min="16143" max="16384" width="11.570312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537" t="str">
        <f>'VAL. PRINC'!B3:V3</f>
        <v>INFORME CORRESPONDIENTE AL MES DE ABRIL 2022</v>
      </c>
      <c r="C2" s="2537"/>
      <c r="D2" s="2537"/>
      <c r="E2" s="2537"/>
      <c r="F2" s="2537"/>
      <c r="G2" s="2537"/>
      <c r="H2" s="2537"/>
      <c r="I2" s="2537"/>
      <c r="J2" s="2537"/>
      <c r="K2" s="2537"/>
      <c r="L2" s="2537"/>
      <c r="M2" s="2537"/>
      <c r="N2" s="2537"/>
    </row>
    <row r="3" spans="2:14" s="5" customFormat="1" ht="13.5" hidden="1" customHeight="1">
      <c r="B3" s="1175"/>
      <c r="C3" s="1175"/>
      <c r="D3" s="1175"/>
      <c r="E3" s="1175"/>
      <c r="F3" s="1175"/>
      <c r="G3" s="1175"/>
      <c r="H3" s="1175"/>
      <c r="I3" s="6"/>
      <c r="J3" s="7"/>
      <c r="K3" s="1175"/>
      <c r="L3" s="1175"/>
      <c r="M3" s="1175"/>
      <c r="N3" s="1175"/>
    </row>
    <row r="4" spans="2:14" s="5" customFormat="1" ht="49.5" hidden="1" customHeight="1">
      <c r="B4" s="1175"/>
      <c r="C4" s="8" t="s">
        <v>6</v>
      </c>
      <c r="D4" s="9" t="s">
        <v>4</v>
      </c>
      <c r="E4" s="3148" t="e">
        <f>#REF!</f>
        <v>#REF!</v>
      </c>
      <c r="F4" s="3148"/>
      <c r="G4" s="3148"/>
      <c r="H4" s="3148"/>
      <c r="I4" s="3148"/>
      <c r="J4" s="10" t="s">
        <v>13</v>
      </c>
      <c r="K4" s="51" t="e">
        <f>#REF!</f>
        <v>#REF!</v>
      </c>
      <c r="N4" s="51"/>
    </row>
    <row r="5" spans="2:14" s="5" customFormat="1" ht="12.75" hidden="1" customHeight="1">
      <c r="B5" s="1175"/>
      <c r="C5" s="11" t="s">
        <v>5</v>
      </c>
      <c r="D5" s="12" t="s">
        <v>4</v>
      </c>
      <c r="E5" s="13" t="e">
        <f>#REF!</f>
        <v>#REF!</v>
      </c>
      <c r="F5" s="13"/>
      <c r="G5" s="1175"/>
      <c r="H5" s="1175"/>
      <c r="I5" s="6"/>
      <c r="J5" s="2" t="s">
        <v>14</v>
      </c>
      <c r="K5" s="13" t="e">
        <f>#REF!</f>
        <v>#REF!</v>
      </c>
      <c r="M5" s="1175"/>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283" t="s">
        <v>66</v>
      </c>
      <c r="C10" s="3270" t="s">
        <v>21</v>
      </c>
      <c r="D10" s="3286"/>
      <c r="E10" s="3291" t="s">
        <v>23</v>
      </c>
      <c r="F10" s="3293" t="s">
        <v>24</v>
      </c>
      <c r="G10" s="3294"/>
      <c r="H10" s="3294"/>
      <c r="I10" s="3295"/>
      <c r="J10" s="3270" t="s">
        <v>25</v>
      </c>
      <c r="K10" s="3271"/>
    </row>
    <row r="11" spans="2:14" ht="13.35" hidden="1" customHeight="1">
      <c r="B11" s="3284"/>
      <c r="C11" s="3287"/>
      <c r="D11" s="3288"/>
      <c r="E11" s="3292"/>
      <c r="F11" s="1180" t="s">
        <v>26</v>
      </c>
      <c r="G11" s="1180" t="s">
        <v>27</v>
      </c>
      <c r="H11" s="3274" t="s">
        <v>28</v>
      </c>
      <c r="I11" s="3275"/>
      <c r="J11" s="3272"/>
      <c r="K11" s="3273"/>
    </row>
    <row r="12" spans="2:14" ht="12.75" hidden="1" customHeight="1">
      <c r="B12" s="3284"/>
      <c r="C12" s="3287"/>
      <c r="D12" s="3288"/>
      <c r="E12" s="3292"/>
      <c r="F12" s="3150" t="s">
        <v>32</v>
      </c>
      <c r="G12" s="3150" t="s">
        <v>32</v>
      </c>
      <c r="H12" s="3150" t="s">
        <v>32</v>
      </c>
      <c r="I12" s="3276" t="s">
        <v>0</v>
      </c>
      <c r="J12" s="3276" t="s">
        <v>32</v>
      </c>
      <c r="K12" s="3278" t="s">
        <v>0</v>
      </c>
    </row>
    <row r="13" spans="2:14" ht="11.1" hidden="1" customHeight="1" thickBot="1">
      <c r="B13" s="3285"/>
      <c r="C13" s="3289"/>
      <c r="D13" s="3290"/>
      <c r="E13" s="3277"/>
      <c r="F13" s="3151"/>
      <c r="G13" s="3151"/>
      <c r="H13" s="3151"/>
      <c r="I13" s="3277"/>
      <c r="J13" s="3277"/>
      <c r="K13" s="3279"/>
    </row>
    <row r="14" spans="2:14" ht="25.5" hidden="1" customHeight="1">
      <c r="B14" s="3118">
        <v>1</v>
      </c>
      <c r="C14" s="3114" t="s">
        <v>1131</v>
      </c>
      <c r="D14" s="3115"/>
      <c r="E14" s="3110">
        <v>133745.31</v>
      </c>
      <c r="F14" s="3110">
        <f>'[43]RES. VAL. '!$H$14:$H$15</f>
        <v>74832.791299999997</v>
      </c>
      <c r="G14" s="3110" t="e">
        <f>N14</f>
        <v>#REF!</v>
      </c>
      <c r="H14" s="3110" t="e">
        <f>+F14+G14</f>
        <v>#REF!</v>
      </c>
      <c r="I14" s="3112" t="e">
        <f>+H14/E14</f>
        <v>#REF!</v>
      </c>
      <c r="J14" s="3110" t="e">
        <f>+E14-H14</f>
        <v>#REF!</v>
      </c>
      <c r="K14" s="3296" t="e">
        <f>+J14/E14</f>
        <v>#REF!</v>
      </c>
      <c r="N14" s="26" t="e">
        <f>'VAL. PRINC'!#REF!</f>
        <v>#REF!</v>
      </c>
    </row>
    <row r="15" spans="2:14" ht="10.35" hidden="1" customHeight="1">
      <c r="B15" s="3119"/>
      <c r="C15" s="3116"/>
      <c r="D15" s="3117"/>
      <c r="E15" s="3111"/>
      <c r="F15" s="3111"/>
      <c r="G15" s="3111"/>
      <c r="H15" s="3111"/>
      <c r="I15" s="3113"/>
      <c r="J15" s="3111"/>
      <c r="K15" s="3297"/>
      <c r="N15" s="26" t="e">
        <f>'VAL. PRINC'!#REF!</f>
        <v>#REF!</v>
      </c>
    </row>
    <row r="16" spans="2:14" ht="13.35" hidden="1" customHeight="1">
      <c r="B16" s="1179">
        <v>2</v>
      </c>
      <c r="C16" s="703" t="str">
        <f>[41]VAL.PRINC!B38</f>
        <v>ESTRUCTURAS</v>
      </c>
      <c r="D16" s="702"/>
      <c r="E16" s="1177">
        <v>680109.61</v>
      </c>
      <c r="F16" s="1177">
        <f>'[43]RES. VAL. '!$H$16</f>
        <v>390219.46500000003</v>
      </c>
      <c r="G16" s="1177" t="e">
        <f>N15</f>
        <v>#REF!</v>
      </c>
      <c r="H16" s="705" t="e">
        <f>+F16+G16</f>
        <v>#REF!</v>
      </c>
      <c r="I16" s="104" t="e">
        <f>+H16/E16</f>
        <v>#REF!</v>
      </c>
      <c r="J16" s="798" t="e">
        <f>+E16-H16</f>
        <v>#REF!</v>
      </c>
      <c r="K16" s="799" t="e">
        <f>+J16/E16</f>
        <v>#REF!</v>
      </c>
      <c r="N16" s="26" t="e">
        <f>'VAL. PRINC'!#REF!</f>
        <v>#REF!</v>
      </c>
    </row>
    <row r="17" spans="2:14" ht="13.35" hidden="1" customHeight="1">
      <c r="B17" s="1179">
        <v>3</v>
      </c>
      <c r="C17" s="703" t="str">
        <f>[41]VAL.PRINC!B292</f>
        <v>ARQUITECTURA</v>
      </c>
      <c r="D17" s="702"/>
      <c r="E17" s="1177">
        <v>272988.28000000003</v>
      </c>
      <c r="F17" s="1177">
        <f>'[43]RES. VAL. '!$H$17</f>
        <v>72474.674800000008</v>
      </c>
      <c r="G17" s="1177"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9">
        <v>4</v>
      </c>
      <c r="C18" s="703" t="str">
        <f>[41]VAL.PRINC!B542</f>
        <v>INSTALACIONES SANITARIAS</v>
      </c>
      <c r="D18" s="702"/>
      <c r="E18" s="1177">
        <v>64335.72</v>
      </c>
      <c r="F18" s="1177">
        <f>'[43]RES. VAL. '!$H$18</f>
        <v>0</v>
      </c>
      <c r="G18" s="1177" t="e">
        <f>N17</f>
        <v>#REF!</v>
      </c>
      <c r="H18" s="705" t="e">
        <f>+F18+G18</f>
        <v>#REF!</v>
      </c>
      <c r="I18" s="104" t="e">
        <f t="shared" si="0"/>
        <v>#REF!</v>
      </c>
      <c r="J18" s="798" t="e">
        <f t="shared" si="1"/>
        <v>#REF!</v>
      </c>
      <c r="K18" s="799" t="e">
        <f t="shared" si="2"/>
        <v>#REF!</v>
      </c>
      <c r="N18" s="26" t="e">
        <f>'VAL. PRINC'!#REF!</f>
        <v>#REF!</v>
      </c>
    </row>
    <row r="19" spans="2:14" ht="13.35" hidden="1" customHeight="1">
      <c r="B19" s="1179">
        <v>5</v>
      </c>
      <c r="C19" s="703" t="str">
        <f>[41]VAL.PRINC!B601</f>
        <v>INSTALACIONES ELECTRICAS</v>
      </c>
      <c r="D19" s="702"/>
      <c r="E19" s="1177">
        <v>58450.559999999998</v>
      </c>
      <c r="F19" s="1177">
        <f>'[43]RES. VAL. '!$H$19</f>
        <v>3211.13</v>
      </c>
      <c r="G19" s="1177" t="e">
        <f>N18</f>
        <v>#REF!</v>
      </c>
      <c r="H19" s="711" t="e">
        <f>+F19+G19</f>
        <v>#REF!</v>
      </c>
      <c r="I19" s="104" t="e">
        <f t="shared" si="0"/>
        <v>#REF!</v>
      </c>
      <c r="J19" s="798" t="e">
        <f t="shared" si="1"/>
        <v>#REF!</v>
      </c>
      <c r="K19" s="799" t="e">
        <f t="shared" si="2"/>
        <v>#REF!</v>
      </c>
    </row>
    <row r="20" spans="2:14" ht="14.1" hidden="1" customHeight="1" thickBot="1">
      <c r="B20" s="3280" t="s">
        <v>1925</v>
      </c>
      <c r="C20" s="3281"/>
      <c r="D20" s="3282"/>
      <c r="E20" s="707">
        <f>+SUM(E14:E19)</f>
        <v>1209629.48</v>
      </c>
      <c r="F20" s="708">
        <f>SUM(F14:F19)</f>
        <v>540738.06110000005</v>
      </c>
      <c r="G20" s="708" t="e">
        <f>SUM(G14:G19)</f>
        <v>#REF!</v>
      </c>
      <c r="H20" s="708" t="e">
        <f>SUM(H14:H19)</f>
        <v>#REF!</v>
      </c>
      <c r="I20" s="709" t="e">
        <f>H20/E20</f>
        <v>#REF!</v>
      </c>
      <c r="J20" s="710" t="e">
        <f>SUM(J14:J19)</f>
        <v>#REF!</v>
      </c>
      <c r="K20" s="706" t="e">
        <f>J20/E20</f>
        <v>#REF!</v>
      </c>
    </row>
    <row r="21" spans="2:14" ht="13.5"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5" hidden="1">
      <c r="B22" s="718" t="s">
        <v>360</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5" hidden="1">
      <c r="B23" s="718" t="s">
        <v>1816</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5"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5"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1810</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1811</v>
      </c>
      <c r="C27" s="715"/>
      <c r="D27" s="716"/>
      <c r="E27" s="717">
        <v>28300.9</v>
      </c>
      <c r="F27" s="717"/>
      <c r="G27" s="717"/>
      <c r="H27" s="717"/>
      <c r="I27" s="99"/>
      <c r="J27" s="714"/>
      <c r="K27" s="328"/>
    </row>
    <row r="28" spans="2:14" ht="13.35" hidden="1" customHeight="1">
      <c r="B28" s="718" t="s">
        <v>1817</v>
      </c>
      <c r="C28" s="715"/>
      <c r="D28" s="716"/>
      <c r="E28" s="717">
        <v>77006.47</v>
      </c>
      <c r="F28" s="717"/>
      <c r="G28" s="717"/>
      <c r="H28" s="717"/>
      <c r="I28" s="99"/>
      <c r="J28" s="714"/>
      <c r="K28" s="328"/>
    </row>
    <row r="29" spans="2:14" ht="13.5" hidden="1">
      <c r="B29" s="718" t="s">
        <v>1813</v>
      </c>
      <c r="C29" s="715"/>
      <c r="D29" s="716"/>
      <c r="E29" s="717">
        <v>26717.1</v>
      </c>
      <c r="F29" s="717"/>
      <c r="G29" s="717"/>
      <c r="H29" s="717"/>
      <c r="I29" s="99"/>
      <c r="J29" s="714"/>
      <c r="K29" s="328"/>
    </row>
    <row r="30" spans="2:14" ht="11.25" hidden="1" customHeight="1" thickBot="1">
      <c r="B30" s="720" t="s">
        <v>1814</v>
      </c>
      <c r="C30" s="721"/>
      <c r="D30" s="722"/>
      <c r="E30" s="723">
        <v>16525.419999999998</v>
      </c>
      <c r="F30" s="723"/>
      <c r="G30" s="723"/>
      <c r="H30" s="723"/>
      <c r="I30" s="724"/>
      <c r="J30" s="725"/>
      <c r="K30" s="726"/>
    </row>
    <row r="31" spans="2:14" ht="11.25" hidden="1" customHeight="1" thickBot="1">
      <c r="B31" s="3267" t="s">
        <v>61</v>
      </c>
      <c r="C31" s="3268"/>
      <c r="D31" s="3269"/>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5" thickBot="1">
      <c r="C35" s="3260" t="s">
        <v>2152</v>
      </c>
      <c r="D35" s="3260"/>
      <c r="E35" s="3260"/>
      <c r="F35" s="3260"/>
      <c r="G35" s="3260"/>
      <c r="H35" s="3260"/>
      <c r="I35" s="3260"/>
      <c r="J35" s="3260"/>
      <c r="K35" s="3260"/>
    </row>
    <row r="36" spans="1:66" s="5" customFormat="1">
      <c r="B36" s="3283" t="s">
        <v>66</v>
      </c>
      <c r="C36" s="3270" t="s">
        <v>21</v>
      </c>
      <c r="D36" s="3286"/>
      <c r="E36" s="3291" t="s">
        <v>23</v>
      </c>
      <c r="F36" s="3293" t="s">
        <v>24</v>
      </c>
      <c r="G36" s="3294"/>
      <c r="H36" s="3294"/>
      <c r="I36" s="3295"/>
      <c r="J36" s="3270" t="s">
        <v>25</v>
      </c>
      <c r="K36" s="3271"/>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c r="B37" s="3284"/>
      <c r="C37" s="3287"/>
      <c r="D37" s="3288"/>
      <c r="E37" s="3292"/>
      <c r="F37" s="1180" t="s">
        <v>26</v>
      </c>
      <c r="G37" s="1180" t="s">
        <v>27</v>
      </c>
      <c r="H37" s="3274" t="s">
        <v>28</v>
      </c>
      <c r="I37" s="3275"/>
      <c r="J37" s="3272"/>
      <c r="K37" s="327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c r="B38" s="3284"/>
      <c r="C38" s="3287"/>
      <c r="D38" s="3288"/>
      <c r="E38" s="3292"/>
      <c r="F38" s="3150" t="s">
        <v>32</v>
      </c>
      <c r="G38" s="3150" t="s">
        <v>32</v>
      </c>
      <c r="H38" s="3150" t="s">
        <v>32</v>
      </c>
      <c r="I38" s="3276" t="s">
        <v>0</v>
      </c>
      <c r="J38" s="3276" t="s">
        <v>32</v>
      </c>
      <c r="K38" s="3278"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5" thickBot="1">
      <c r="B39" s="3285"/>
      <c r="C39" s="3289"/>
      <c r="D39" s="3290"/>
      <c r="E39" s="3277"/>
      <c r="F39" s="3151"/>
      <c r="G39" s="3151"/>
      <c r="H39" s="3151"/>
      <c r="I39" s="3277"/>
      <c r="J39" s="3277"/>
      <c r="K39" s="3279"/>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c r="A40" s="5"/>
      <c r="B40" s="1179">
        <v>1</v>
      </c>
      <c r="C40" s="3261" t="s">
        <v>1923</v>
      </c>
      <c r="D40" s="3262"/>
      <c r="E40" s="1177">
        <f>(ROUND((E20),2))</f>
        <v>1209629.48</v>
      </c>
      <c r="F40" s="1177">
        <f>'[43]RES. VAL. '!$H$38</f>
        <v>540738.0686</v>
      </c>
      <c r="G40" s="1177">
        <f>'VAL. PRINC'!V683</f>
        <v>0</v>
      </c>
      <c r="H40" s="1177">
        <f>+F40+G40</f>
        <v>540738.0686</v>
      </c>
      <c r="I40" s="1178">
        <f>+H40/E40</f>
        <v>0.44702785236351877</v>
      </c>
      <c r="J40" s="1177">
        <f>+E40-H40</f>
        <v>668891.41139999998</v>
      </c>
      <c r="K40" s="1174">
        <f>+J40/E40</f>
        <v>0.55297214763648117</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c r="A41" s="5"/>
      <c r="B41" s="302">
        <v>2</v>
      </c>
      <c r="C41" s="3263" t="s">
        <v>257</v>
      </c>
      <c r="D41" s="3264"/>
      <c r="E41" s="103" t="e">
        <f>H41</f>
        <v>#REF!</v>
      </c>
      <c r="F41" s="1177">
        <f>'[43]RES. VAL. '!$H$39</f>
        <v>55816.822099999998</v>
      </c>
      <c r="G41" s="103" t="e">
        <f>#REF!</f>
        <v>#REF!</v>
      </c>
      <c r="H41" s="103" t="e">
        <f>+F41+G41</f>
        <v>#REF!</v>
      </c>
      <c r="I41" s="104" t="e">
        <f>+H41/E41</f>
        <v>#REF!</v>
      </c>
      <c r="J41" s="103" t="e">
        <f>E41-H41</f>
        <v>#REF!</v>
      </c>
      <c r="K41" s="1176" t="e">
        <f>J41/E41</f>
        <v>#REF!</v>
      </c>
    </row>
    <row r="42" spans="1:66" s="53" customFormat="1">
      <c r="A42" s="5"/>
      <c r="B42" s="302">
        <v>3</v>
      </c>
      <c r="C42" s="3263" t="s">
        <v>258</v>
      </c>
      <c r="D42" s="3264"/>
      <c r="E42" s="103" t="e">
        <f>H42</f>
        <v>#REF!</v>
      </c>
      <c r="F42" s="1177">
        <f>'[43]RES. VAL. '!$H$40</f>
        <v>286835.83134454</v>
      </c>
      <c r="G42" s="103" t="e">
        <f>#REF!</f>
        <v>#REF!</v>
      </c>
      <c r="H42" s="103" t="e">
        <f>+F42+G42</f>
        <v>#REF!</v>
      </c>
      <c r="I42" s="104" t="e">
        <f>+H42/E42</f>
        <v>#REF!</v>
      </c>
      <c r="J42" s="103" t="e">
        <f>E42-H42</f>
        <v>#REF!</v>
      </c>
      <c r="K42" s="1176" t="e">
        <f>J42/E42</f>
        <v>#REF!</v>
      </c>
    </row>
    <row r="43" spans="1:66" s="53" customFormat="1" ht="13.5" thickBot="1">
      <c r="B43" s="730"/>
      <c r="C43" s="3265"/>
      <c r="D43" s="3266"/>
      <c r="E43" s="731"/>
      <c r="F43" s="732"/>
      <c r="G43" s="732"/>
      <c r="H43" s="732"/>
      <c r="I43" s="733"/>
      <c r="J43" s="732"/>
      <c r="K43" s="734"/>
    </row>
    <row r="44" spans="1:66" s="5" customFormat="1" ht="13.5" thickBot="1">
      <c r="B44" s="3267" t="s">
        <v>91</v>
      </c>
      <c r="C44" s="3268"/>
      <c r="D44" s="3269"/>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5"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3133" t="s">
        <v>92</v>
      </c>
      <c r="C47" s="3134"/>
      <c r="D47" s="3134"/>
      <c r="E47" s="3135"/>
      <c r="F47" s="102">
        <f>+F44/E40</f>
        <v>0.73029860519317036</v>
      </c>
      <c r="G47" s="102" t="e">
        <f>+G44/E40</f>
        <v>#REF!</v>
      </c>
      <c r="H47" s="3126" t="e">
        <f>+H44/E40</f>
        <v>#REF!</v>
      </c>
      <c r="I47" s="3127"/>
      <c r="J47" s="3126" t="e">
        <f>+J44/E40</f>
        <v>#REF!</v>
      </c>
      <c r="K47" s="3127"/>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303</v>
      </c>
      <c r="I49" s="806"/>
      <c r="O49" s="57"/>
      <c r="P49" s="57"/>
      <c r="Q49" s="57"/>
      <c r="R49" s="57"/>
      <c r="S49" s="57"/>
      <c r="T49" s="57"/>
      <c r="U49" s="57"/>
      <c r="V49" s="57"/>
      <c r="W49" s="57"/>
    </row>
    <row r="50" spans="2:23" s="5" customFormat="1" ht="13.5" thickBot="1">
      <c r="B50" s="3133" t="s">
        <v>1924</v>
      </c>
      <c r="C50" s="3134"/>
      <c r="D50" s="3135"/>
      <c r="E50" s="803">
        <f>+F44</f>
        <v>883390.72204453999</v>
      </c>
      <c r="F50" s="803" t="e">
        <f>+G44</f>
        <v>#REF!</v>
      </c>
      <c r="G50" s="803" t="e">
        <f>+H44</f>
        <v>#REF!</v>
      </c>
      <c r="O50" s="27"/>
      <c r="P50" s="27"/>
      <c r="Q50" s="27"/>
      <c r="R50" s="27"/>
      <c r="S50" s="27"/>
      <c r="T50" s="27"/>
      <c r="U50" s="27"/>
      <c r="V50" s="27"/>
      <c r="W50" s="27"/>
    </row>
    <row r="51" spans="2:23" s="5" customFormat="1" ht="11.25" customHeight="1" thickBot="1">
      <c r="B51" s="3133" t="s">
        <v>93</v>
      </c>
      <c r="C51" s="3134"/>
      <c r="D51" s="3135"/>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B2:N2"/>
    <mergeCell ref="E4:I4"/>
    <mergeCell ref="B10:B13"/>
    <mergeCell ref="C10:D13"/>
    <mergeCell ref="E10:E13"/>
    <mergeCell ref="F10:I10"/>
    <mergeCell ref="J10:K11"/>
    <mergeCell ref="H11:I11"/>
    <mergeCell ref="F12:F13"/>
    <mergeCell ref="G12:G13"/>
    <mergeCell ref="H12:H13"/>
    <mergeCell ref="I12:I13"/>
    <mergeCell ref="K12:K13"/>
    <mergeCell ref="B14:B15"/>
    <mergeCell ref="C14:D15"/>
    <mergeCell ref="E14:E15"/>
    <mergeCell ref="F14:F15"/>
    <mergeCell ref="G14:G15"/>
    <mergeCell ref="H14:H15"/>
    <mergeCell ref="I14:I15"/>
    <mergeCell ref="J14:J15"/>
    <mergeCell ref="K14:K15"/>
    <mergeCell ref="J12:J13"/>
    <mergeCell ref="I38:I39"/>
    <mergeCell ref="J38:J39"/>
    <mergeCell ref="K38:K39"/>
    <mergeCell ref="B20:D20"/>
    <mergeCell ref="B31:D31"/>
    <mergeCell ref="B36:B39"/>
    <mergeCell ref="C36:D39"/>
    <mergeCell ref="E36:E39"/>
    <mergeCell ref="F36:I36"/>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
  <sheetViews>
    <sheetView workbookViewId="0"/>
  </sheetViews>
  <sheetFormatPr baseColWidth="10" defaultRowHeight="12.7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00000"/>
  </sheetPr>
  <dimension ref="A1:AA69"/>
  <sheetViews>
    <sheetView workbookViewId="0"/>
  </sheetViews>
  <sheetFormatPr baseColWidth="10" defaultRowHeight="15"/>
  <cols>
    <col min="1" max="1" width="10.42578125" style="333" customWidth="1"/>
    <col min="2" max="2" width="62.5703125" style="333" customWidth="1"/>
    <col min="3" max="3" width="6.5703125" style="333" customWidth="1"/>
    <col min="4" max="4" width="8.5703125" style="333" customWidth="1"/>
    <col min="5" max="5" width="7.5703125" style="333" bestFit="1" customWidth="1"/>
    <col min="6" max="6" width="7.42578125" style="333" customWidth="1"/>
    <col min="7" max="7" width="9.5703125" style="333" customWidth="1"/>
    <col min="8" max="8" width="7" style="333" customWidth="1"/>
    <col min="9" max="9" width="9.5703125" style="411" customWidth="1"/>
    <col min="10" max="10" width="10.42578125" style="412" customWidth="1"/>
    <col min="11" max="11" width="14.5703125" style="333" customWidth="1"/>
    <col min="12" max="256" width="11.42578125" style="332"/>
    <col min="257" max="257" width="10.42578125" style="332" customWidth="1"/>
    <col min="258" max="258" width="62.5703125" style="332" customWidth="1"/>
    <col min="259" max="259" width="6.5703125" style="332" customWidth="1"/>
    <col min="260" max="260" width="8.5703125" style="332" customWidth="1"/>
    <col min="261" max="261" width="7.5703125" style="332" bestFit="1" customWidth="1"/>
    <col min="262" max="262" width="7.42578125" style="332" customWidth="1"/>
    <col min="263" max="263" width="9.5703125" style="332" customWidth="1"/>
    <col min="264" max="264" width="7" style="332" customWidth="1"/>
    <col min="265" max="265" width="9.5703125" style="332" customWidth="1"/>
    <col min="266" max="266" width="10.42578125" style="332" customWidth="1"/>
    <col min="267" max="267" width="14.5703125" style="332" customWidth="1"/>
    <col min="268" max="512" width="11.42578125" style="332"/>
    <col min="513" max="513" width="10.42578125" style="332" customWidth="1"/>
    <col min="514" max="514" width="62.5703125" style="332" customWidth="1"/>
    <col min="515" max="515" width="6.5703125" style="332" customWidth="1"/>
    <col min="516" max="516" width="8.5703125" style="332" customWidth="1"/>
    <col min="517" max="517" width="7.5703125" style="332" bestFit="1" customWidth="1"/>
    <col min="518" max="518" width="7.42578125" style="332" customWidth="1"/>
    <col min="519" max="519" width="9.5703125" style="332" customWidth="1"/>
    <col min="520" max="520" width="7" style="332" customWidth="1"/>
    <col min="521" max="521" width="9.5703125" style="332" customWidth="1"/>
    <col min="522" max="522" width="10.42578125" style="332" customWidth="1"/>
    <col min="523" max="523" width="14.5703125" style="332" customWidth="1"/>
    <col min="524" max="768" width="11.42578125" style="332"/>
    <col min="769" max="769" width="10.42578125" style="332" customWidth="1"/>
    <col min="770" max="770" width="62.5703125" style="332" customWidth="1"/>
    <col min="771" max="771" width="6.5703125" style="332" customWidth="1"/>
    <col min="772" max="772" width="8.5703125" style="332" customWidth="1"/>
    <col min="773" max="773" width="7.5703125" style="332" bestFit="1" customWidth="1"/>
    <col min="774" max="774" width="7.42578125" style="332" customWidth="1"/>
    <col min="775" max="775" width="9.5703125" style="332" customWidth="1"/>
    <col min="776" max="776" width="7" style="332" customWidth="1"/>
    <col min="777" max="777" width="9.5703125" style="332" customWidth="1"/>
    <col min="778" max="778" width="10.42578125" style="332" customWidth="1"/>
    <col min="779" max="779" width="14.5703125" style="332" customWidth="1"/>
    <col min="780" max="1024" width="11.42578125" style="332"/>
    <col min="1025" max="1025" width="10.42578125" style="332" customWidth="1"/>
    <col min="1026" max="1026" width="62.5703125" style="332" customWidth="1"/>
    <col min="1027" max="1027" width="6.5703125" style="332" customWidth="1"/>
    <col min="1028" max="1028" width="8.5703125" style="332" customWidth="1"/>
    <col min="1029" max="1029" width="7.5703125" style="332" bestFit="1" customWidth="1"/>
    <col min="1030" max="1030" width="7.42578125" style="332" customWidth="1"/>
    <col min="1031" max="1031" width="9.5703125" style="332" customWidth="1"/>
    <col min="1032" max="1032" width="7" style="332" customWidth="1"/>
    <col min="1033" max="1033" width="9.5703125" style="332" customWidth="1"/>
    <col min="1034" max="1034" width="10.42578125" style="332" customWidth="1"/>
    <col min="1035" max="1035" width="14.5703125" style="332" customWidth="1"/>
    <col min="1036" max="1280" width="11.42578125" style="332"/>
    <col min="1281" max="1281" width="10.42578125" style="332" customWidth="1"/>
    <col min="1282" max="1282" width="62.5703125" style="332" customWidth="1"/>
    <col min="1283" max="1283" width="6.5703125" style="332" customWidth="1"/>
    <col min="1284" max="1284" width="8.5703125" style="332" customWidth="1"/>
    <col min="1285" max="1285" width="7.5703125" style="332" bestFit="1" customWidth="1"/>
    <col min="1286" max="1286" width="7.42578125" style="332" customWidth="1"/>
    <col min="1287" max="1287" width="9.5703125" style="332" customWidth="1"/>
    <col min="1288" max="1288" width="7" style="332" customWidth="1"/>
    <col min="1289" max="1289" width="9.5703125" style="332" customWidth="1"/>
    <col min="1290" max="1290" width="10.42578125" style="332" customWidth="1"/>
    <col min="1291" max="1291" width="14.5703125" style="332" customWidth="1"/>
    <col min="1292" max="1536" width="11.42578125" style="332"/>
    <col min="1537" max="1537" width="10.42578125" style="332" customWidth="1"/>
    <col min="1538" max="1538" width="62.5703125" style="332" customWidth="1"/>
    <col min="1539" max="1539" width="6.5703125" style="332" customWidth="1"/>
    <col min="1540" max="1540" width="8.5703125" style="332" customWidth="1"/>
    <col min="1541" max="1541" width="7.5703125" style="332" bestFit="1" customWidth="1"/>
    <col min="1542" max="1542" width="7.42578125" style="332" customWidth="1"/>
    <col min="1543" max="1543" width="9.5703125" style="332" customWidth="1"/>
    <col min="1544" max="1544" width="7" style="332" customWidth="1"/>
    <col min="1545" max="1545" width="9.5703125" style="332" customWidth="1"/>
    <col min="1546" max="1546" width="10.42578125" style="332" customWidth="1"/>
    <col min="1547" max="1547" width="14.5703125" style="332" customWidth="1"/>
    <col min="1548" max="1792" width="11.42578125" style="332"/>
    <col min="1793" max="1793" width="10.42578125" style="332" customWidth="1"/>
    <col min="1794" max="1794" width="62.5703125" style="332" customWidth="1"/>
    <col min="1795" max="1795" width="6.5703125" style="332" customWidth="1"/>
    <col min="1796" max="1796" width="8.5703125" style="332" customWidth="1"/>
    <col min="1797" max="1797" width="7.5703125" style="332" bestFit="1" customWidth="1"/>
    <col min="1798" max="1798" width="7.42578125" style="332" customWidth="1"/>
    <col min="1799" max="1799" width="9.5703125" style="332" customWidth="1"/>
    <col min="1800" max="1800" width="7" style="332" customWidth="1"/>
    <col min="1801" max="1801" width="9.5703125" style="332" customWidth="1"/>
    <col min="1802" max="1802" width="10.42578125" style="332" customWidth="1"/>
    <col min="1803" max="1803" width="14.5703125" style="332" customWidth="1"/>
    <col min="1804" max="2048" width="11.42578125" style="332"/>
    <col min="2049" max="2049" width="10.42578125" style="332" customWidth="1"/>
    <col min="2050" max="2050" width="62.5703125" style="332" customWidth="1"/>
    <col min="2051" max="2051" width="6.5703125" style="332" customWidth="1"/>
    <col min="2052" max="2052" width="8.5703125" style="332" customWidth="1"/>
    <col min="2053" max="2053" width="7.5703125" style="332" bestFit="1" customWidth="1"/>
    <col min="2054" max="2054" width="7.42578125" style="332" customWidth="1"/>
    <col min="2055" max="2055" width="9.5703125" style="332" customWidth="1"/>
    <col min="2056" max="2056" width="7" style="332" customWidth="1"/>
    <col min="2057" max="2057" width="9.5703125" style="332" customWidth="1"/>
    <col min="2058" max="2058" width="10.42578125" style="332" customWidth="1"/>
    <col min="2059" max="2059" width="14.5703125" style="332" customWidth="1"/>
    <col min="2060" max="2304" width="11.42578125" style="332"/>
    <col min="2305" max="2305" width="10.42578125" style="332" customWidth="1"/>
    <col min="2306" max="2306" width="62.5703125" style="332" customWidth="1"/>
    <col min="2307" max="2307" width="6.5703125" style="332" customWidth="1"/>
    <col min="2308" max="2308" width="8.5703125" style="332" customWidth="1"/>
    <col min="2309" max="2309" width="7.5703125" style="332" bestFit="1" customWidth="1"/>
    <col min="2310" max="2310" width="7.42578125" style="332" customWidth="1"/>
    <col min="2311" max="2311" width="9.5703125" style="332" customWidth="1"/>
    <col min="2312" max="2312" width="7" style="332" customWidth="1"/>
    <col min="2313" max="2313" width="9.5703125" style="332" customWidth="1"/>
    <col min="2314" max="2314" width="10.42578125" style="332" customWidth="1"/>
    <col min="2315" max="2315" width="14.5703125" style="332" customWidth="1"/>
    <col min="2316" max="2560" width="11.42578125" style="332"/>
    <col min="2561" max="2561" width="10.42578125" style="332" customWidth="1"/>
    <col min="2562" max="2562" width="62.5703125" style="332" customWidth="1"/>
    <col min="2563" max="2563" width="6.5703125" style="332" customWidth="1"/>
    <col min="2564" max="2564" width="8.5703125" style="332" customWidth="1"/>
    <col min="2565" max="2565" width="7.5703125" style="332" bestFit="1" customWidth="1"/>
    <col min="2566" max="2566" width="7.42578125" style="332" customWidth="1"/>
    <col min="2567" max="2567" width="9.5703125" style="332" customWidth="1"/>
    <col min="2568" max="2568" width="7" style="332" customWidth="1"/>
    <col min="2569" max="2569" width="9.5703125" style="332" customWidth="1"/>
    <col min="2570" max="2570" width="10.42578125" style="332" customWidth="1"/>
    <col min="2571" max="2571" width="14.5703125" style="332" customWidth="1"/>
    <col min="2572" max="2816" width="11.42578125" style="332"/>
    <col min="2817" max="2817" width="10.42578125" style="332" customWidth="1"/>
    <col min="2818" max="2818" width="62.5703125" style="332" customWidth="1"/>
    <col min="2819" max="2819" width="6.5703125" style="332" customWidth="1"/>
    <col min="2820" max="2820" width="8.5703125" style="332" customWidth="1"/>
    <col min="2821" max="2821" width="7.5703125" style="332" bestFit="1" customWidth="1"/>
    <col min="2822" max="2822" width="7.42578125" style="332" customWidth="1"/>
    <col min="2823" max="2823" width="9.5703125" style="332" customWidth="1"/>
    <col min="2824" max="2824" width="7" style="332" customWidth="1"/>
    <col min="2825" max="2825" width="9.5703125" style="332" customWidth="1"/>
    <col min="2826" max="2826" width="10.42578125" style="332" customWidth="1"/>
    <col min="2827" max="2827" width="14.5703125" style="332" customWidth="1"/>
    <col min="2828" max="3072" width="11.42578125" style="332"/>
    <col min="3073" max="3073" width="10.42578125" style="332" customWidth="1"/>
    <col min="3074" max="3074" width="62.5703125" style="332" customWidth="1"/>
    <col min="3075" max="3075" width="6.5703125" style="332" customWidth="1"/>
    <col min="3076" max="3076" width="8.5703125" style="332" customWidth="1"/>
    <col min="3077" max="3077" width="7.5703125" style="332" bestFit="1" customWidth="1"/>
    <col min="3078" max="3078" width="7.42578125" style="332" customWidth="1"/>
    <col min="3079" max="3079" width="9.5703125" style="332" customWidth="1"/>
    <col min="3080" max="3080" width="7" style="332" customWidth="1"/>
    <col min="3081" max="3081" width="9.5703125" style="332" customWidth="1"/>
    <col min="3082" max="3082" width="10.42578125" style="332" customWidth="1"/>
    <col min="3083" max="3083" width="14.5703125" style="332" customWidth="1"/>
    <col min="3084" max="3328" width="11.42578125" style="332"/>
    <col min="3329" max="3329" width="10.42578125" style="332" customWidth="1"/>
    <col min="3330" max="3330" width="62.5703125" style="332" customWidth="1"/>
    <col min="3331" max="3331" width="6.5703125" style="332" customWidth="1"/>
    <col min="3332" max="3332" width="8.5703125" style="332" customWidth="1"/>
    <col min="3333" max="3333" width="7.5703125" style="332" bestFit="1" customWidth="1"/>
    <col min="3334" max="3334" width="7.42578125" style="332" customWidth="1"/>
    <col min="3335" max="3335" width="9.5703125" style="332" customWidth="1"/>
    <col min="3336" max="3336" width="7" style="332" customWidth="1"/>
    <col min="3337" max="3337" width="9.5703125" style="332" customWidth="1"/>
    <col min="3338" max="3338" width="10.42578125" style="332" customWidth="1"/>
    <col min="3339" max="3339" width="14.5703125" style="332" customWidth="1"/>
    <col min="3340" max="3584" width="11.42578125" style="332"/>
    <col min="3585" max="3585" width="10.42578125" style="332" customWidth="1"/>
    <col min="3586" max="3586" width="62.5703125" style="332" customWidth="1"/>
    <col min="3587" max="3587" width="6.5703125" style="332" customWidth="1"/>
    <col min="3588" max="3588" width="8.5703125" style="332" customWidth="1"/>
    <col min="3589" max="3589" width="7.5703125" style="332" bestFit="1" customWidth="1"/>
    <col min="3590" max="3590" width="7.42578125" style="332" customWidth="1"/>
    <col min="3591" max="3591" width="9.5703125" style="332" customWidth="1"/>
    <col min="3592" max="3592" width="7" style="332" customWidth="1"/>
    <col min="3593" max="3593" width="9.5703125" style="332" customWidth="1"/>
    <col min="3594" max="3594" width="10.42578125" style="332" customWidth="1"/>
    <col min="3595" max="3595" width="14.5703125" style="332" customWidth="1"/>
    <col min="3596" max="3840" width="11.42578125" style="332"/>
    <col min="3841" max="3841" width="10.42578125" style="332" customWidth="1"/>
    <col min="3842" max="3842" width="62.5703125" style="332" customWidth="1"/>
    <col min="3843" max="3843" width="6.5703125" style="332" customWidth="1"/>
    <col min="3844" max="3844" width="8.5703125" style="332" customWidth="1"/>
    <col min="3845" max="3845" width="7.5703125" style="332" bestFit="1" customWidth="1"/>
    <col min="3846" max="3846" width="7.42578125" style="332" customWidth="1"/>
    <col min="3847" max="3847" width="9.5703125" style="332" customWidth="1"/>
    <col min="3848" max="3848" width="7" style="332" customWidth="1"/>
    <col min="3849" max="3849" width="9.5703125" style="332" customWidth="1"/>
    <col min="3850" max="3850" width="10.42578125" style="332" customWidth="1"/>
    <col min="3851" max="3851" width="14.5703125" style="332" customWidth="1"/>
    <col min="3852" max="4096" width="11.42578125" style="332"/>
    <col min="4097" max="4097" width="10.42578125" style="332" customWidth="1"/>
    <col min="4098" max="4098" width="62.5703125" style="332" customWidth="1"/>
    <col min="4099" max="4099" width="6.5703125" style="332" customWidth="1"/>
    <col min="4100" max="4100" width="8.5703125" style="332" customWidth="1"/>
    <col min="4101" max="4101" width="7.5703125" style="332" bestFit="1" customWidth="1"/>
    <col min="4102" max="4102" width="7.42578125" style="332" customWidth="1"/>
    <col min="4103" max="4103" width="9.5703125" style="332" customWidth="1"/>
    <col min="4104" max="4104" width="7" style="332" customWidth="1"/>
    <col min="4105" max="4105" width="9.5703125" style="332" customWidth="1"/>
    <col min="4106" max="4106" width="10.42578125" style="332" customWidth="1"/>
    <col min="4107" max="4107" width="14.5703125" style="332" customWidth="1"/>
    <col min="4108" max="4352" width="11.42578125" style="332"/>
    <col min="4353" max="4353" width="10.42578125" style="332" customWidth="1"/>
    <col min="4354" max="4354" width="62.5703125" style="332" customWidth="1"/>
    <col min="4355" max="4355" width="6.5703125" style="332" customWidth="1"/>
    <col min="4356" max="4356" width="8.5703125" style="332" customWidth="1"/>
    <col min="4357" max="4357" width="7.5703125" style="332" bestFit="1" customWidth="1"/>
    <col min="4358" max="4358" width="7.42578125" style="332" customWidth="1"/>
    <col min="4359" max="4359" width="9.5703125" style="332" customWidth="1"/>
    <col min="4360" max="4360" width="7" style="332" customWidth="1"/>
    <col min="4361" max="4361" width="9.5703125" style="332" customWidth="1"/>
    <col min="4362" max="4362" width="10.42578125" style="332" customWidth="1"/>
    <col min="4363" max="4363" width="14.5703125" style="332" customWidth="1"/>
    <col min="4364" max="4608" width="11.42578125" style="332"/>
    <col min="4609" max="4609" width="10.42578125" style="332" customWidth="1"/>
    <col min="4610" max="4610" width="62.5703125" style="332" customWidth="1"/>
    <col min="4611" max="4611" width="6.5703125" style="332" customWidth="1"/>
    <col min="4612" max="4612" width="8.5703125" style="332" customWidth="1"/>
    <col min="4613" max="4613" width="7.5703125" style="332" bestFit="1" customWidth="1"/>
    <col min="4614" max="4614" width="7.42578125" style="332" customWidth="1"/>
    <col min="4615" max="4615" width="9.5703125" style="332" customWidth="1"/>
    <col min="4616" max="4616" width="7" style="332" customWidth="1"/>
    <col min="4617" max="4617" width="9.5703125" style="332" customWidth="1"/>
    <col min="4618" max="4618" width="10.42578125" style="332" customWidth="1"/>
    <col min="4619" max="4619" width="14.5703125" style="332" customWidth="1"/>
    <col min="4620" max="4864" width="11.42578125" style="332"/>
    <col min="4865" max="4865" width="10.42578125" style="332" customWidth="1"/>
    <col min="4866" max="4866" width="62.5703125" style="332" customWidth="1"/>
    <col min="4867" max="4867" width="6.5703125" style="332" customWidth="1"/>
    <col min="4868" max="4868" width="8.5703125" style="332" customWidth="1"/>
    <col min="4869" max="4869" width="7.5703125" style="332" bestFit="1" customWidth="1"/>
    <col min="4870" max="4870" width="7.42578125" style="332" customWidth="1"/>
    <col min="4871" max="4871" width="9.5703125" style="332" customWidth="1"/>
    <col min="4872" max="4872" width="7" style="332" customWidth="1"/>
    <col min="4873" max="4873" width="9.5703125" style="332" customWidth="1"/>
    <col min="4874" max="4874" width="10.42578125" style="332" customWidth="1"/>
    <col min="4875" max="4875" width="14.5703125" style="332" customWidth="1"/>
    <col min="4876" max="5120" width="11.42578125" style="332"/>
    <col min="5121" max="5121" width="10.42578125" style="332" customWidth="1"/>
    <col min="5122" max="5122" width="62.5703125" style="332" customWidth="1"/>
    <col min="5123" max="5123" width="6.5703125" style="332" customWidth="1"/>
    <col min="5124" max="5124" width="8.5703125" style="332" customWidth="1"/>
    <col min="5125" max="5125" width="7.5703125" style="332" bestFit="1" customWidth="1"/>
    <col min="5126" max="5126" width="7.42578125" style="332" customWidth="1"/>
    <col min="5127" max="5127" width="9.5703125" style="332" customWidth="1"/>
    <col min="5128" max="5128" width="7" style="332" customWidth="1"/>
    <col min="5129" max="5129" width="9.5703125" style="332" customWidth="1"/>
    <col min="5130" max="5130" width="10.42578125" style="332" customWidth="1"/>
    <col min="5131" max="5131" width="14.5703125" style="332" customWidth="1"/>
    <col min="5132" max="5376" width="11.42578125" style="332"/>
    <col min="5377" max="5377" width="10.42578125" style="332" customWidth="1"/>
    <col min="5378" max="5378" width="62.5703125" style="332" customWidth="1"/>
    <col min="5379" max="5379" width="6.5703125" style="332" customWidth="1"/>
    <col min="5380" max="5380" width="8.5703125" style="332" customWidth="1"/>
    <col min="5381" max="5381" width="7.5703125" style="332" bestFit="1" customWidth="1"/>
    <col min="5382" max="5382" width="7.42578125" style="332" customWidth="1"/>
    <col min="5383" max="5383" width="9.5703125" style="332" customWidth="1"/>
    <col min="5384" max="5384" width="7" style="332" customWidth="1"/>
    <col min="5385" max="5385" width="9.5703125" style="332" customWidth="1"/>
    <col min="5386" max="5386" width="10.42578125" style="332" customWidth="1"/>
    <col min="5387" max="5387" width="14.5703125" style="332" customWidth="1"/>
    <col min="5388" max="5632" width="11.42578125" style="332"/>
    <col min="5633" max="5633" width="10.42578125" style="332" customWidth="1"/>
    <col min="5634" max="5634" width="62.5703125" style="332" customWidth="1"/>
    <col min="5635" max="5635" width="6.5703125" style="332" customWidth="1"/>
    <col min="5636" max="5636" width="8.5703125" style="332" customWidth="1"/>
    <col min="5637" max="5637" width="7.5703125" style="332" bestFit="1" customWidth="1"/>
    <col min="5638" max="5638" width="7.42578125" style="332" customWidth="1"/>
    <col min="5639" max="5639" width="9.5703125" style="332" customWidth="1"/>
    <col min="5640" max="5640" width="7" style="332" customWidth="1"/>
    <col min="5641" max="5641" width="9.5703125" style="332" customWidth="1"/>
    <col min="5642" max="5642" width="10.42578125" style="332" customWidth="1"/>
    <col min="5643" max="5643" width="14.5703125" style="332" customWidth="1"/>
    <col min="5644" max="5888" width="11.42578125" style="332"/>
    <col min="5889" max="5889" width="10.42578125" style="332" customWidth="1"/>
    <col min="5890" max="5890" width="62.5703125" style="332" customWidth="1"/>
    <col min="5891" max="5891" width="6.5703125" style="332" customWidth="1"/>
    <col min="5892" max="5892" width="8.5703125" style="332" customWidth="1"/>
    <col min="5893" max="5893" width="7.5703125" style="332" bestFit="1" customWidth="1"/>
    <col min="5894" max="5894" width="7.42578125" style="332" customWidth="1"/>
    <col min="5895" max="5895" width="9.5703125" style="332" customWidth="1"/>
    <col min="5896" max="5896" width="7" style="332" customWidth="1"/>
    <col min="5897" max="5897" width="9.5703125" style="332" customWidth="1"/>
    <col min="5898" max="5898" width="10.42578125" style="332" customWidth="1"/>
    <col min="5899" max="5899" width="14.5703125" style="332" customWidth="1"/>
    <col min="5900" max="6144" width="11.42578125" style="332"/>
    <col min="6145" max="6145" width="10.42578125" style="332" customWidth="1"/>
    <col min="6146" max="6146" width="62.5703125" style="332" customWidth="1"/>
    <col min="6147" max="6147" width="6.5703125" style="332" customWidth="1"/>
    <col min="6148" max="6148" width="8.5703125" style="332" customWidth="1"/>
    <col min="6149" max="6149" width="7.5703125" style="332" bestFit="1" customWidth="1"/>
    <col min="6150" max="6150" width="7.42578125" style="332" customWidth="1"/>
    <col min="6151" max="6151" width="9.5703125" style="332" customWidth="1"/>
    <col min="6152" max="6152" width="7" style="332" customWidth="1"/>
    <col min="6153" max="6153" width="9.5703125" style="332" customWidth="1"/>
    <col min="6154" max="6154" width="10.42578125" style="332" customWidth="1"/>
    <col min="6155" max="6155" width="14.5703125" style="332" customWidth="1"/>
    <col min="6156" max="6400" width="11.42578125" style="332"/>
    <col min="6401" max="6401" width="10.42578125" style="332" customWidth="1"/>
    <col min="6402" max="6402" width="62.5703125" style="332" customWidth="1"/>
    <col min="6403" max="6403" width="6.5703125" style="332" customWidth="1"/>
    <col min="6404" max="6404" width="8.5703125" style="332" customWidth="1"/>
    <col min="6405" max="6405" width="7.5703125" style="332" bestFit="1" customWidth="1"/>
    <col min="6406" max="6406" width="7.42578125" style="332" customWidth="1"/>
    <col min="6407" max="6407" width="9.5703125" style="332" customWidth="1"/>
    <col min="6408" max="6408" width="7" style="332" customWidth="1"/>
    <col min="6409" max="6409" width="9.5703125" style="332" customWidth="1"/>
    <col min="6410" max="6410" width="10.42578125" style="332" customWidth="1"/>
    <col min="6411" max="6411" width="14.5703125" style="332" customWidth="1"/>
    <col min="6412" max="6656" width="11.42578125" style="332"/>
    <col min="6657" max="6657" width="10.42578125" style="332" customWidth="1"/>
    <col min="6658" max="6658" width="62.5703125" style="332" customWidth="1"/>
    <col min="6659" max="6659" width="6.5703125" style="332" customWidth="1"/>
    <col min="6660" max="6660" width="8.5703125" style="332" customWidth="1"/>
    <col min="6661" max="6661" width="7.5703125" style="332" bestFit="1" customWidth="1"/>
    <col min="6662" max="6662" width="7.42578125" style="332" customWidth="1"/>
    <col min="6663" max="6663" width="9.5703125" style="332" customWidth="1"/>
    <col min="6664" max="6664" width="7" style="332" customWidth="1"/>
    <col min="6665" max="6665" width="9.5703125" style="332" customWidth="1"/>
    <col min="6666" max="6666" width="10.42578125" style="332" customWidth="1"/>
    <col min="6667" max="6667" width="14.5703125" style="332" customWidth="1"/>
    <col min="6668" max="6912" width="11.42578125" style="332"/>
    <col min="6913" max="6913" width="10.42578125" style="332" customWidth="1"/>
    <col min="6914" max="6914" width="62.5703125" style="332" customWidth="1"/>
    <col min="6915" max="6915" width="6.5703125" style="332" customWidth="1"/>
    <col min="6916" max="6916" width="8.5703125" style="332" customWidth="1"/>
    <col min="6917" max="6917" width="7.5703125" style="332" bestFit="1" customWidth="1"/>
    <col min="6918" max="6918" width="7.42578125" style="332" customWidth="1"/>
    <col min="6919" max="6919" width="9.5703125" style="332" customWidth="1"/>
    <col min="6920" max="6920" width="7" style="332" customWidth="1"/>
    <col min="6921" max="6921" width="9.5703125" style="332" customWidth="1"/>
    <col min="6922" max="6922" width="10.42578125" style="332" customWidth="1"/>
    <col min="6923" max="6923" width="14.5703125" style="332" customWidth="1"/>
    <col min="6924" max="7168" width="11.42578125" style="332"/>
    <col min="7169" max="7169" width="10.42578125" style="332" customWidth="1"/>
    <col min="7170" max="7170" width="62.5703125" style="332" customWidth="1"/>
    <col min="7171" max="7171" width="6.5703125" style="332" customWidth="1"/>
    <col min="7172" max="7172" width="8.5703125" style="332" customWidth="1"/>
    <col min="7173" max="7173" width="7.5703125" style="332" bestFit="1" customWidth="1"/>
    <col min="7174" max="7174" width="7.42578125" style="332" customWidth="1"/>
    <col min="7175" max="7175" width="9.5703125" style="332" customWidth="1"/>
    <col min="7176" max="7176" width="7" style="332" customWidth="1"/>
    <col min="7177" max="7177" width="9.5703125" style="332" customWidth="1"/>
    <col min="7178" max="7178" width="10.42578125" style="332" customWidth="1"/>
    <col min="7179" max="7179" width="14.5703125" style="332" customWidth="1"/>
    <col min="7180" max="7424" width="11.42578125" style="332"/>
    <col min="7425" max="7425" width="10.42578125" style="332" customWidth="1"/>
    <col min="7426" max="7426" width="62.5703125" style="332" customWidth="1"/>
    <col min="7427" max="7427" width="6.5703125" style="332" customWidth="1"/>
    <col min="7428" max="7428" width="8.5703125" style="332" customWidth="1"/>
    <col min="7429" max="7429" width="7.5703125" style="332" bestFit="1" customWidth="1"/>
    <col min="7430" max="7430" width="7.42578125" style="332" customWidth="1"/>
    <col min="7431" max="7431" width="9.5703125" style="332" customWidth="1"/>
    <col min="7432" max="7432" width="7" style="332" customWidth="1"/>
    <col min="7433" max="7433" width="9.5703125" style="332" customWidth="1"/>
    <col min="7434" max="7434" width="10.42578125" style="332" customWidth="1"/>
    <col min="7435" max="7435" width="14.5703125" style="332" customWidth="1"/>
    <col min="7436" max="7680" width="11.42578125" style="332"/>
    <col min="7681" max="7681" width="10.42578125" style="332" customWidth="1"/>
    <col min="7682" max="7682" width="62.5703125" style="332" customWidth="1"/>
    <col min="7683" max="7683" width="6.5703125" style="332" customWidth="1"/>
    <col min="7684" max="7684" width="8.5703125" style="332" customWidth="1"/>
    <col min="7685" max="7685" width="7.5703125" style="332" bestFit="1" customWidth="1"/>
    <col min="7686" max="7686" width="7.42578125" style="332" customWidth="1"/>
    <col min="7687" max="7687" width="9.5703125" style="332" customWidth="1"/>
    <col min="7688" max="7688" width="7" style="332" customWidth="1"/>
    <col min="7689" max="7689" width="9.5703125" style="332" customWidth="1"/>
    <col min="7690" max="7690" width="10.42578125" style="332" customWidth="1"/>
    <col min="7691" max="7691" width="14.5703125" style="332" customWidth="1"/>
    <col min="7692" max="7936" width="11.42578125" style="332"/>
    <col min="7937" max="7937" width="10.42578125" style="332" customWidth="1"/>
    <col min="7938" max="7938" width="62.5703125" style="332" customWidth="1"/>
    <col min="7939" max="7939" width="6.5703125" style="332" customWidth="1"/>
    <col min="7940" max="7940" width="8.5703125" style="332" customWidth="1"/>
    <col min="7941" max="7941" width="7.5703125" style="332" bestFit="1" customWidth="1"/>
    <col min="7942" max="7942" width="7.42578125" style="332" customWidth="1"/>
    <col min="7943" max="7943" width="9.5703125" style="332" customWidth="1"/>
    <col min="7944" max="7944" width="7" style="332" customWidth="1"/>
    <col min="7945" max="7945" width="9.5703125" style="332" customWidth="1"/>
    <col min="7946" max="7946" width="10.42578125" style="332" customWidth="1"/>
    <col min="7947" max="7947" width="14.5703125" style="332" customWidth="1"/>
    <col min="7948" max="8192" width="11.42578125" style="332"/>
    <col min="8193" max="8193" width="10.42578125" style="332" customWidth="1"/>
    <col min="8194" max="8194" width="62.5703125" style="332" customWidth="1"/>
    <col min="8195" max="8195" width="6.5703125" style="332" customWidth="1"/>
    <col min="8196" max="8196" width="8.5703125" style="332" customWidth="1"/>
    <col min="8197" max="8197" width="7.5703125" style="332" bestFit="1" customWidth="1"/>
    <col min="8198" max="8198" width="7.42578125" style="332" customWidth="1"/>
    <col min="8199" max="8199" width="9.5703125" style="332" customWidth="1"/>
    <col min="8200" max="8200" width="7" style="332" customWidth="1"/>
    <col min="8201" max="8201" width="9.5703125" style="332" customWidth="1"/>
    <col min="8202" max="8202" width="10.42578125" style="332" customWidth="1"/>
    <col min="8203" max="8203" width="14.5703125" style="332" customWidth="1"/>
    <col min="8204" max="8448" width="11.42578125" style="332"/>
    <col min="8449" max="8449" width="10.42578125" style="332" customWidth="1"/>
    <col min="8450" max="8450" width="62.5703125" style="332" customWidth="1"/>
    <col min="8451" max="8451" width="6.5703125" style="332" customWidth="1"/>
    <col min="8452" max="8452" width="8.5703125" style="332" customWidth="1"/>
    <col min="8453" max="8453" width="7.5703125" style="332" bestFit="1" customWidth="1"/>
    <col min="8454" max="8454" width="7.42578125" style="332" customWidth="1"/>
    <col min="8455" max="8455" width="9.5703125" style="332" customWidth="1"/>
    <col min="8456" max="8456" width="7" style="332" customWidth="1"/>
    <col min="8457" max="8457" width="9.5703125" style="332" customWidth="1"/>
    <col min="8458" max="8458" width="10.42578125" style="332" customWidth="1"/>
    <col min="8459" max="8459" width="14.5703125" style="332" customWidth="1"/>
    <col min="8460" max="8704" width="11.42578125" style="332"/>
    <col min="8705" max="8705" width="10.42578125" style="332" customWidth="1"/>
    <col min="8706" max="8706" width="62.5703125" style="332" customWidth="1"/>
    <col min="8707" max="8707" width="6.5703125" style="332" customWidth="1"/>
    <col min="8708" max="8708" width="8.5703125" style="332" customWidth="1"/>
    <col min="8709" max="8709" width="7.5703125" style="332" bestFit="1" customWidth="1"/>
    <col min="8710" max="8710" width="7.42578125" style="332" customWidth="1"/>
    <col min="8711" max="8711" width="9.5703125" style="332" customWidth="1"/>
    <col min="8712" max="8712" width="7" style="332" customWidth="1"/>
    <col min="8713" max="8713" width="9.5703125" style="332" customWidth="1"/>
    <col min="8714" max="8714" width="10.42578125" style="332" customWidth="1"/>
    <col min="8715" max="8715" width="14.5703125" style="332" customWidth="1"/>
    <col min="8716" max="8960" width="11.42578125" style="332"/>
    <col min="8961" max="8961" width="10.42578125" style="332" customWidth="1"/>
    <col min="8962" max="8962" width="62.5703125" style="332" customWidth="1"/>
    <col min="8963" max="8963" width="6.5703125" style="332" customWidth="1"/>
    <col min="8964" max="8964" width="8.5703125" style="332" customWidth="1"/>
    <col min="8965" max="8965" width="7.5703125" style="332" bestFit="1" customWidth="1"/>
    <col min="8966" max="8966" width="7.42578125" style="332" customWidth="1"/>
    <col min="8967" max="8967" width="9.5703125" style="332" customWidth="1"/>
    <col min="8968" max="8968" width="7" style="332" customWidth="1"/>
    <col min="8969" max="8969" width="9.5703125" style="332" customWidth="1"/>
    <col min="8970" max="8970" width="10.42578125" style="332" customWidth="1"/>
    <col min="8971" max="8971" width="14.5703125" style="332" customWidth="1"/>
    <col min="8972" max="9216" width="11.42578125" style="332"/>
    <col min="9217" max="9217" width="10.42578125" style="332" customWidth="1"/>
    <col min="9218" max="9218" width="62.5703125" style="332" customWidth="1"/>
    <col min="9219" max="9219" width="6.5703125" style="332" customWidth="1"/>
    <col min="9220" max="9220" width="8.5703125" style="332" customWidth="1"/>
    <col min="9221" max="9221" width="7.5703125" style="332" bestFit="1" customWidth="1"/>
    <col min="9222" max="9222" width="7.42578125" style="332" customWidth="1"/>
    <col min="9223" max="9223" width="9.5703125" style="332" customWidth="1"/>
    <col min="9224" max="9224" width="7" style="332" customWidth="1"/>
    <col min="9225" max="9225" width="9.5703125" style="332" customWidth="1"/>
    <col min="9226" max="9226" width="10.42578125" style="332" customWidth="1"/>
    <col min="9227" max="9227" width="14.5703125" style="332" customWidth="1"/>
    <col min="9228" max="9472" width="11.42578125" style="332"/>
    <col min="9473" max="9473" width="10.42578125" style="332" customWidth="1"/>
    <col min="9474" max="9474" width="62.5703125" style="332" customWidth="1"/>
    <col min="9475" max="9475" width="6.5703125" style="332" customWidth="1"/>
    <col min="9476" max="9476" width="8.5703125" style="332" customWidth="1"/>
    <col min="9477" max="9477" width="7.5703125" style="332" bestFit="1" customWidth="1"/>
    <col min="9478" max="9478" width="7.42578125" style="332" customWidth="1"/>
    <col min="9479" max="9479" width="9.5703125" style="332" customWidth="1"/>
    <col min="9480" max="9480" width="7" style="332" customWidth="1"/>
    <col min="9481" max="9481" width="9.5703125" style="332" customWidth="1"/>
    <col min="9482" max="9482" width="10.42578125" style="332" customWidth="1"/>
    <col min="9483" max="9483" width="14.5703125" style="332" customWidth="1"/>
    <col min="9484" max="9728" width="11.42578125" style="332"/>
    <col min="9729" max="9729" width="10.42578125" style="332" customWidth="1"/>
    <col min="9730" max="9730" width="62.5703125" style="332" customWidth="1"/>
    <col min="9731" max="9731" width="6.5703125" style="332" customWidth="1"/>
    <col min="9732" max="9732" width="8.5703125" style="332" customWidth="1"/>
    <col min="9733" max="9733" width="7.5703125" style="332" bestFit="1" customWidth="1"/>
    <col min="9734" max="9734" width="7.42578125" style="332" customWidth="1"/>
    <col min="9735" max="9735" width="9.5703125" style="332" customWidth="1"/>
    <col min="9736" max="9736" width="7" style="332" customWidth="1"/>
    <col min="9737" max="9737" width="9.5703125" style="332" customWidth="1"/>
    <col min="9738" max="9738" width="10.42578125" style="332" customWidth="1"/>
    <col min="9739" max="9739" width="14.5703125" style="332" customWidth="1"/>
    <col min="9740" max="9984" width="11.42578125" style="332"/>
    <col min="9985" max="9985" width="10.42578125" style="332" customWidth="1"/>
    <col min="9986" max="9986" width="62.5703125" style="332" customWidth="1"/>
    <col min="9987" max="9987" width="6.5703125" style="332" customWidth="1"/>
    <col min="9988" max="9988" width="8.5703125" style="332" customWidth="1"/>
    <col min="9989" max="9989" width="7.5703125" style="332" bestFit="1" customWidth="1"/>
    <col min="9990" max="9990" width="7.42578125" style="332" customWidth="1"/>
    <col min="9991" max="9991" width="9.5703125" style="332" customWidth="1"/>
    <col min="9992" max="9992" width="7" style="332" customWidth="1"/>
    <col min="9993" max="9993" width="9.5703125" style="332" customWidth="1"/>
    <col min="9994" max="9994" width="10.42578125" style="332" customWidth="1"/>
    <col min="9995" max="9995" width="14.5703125" style="332" customWidth="1"/>
    <col min="9996" max="10240" width="11.42578125" style="332"/>
    <col min="10241" max="10241" width="10.42578125" style="332" customWidth="1"/>
    <col min="10242" max="10242" width="62.5703125" style="332" customWidth="1"/>
    <col min="10243" max="10243" width="6.5703125" style="332" customWidth="1"/>
    <col min="10244" max="10244" width="8.5703125" style="332" customWidth="1"/>
    <col min="10245" max="10245" width="7.5703125" style="332" bestFit="1" customWidth="1"/>
    <col min="10246" max="10246" width="7.42578125" style="332" customWidth="1"/>
    <col min="10247" max="10247" width="9.5703125" style="332" customWidth="1"/>
    <col min="10248" max="10248" width="7" style="332" customWidth="1"/>
    <col min="10249" max="10249" width="9.5703125" style="332" customWidth="1"/>
    <col min="10250" max="10250" width="10.42578125" style="332" customWidth="1"/>
    <col min="10251" max="10251" width="14.5703125" style="332" customWidth="1"/>
    <col min="10252" max="10496" width="11.42578125" style="332"/>
    <col min="10497" max="10497" width="10.42578125" style="332" customWidth="1"/>
    <col min="10498" max="10498" width="62.5703125" style="332" customWidth="1"/>
    <col min="10499" max="10499" width="6.5703125" style="332" customWidth="1"/>
    <col min="10500" max="10500" width="8.5703125" style="332" customWidth="1"/>
    <col min="10501" max="10501" width="7.5703125" style="332" bestFit="1" customWidth="1"/>
    <col min="10502" max="10502" width="7.42578125" style="332" customWidth="1"/>
    <col min="10503" max="10503" width="9.5703125" style="332" customWidth="1"/>
    <col min="10504" max="10504" width="7" style="332" customWidth="1"/>
    <col min="10505" max="10505" width="9.5703125" style="332" customWidth="1"/>
    <col min="10506" max="10506" width="10.42578125" style="332" customWidth="1"/>
    <col min="10507" max="10507" width="14.5703125" style="332" customWidth="1"/>
    <col min="10508" max="10752" width="11.42578125" style="332"/>
    <col min="10753" max="10753" width="10.42578125" style="332" customWidth="1"/>
    <col min="10754" max="10754" width="62.5703125" style="332" customWidth="1"/>
    <col min="10755" max="10755" width="6.5703125" style="332" customWidth="1"/>
    <col min="10756" max="10756" width="8.5703125" style="332" customWidth="1"/>
    <col min="10757" max="10757" width="7.5703125" style="332" bestFit="1" customWidth="1"/>
    <col min="10758" max="10758" width="7.42578125" style="332" customWidth="1"/>
    <col min="10759" max="10759" width="9.5703125" style="332" customWidth="1"/>
    <col min="10760" max="10760" width="7" style="332" customWidth="1"/>
    <col min="10761" max="10761" width="9.5703125" style="332" customWidth="1"/>
    <col min="10762" max="10762" width="10.42578125" style="332" customWidth="1"/>
    <col min="10763" max="10763" width="14.5703125" style="332" customWidth="1"/>
    <col min="10764" max="11008" width="11.42578125" style="332"/>
    <col min="11009" max="11009" width="10.42578125" style="332" customWidth="1"/>
    <col min="11010" max="11010" width="62.5703125" style="332" customWidth="1"/>
    <col min="11011" max="11011" width="6.5703125" style="332" customWidth="1"/>
    <col min="11012" max="11012" width="8.5703125" style="332" customWidth="1"/>
    <col min="11013" max="11013" width="7.5703125" style="332" bestFit="1" customWidth="1"/>
    <col min="11014" max="11014" width="7.42578125" style="332" customWidth="1"/>
    <col min="11015" max="11015" width="9.5703125" style="332" customWidth="1"/>
    <col min="11016" max="11016" width="7" style="332" customWidth="1"/>
    <col min="11017" max="11017" width="9.5703125" style="332" customWidth="1"/>
    <col min="11018" max="11018" width="10.42578125" style="332" customWidth="1"/>
    <col min="11019" max="11019" width="14.5703125" style="332" customWidth="1"/>
    <col min="11020" max="11264" width="11.42578125" style="332"/>
    <col min="11265" max="11265" width="10.42578125" style="332" customWidth="1"/>
    <col min="11266" max="11266" width="62.5703125" style="332" customWidth="1"/>
    <col min="11267" max="11267" width="6.5703125" style="332" customWidth="1"/>
    <col min="11268" max="11268" width="8.5703125" style="332" customWidth="1"/>
    <col min="11269" max="11269" width="7.5703125" style="332" bestFit="1" customWidth="1"/>
    <col min="11270" max="11270" width="7.42578125" style="332" customWidth="1"/>
    <col min="11271" max="11271" width="9.5703125" style="332" customWidth="1"/>
    <col min="11272" max="11272" width="7" style="332" customWidth="1"/>
    <col min="11273" max="11273" width="9.5703125" style="332" customWidth="1"/>
    <col min="11274" max="11274" width="10.42578125" style="332" customWidth="1"/>
    <col min="11275" max="11275" width="14.5703125" style="332" customWidth="1"/>
    <col min="11276" max="11520" width="11.42578125" style="332"/>
    <col min="11521" max="11521" width="10.42578125" style="332" customWidth="1"/>
    <col min="11522" max="11522" width="62.5703125" style="332" customWidth="1"/>
    <col min="11523" max="11523" width="6.5703125" style="332" customWidth="1"/>
    <col min="11524" max="11524" width="8.5703125" style="332" customWidth="1"/>
    <col min="11525" max="11525" width="7.5703125" style="332" bestFit="1" customWidth="1"/>
    <col min="11526" max="11526" width="7.42578125" style="332" customWidth="1"/>
    <col min="11527" max="11527" width="9.5703125" style="332" customWidth="1"/>
    <col min="11528" max="11528" width="7" style="332" customWidth="1"/>
    <col min="11529" max="11529" width="9.5703125" style="332" customWidth="1"/>
    <col min="11530" max="11530" width="10.42578125" style="332" customWidth="1"/>
    <col min="11531" max="11531" width="14.5703125" style="332" customWidth="1"/>
    <col min="11532" max="11776" width="11.42578125" style="332"/>
    <col min="11777" max="11777" width="10.42578125" style="332" customWidth="1"/>
    <col min="11778" max="11778" width="62.5703125" style="332" customWidth="1"/>
    <col min="11779" max="11779" width="6.5703125" style="332" customWidth="1"/>
    <col min="11780" max="11780" width="8.5703125" style="332" customWidth="1"/>
    <col min="11781" max="11781" width="7.5703125" style="332" bestFit="1" customWidth="1"/>
    <col min="11782" max="11782" width="7.42578125" style="332" customWidth="1"/>
    <col min="11783" max="11783" width="9.5703125" style="332" customWidth="1"/>
    <col min="11784" max="11784" width="7" style="332" customWidth="1"/>
    <col min="11785" max="11785" width="9.5703125" style="332" customWidth="1"/>
    <col min="11786" max="11786" width="10.42578125" style="332" customWidth="1"/>
    <col min="11787" max="11787" width="14.5703125" style="332" customWidth="1"/>
    <col min="11788" max="12032" width="11.42578125" style="332"/>
    <col min="12033" max="12033" width="10.42578125" style="332" customWidth="1"/>
    <col min="12034" max="12034" width="62.5703125" style="332" customWidth="1"/>
    <col min="12035" max="12035" width="6.5703125" style="332" customWidth="1"/>
    <col min="12036" max="12036" width="8.5703125" style="332" customWidth="1"/>
    <col min="12037" max="12037" width="7.5703125" style="332" bestFit="1" customWidth="1"/>
    <col min="12038" max="12038" width="7.42578125" style="332" customWidth="1"/>
    <col min="12039" max="12039" width="9.5703125" style="332" customWidth="1"/>
    <col min="12040" max="12040" width="7" style="332" customWidth="1"/>
    <col min="12041" max="12041" width="9.5703125" style="332" customWidth="1"/>
    <col min="12042" max="12042" width="10.42578125" style="332" customWidth="1"/>
    <col min="12043" max="12043" width="14.5703125" style="332" customWidth="1"/>
    <col min="12044" max="12288" width="11.42578125" style="332"/>
    <col min="12289" max="12289" width="10.42578125" style="332" customWidth="1"/>
    <col min="12290" max="12290" width="62.5703125" style="332" customWidth="1"/>
    <col min="12291" max="12291" width="6.5703125" style="332" customWidth="1"/>
    <col min="12292" max="12292" width="8.5703125" style="332" customWidth="1"/>
    <col min="12293" max="12293" width="7.5703125" style="332" bestFit="1" customWidth="1"/>
    <col min="12294" max="12294" width="7.42578125" style="332" customWidth="1"/>
    <col min="12295" max="12295" width="9.5703125" style="332" customWidth="1"/>
    <col min="12296" max="12296" width="7" style="332" customWidth="1"/>
    <col min="12297" max="12297" width="9.5703125" style="332" customWidth="1"/>
    <col min="12298" max="12298" width="10.42578125" style="332" customWidth="1"/>
    <col min="12299" max="12299" width="14.5703125" style="332" customWidth="1"/>
    <col min="12300" max="12544" width="11.42578125" style="332"/>
    <col min="12545" max="12545" width="10.42578125" style="332" customWidth="1"/>
    <col min="12546" max="12546" width="62.5703125" style="332" customWidth="1"/>
    <col min="12547" max="12547" width="6.5703125" style="332" customWidth="1"/>
    <col min="12548" max="12548" width="8.5703125" style="332" customWidth="1"/>
    <col min="12549" max="12549" width="7.5703125" style="332" bestFit="1" customWidth="1"/>
    <col min="12550" max="12550" width="7.42578125" style="332" customWidth="1"/>
    <col min="12551" max="12551" width="9.5703125" style="332" customWidth="1"/>
    <col min="12552" max="12552" width="7" style="332" customWidth="1"/>
    <col min="12553" max="12553" width="9.5703125" style="332" customWidth="1"/>
    <col min="12554" max="12554" width="10.42578125" style="332" customWidth="1"/>
    <col min="12555" max="12555" width="14.5703125" style="332" customWidth="1"/>
    <col min="12556" max="12800" width="11.42578125" style="332"/>
    <col min="12801" max="12801" width="10.42578125" style="332" customWidth="1"/>
    <col min="12802" max="12802" width="62.5703125" style="332" customWidth="1"/>
    <col min="12803" max="12803" width="6.5703125" style="332" customWidth="1"/>
    <col min="12804" max="12804" width="8.5703125" style="332" customWidth="1"/>
    <col min="12805" max="12805" width="7.5703125" style="332" bestFit="1" customWidth="1"/>
    <col min="12806" max="12806" width="7.42578125" style="332" customWidth="1"/>
    <col min="12807" max="12807" width="9.5703125" style="332" customWidth="1"/>
    <col min="12808" max="12808" width="7" style="332" customWidth="1"/>
    <col min="12809" max="12809" width="9.5703125" style="332" customWidth="1"/>
    <col min="12810" max="12810" width="10.42578125" style="332" customWidth="1"/>
    <col min="12811" max="12811" width="14.5703125" style="332" customWidth="1"/>
    <col min="12812" max="13056" width="11.42578125" style="332"/>
    <col min="13057" max="13057" width="10.42578125" style="332" customWidth="1"/>
    <col min="13058" max="13058" width="62.5703125" style="332" customWidth="1"/>
    <col min="13059" max="13059" width="6.5703125" style="332" customWidth="1"/>
    <col min="13060" max="13060" width="8.5703125" style="332" customWidth="1"/>
    <col min="13061" max="13061" width="7.5703125" style="332" bestFit="1" customWidth="1"/>
    <col min="13062" max="13062" width="7.42578125" style="332" customWidth="1"/>
    <col min="13063" max="13063" width="9.5703125" style="332" customWidth="1"/>
    <col min="13064" max="13064" width="7" style="332" customWidth="1"/>
    <col min="13065" max="13065" width="9.5703125" style="332" customWidth="1"/>
    <col min="13066" max="13066" width="10.42578125" style="332" customWidth="1"/>
    <col min="13067" max="13067" width="14.5703125" style="332" customWidth="1"/>
    <col min="13068" max="13312" width="11.42578125" style="332"/>
    <col min="13313" max="13313" width="10.42578125" style="332" customWidth="1"/>
    <col min="13314" max="13314" width="62.5703125" style="332" customWidth="1"/>
    <col min="13315" max="13315" width="6.5703125" style="332" customWidth="1"/>
    <col min="13316" max="13316" width="8.5703125" style="332" customWidth="1"/>
    <col min="13317" max="13317" width="7.5703125" style="332" bestFit="1" customWidth="1"/>
    <col min="13318" max="13318" width="7.42578125" style="332" customWidth="1"/>
    <col min="13319" max="13319" width="9.5703125" style="332" customWidth="1"/>
    <col min="13320" max="13320" width="7" style="332" customWidth="1"/>
    <col min="13321" max="13321" width="9.5703125" style="332" customWidth="1"/>
    <col min="13322" max="13322" width="10.42578125" style="332" customWidth="1"/>
    <col min="13323" max="13323" width="14.5703125" style="332" customWidth="1"/>
    <col min="13324" max="13568" width="11.42578125" style="332"/>
    <col min="13569" max="13569" width="10.42578125" style="332" customWidth="1"/>
    <col min="13570" max="13570" width="62.5703125" style="332" customWidth="1"/>
    <col min="13571" max="13571" width="6.5703125" style="332" customWidth="1"/>
    <col min="13572" max="13572" width="8.5703125" style="332" customWidth="1"/>
    <col min="13573" max="13573" width="7.5703125" style="332" bestFit="1" customWidth="1"/>
    <col min="13574" max="13574" width="7.42578125" style="332" customWidth="1"/>
    <col min="13575" max="13575" width="9.5703125" style="332" customWidth="1"/>
    <col min="13576" max="13576" width="7" style="332" customWidth="1"/>
    <col min="13577" max="13577" width="9.5703125" style="332" customWidth="1"/>
    <col min="13578" max="13578" width="10.42578125" style="332" customWidth="1"/>
    <col min="13579" max="13579" width="14.5703125" style="332" customWidth="1"/>
    <col min="13580" max="13824" width="11.42578125" style="332"/>
    <col min="13825" max="13825" width="10.42578125" style="332" customWidth="1"/>
    <col min="13826" max="13826" width="62.5703125" style="332" customWidth="1"/>
    <col min="13827" max="13827" width="6.5703125" style="332" customWidth="1"/>
    <col min="13828" max="13828" width="8.5703125" style="332" customWidth="1"/>
    <col min="13829" max="13829" width="7.5703125" style="332" bestFit="1" customWidth="1"/>
    <col min="13830" max="13830" width="7.42578125" style="332" customWidth="1"/>
    <col min="13831" max="13831" width="9.5703125" style="332" customWidth="1"/>
    <col min="13832" max="13832" width="7" style="332" customWidth="1"/>
    <col min="13833" max="13833" width="9.5703125" style="332" customWidth="1"/>
    <col min="13834" max="13834" width="10.42578125" style="332" customWidth="1"/>
    <col min="13835" max="13835" width="14.5703125" style="332" customWidth="1"/>
    <col min="13836" max="14080" width="11.42578125" style="332"/>
    <col min="14081" max="14081" width="10.42578125" style="332" customWidth="1"/>
    <col min="14082" max="14082" width="62.5703125" style="332" customWidth="1"/>
    <col min="14083" max="14083" width="6.5703125" style="332" customWidth="1"/>
    <col min="14084" max="14084" width="8.5703125" style="332" customWidth="1"/>
    <col min="14085" max="14085" width="7.5703125" style="332" bestFit="1" customWidth="1"/>
    <col min="14086" max="14086" width="7.42578125" style="332" customWidth="1"/>
    <col min="14087" max="14087" width="9.5703125" style="332" customWidth="1"/>
    <col min="14088" max="14088" width="7" style="332" customWidth="1"/>
    <col min="14089" max="14089" width="9.5703125" style="332" customWidth="1"/>
    <col min="14090" max="14090" width="10.42578125" style="332" customWidth="1"/>
    <col min="14091" max="14091" width="14.5703125" style="332" customWidth="1"/>
    <col min="14092" max="14336" width="11.42578125" style="332"/>
    <col min="14337" max="14337" width="10.42578125" style="332" customWidth="1"/>
    <col min="14338" max="14338" width="62.5703125" style="332" customWidth="1"/>
    <col min="14339" max="14339" width="6.5703125" style="332" customWidth="1"/>
    <col min="14340" max="14340" width="8.5703125" style="332" customWidth="1"/>
    <col min="14341" max="14341" width="7.5703125" style="332" bestFit="1" customWidth="1"/>
    <col min="14342" max="14342" width="7.42578125" style="332" customWidth="1"/>
    <col min="14343" max="14343" width="9.5703125" style="332" customWidth="1"/>
    <col min="14344" max="14344" width="7" style="332" customWidth="1"/>
    <col min="14345" max="14345" width="9.5703125" style="332" customWidth="1"/>
    <col min="14346" max="14346" width="10.42578125" style="332" customWidth="1"/>
    <col min="14347" max="14347" width="14.5703125" style="332" customWidth="1"/>
    <col min="14348" max="14592" width="11.42578125" style="332"/>
    <col min="14593" max="14593" width="10.42578125" style="332" customWidth="1"/>
    <col min="14594" max="14594" width="62.5703125" style="332" customWidth="1"/>
    <col min="14595" max="14595" width="6.5703125" style="332" customWidth="1"/>
    <col min="14596" max="14596" width="8.5703125" style="332" customWidth="1"/>
    <col min="14597" max="14597" width="7.5703125" style="332" bestFit="1" customWidth="1"/>
    <col min="14598" max="14598" width="7.42578125" style="332" customWidth="1"/>
    <col min="14599" max="14599" width="9.5703125" style="332" customWidth="1"/>
    <col min="14600" max="14600" width="7" style="332" customWidth="1"/>
    <col min="14601" max="14601" width="9.5703125" style="332" customWidth="1"/>
    <col min="14602" max="14602" width="10.42578125" style="332" customWidth="1"/>
    <col min="14603" max="14603" width="14.5703125" style="332" customWidth="1"/>
    <col min="14604" max="14848" width="11.42578125" style="332"/>
    <col min="14849" max="14849" width="10.42578125" style="332" customWidth="1"/>
    <col min="14850" max="14850" width="62.5703125" style="332" customWidth="1"/>
    <col min="14851" max="14851" width="6.5703125" style="332" customWidth="1"/>
    <col min="14852" max="14852" width="8.5703125" style="332" customWidth="1"/>
    <col min="14853" max="14853" width="7.5703125" style="332" bestFit="1" customWidth="1"/>
    <col min="14854" max="14854" width="7.42578125" style="332" customWidth="1"/>
    <col min="14855" max="14855" width="9.5703125" style="332" customWidth="1"/>
    <col min="14856" max="14856" width="7" style="332" customWidth="1"/>
    <col min="14857" max="14857" width="9.5703125" style="332" customWidth="1"/>
    <col min="14858" max="14858" width="10.42578125" style="332" customWidth="1"/>
    <col min="14859" max="14859" width="14.5703125" style="332" customWidth="1"/>
    <col min="14860" max="15104" width="11.42578125" style="332"/>
    <col min="15105" max="15105" width="10.42578125" style="332" customWidth="1"/>
    <col min="15106" max="15106" width="62.5703125" style="332" customWidth="1"/>
    <col min="15107" max="15107" width="6.5703125" style="332" customWidth="1"/>
    <col min="15108" max="15108" width="8.5703125" style="332" customWidth="1"/>
    <col min="15109" max="15109" width="7.5703125" style="332" bestFit="1" customWidth="1"/>
    <col min="15110" max="15110" width="7.42578125" style="332" customWidth="1"/>
    <col min="15111" max="15111" width="9.5703125" style="332" customWidth="1"/>
    <col min="15112" max="15112" width="7" style="332" customWidth="1"/>
    <col min="15113" max="15113" width="9.5703125" style="332" customWidth="1"/>
    <col min="15114" max="15114" width="10.42578125" style="332" customWidth="1"/>
    <col min="15115" max="15115" width="14.5703125" style="332" customWidth="1"/>
    <col min="15116" max="15360" width="11.42578125" style="332"/>
    <col min="15361" max="15361" width="10.42578125" style="332" customWidth="1"/>
    <col min="15362" max="15362" width="62.5703125" style="332" customWidth="1"/>
    <col min="15363" max="15363" width="6.5703125" style="332" customWidth="1"/>
    <col min="15364" max="15364" width="8.5703125" style="332" customWidth="1"/>
    <col min="15365" max="15365" width="7.5703125" style="332" bestFit="1" customWidth="1"/>
    <col min="15366" max="15366" width="7.42578125" style="332" customWidth="1"/>
    <col min="15367" max="15367" width="9.5703125" style="332" customWidth="1"/>
    <col min="15368" max="15368" width="7" style="332" customWidth="1"/>
    <col min="15369" max="15369" width="9.5703125" style="332" customWidth="1"/>
    <col min="15370" max="15370" width="10.42578125" style="332" customWidth="1"/>
    <col min="15371" max="15371" width="14.5703125" style="332" customWidth="1"/>
    <col min="15372" max="15616" width="11.42578125" style="332"/>
    <col min="15617" max="15617" width="10.42578125" style="332" customWidth="1"/>
    <col min="15618" max="15618" width="62.5703125" style="332" customWidth="1"/>
    <col min="15619" max="15619" width="6.5703125" style="332" customWidth="1"/>
    <col min="15620" max="15620" width="8.5703125" style="332" customWidth="1"/>
    <col min="15621" max="15621" width="7.5703125" style="332" bestFit="1" customWidth="1"/>
    <col min="15622" max="15622" width="7.42578125" style="332" customWidth="1"/>
    <col min="15623" max="15623" width="9.5703125" style="332" customWidth="1"/>
    <col min="15624" max="15624" width="7" style="332" customWidth="1"/>
    <col min="15625" max="15625" width="9.5703125" style="332" customWidth="1"/>
    <col min="15626" max="15626" width="10.42578125" style="332" customWidth="1"/>
    <col min="15627" max="15627" width="14.5703125" style="332" customWidth="1"/>
    <col min="15628" max="15872" width="11.42578125" style="332"/>
    <col min="15873" max="15873" width="10.42578125" style="332" customWidth="1"/>
    <col min="15874" max="15874" width="62.5703125" style="332" customWidth="1"/>
    <col min="15875" max="15875" width="6.5703125" style="332" customWidth="1"/>
    <col min="15876" max="15876" width="8.5703125" style="332" customWidth="1"/>
    <col min="15877" max="15877" width="7.5703125" style="332" bestFit="1" customWidth="1"/>
    <col min="15878" max="15878" width="7.42578125" style="332" customWidth="1"/>
    <col min="15879" max="15879" width="9.5703125" style="332" customWidth="1"/>
    <col min="15880" max="15880" width="7" style="332" customWidth="1"/>
    <col min="15881" max="15881" width="9.5703125" style="332" customWidth="1"/>
    <col min="15882" max="15882" width="10.42578125" style="332" customWidth="1"/>
    <col min="15883" max="15883" width="14.5703125" style="332" customWidth="1"/>
    <col min="15884" max="16128" width="11.42578125" style="332"/>
    <col min="16129" max="16129" width="10.42578125" style="332" customWidth="1"/>
    <col min="16130" max="16130" width="62.5703125" style="332" customWidth="1"/>
    <col min="16131" max="16131" width="6.5703125" style="332" customWidth="1"/>
    <col min="16132" max="16132" width="8.5703125" style="332" customWidth="1"/>
    <col min="16133" max="16133" width="7.5703125" style="332" bestFit="1" customWidth="1"/>
    <col min="16134" max="16134" width="7.42578125" style="332" customWidth="1"/>
    <col min="16135" max="16135" width="9.5703125" style="332" customWidth="1"/>
    <col min="16136" max="16136" width="7" style="332" customWidth="1"/>
    <col min="16137" max="16137" width="9.5703125" style="332" customWidth="1"/>
    <col min="16138" max="16138" width="10.42578125" style="332" customWidth="1"/>
    <col min="16139" max="16139" width="14.5703125" style="332" customWidth="1"/>
    <col min="16140" max="16384" width="11.425781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75">
      <c r="A4" s="3298" t="s">
        <v>70</v>
      </c>
      <c r="B4" s="3298"/>
      <c r="C4" s="3298"/>
      <c r="D4" s="3298"/>
      <c r="E4" s="3298"/>
      <c r="F4" s="3298"/>
      <c r="G4" s="3298"/>
      <c r="H4" s="3298"/>
      <c r="I4" s="3298"/>
      <c r="J4" s="3298"/>
      <c r="K4" s="3298"/>
    </row>
    <row r="5" spans="1:20">
      <c r="B5" s="68" t="s">
        <v>247</v>
      </c>
      <c r="C5" s="310"/>
      <c r="D5" s="62"/>
      <c r="E5" s="310"/>
      <c r="F5" s="63"/>
      <c r="G5" s="63"/>
      <c r="H5" s="63"/>
      <c r="I5" s="64"/>
      <c r="J5" s="65"/>
      <c r="K5" s="63"/>
    </row>
    <row r="6" spans="1:20">
      <c r="A6" s="68"/>
      <c r="B6" s="3299" t="s">
        <v>248</v>
      </c>
      <c r="C6" s="3299"/>
      <c r="D6" s="3299"/>
      <c r="E6" s="3299"/>
      <c r="F6" s="3299"/>
      <c r="G6" s="3299"/>
      <c r="H6" s="3299"/>
      <c r="I6" s="3299"/>
      <c r="J6" s="65"/>
      <c r="K6" s="63"/>
    </row>
    <row r="7" spans="1:20">
      <c r="A7" s="68"/>
      <c r="B7" s="69" t="s">
        <v>71</v>
      </c>
      <c r="C7" s="310"/>
      <c r="D7" s="310"/>
      <c r="E7" s="310"/>
      <c r="F7" s="64"/>
      <c r="G7" s="64"/>
      <c r="H7" s="63"/>
      <c r="I7" s="64"/>
      <c r="J7" s="65"/>
      <c r="K7" s="63"/>
    </row>
    <row r="8" spans="1:20" ht="15.75" thickBot="1">
      <c r="A8" s="70"/>
      <c r="B8" s="71"/>
      <c r="C8" s="72"/>
      <c r="D8" s="73"/>
      <c r="E8" s="72"/>
      <c r="F8" s="74"/>
      <c r="G8" s="74"/>
      <c r="H8" s="75"/>
      <c r="I8" s="76"/>
      <c r="J8" s="77"/>
      <c r="K8" s="64"/>
    </row>
    <row r="9" spans="1:20" ht="24" customHeight="1">
      <c r="A9" s="3300" t="s">
        <v>66</v>
      </c>
      <c r="B9" s="3302" t="s">
        <v>72</v>
      </c>
      <c r="C9" s="311" t="s">
        <v>73</v>
      </c>
      <c r="D9" s="3302" t="s">
        <v>74</v>
      </c>
      <c r="E9" s="3302" t="s">
        <v>75</v>
      </c>
      <c r="F9" s="3304" t="s">
        <v>76</v>
      </c>
      <c r="G9" s="3304"/>
      <c r="H9" s="3304"/>
      <c r="I9" s="3304"/>
      <c r="J9" s="3304"/>
      <c r="K9" s="3305" t="s">
        <v>77</v>
      </c>
    </row>
    <row r="10" spans="1:20" ht="15.75" thickBot="1">
      <c r="A10" s="3301"/>
      <c r="B10" s="3303"/>
      <c r="C10" s="78" t="s">
        <v>78</v>
      </c>
      <c r="D10" s="3303"/>
      <c r="E10" s="3303"/>
      <c r="F10" s="78" t="s">
        <v>79</v>
      </c>
      <c r="G10" s="78" t="s">
        <v>80</v>
      </c>
      <c r="H10" s="78" t="s">
        <v>81</v>
      </c>
      <c r="I10" s="78" t="s">
        <v>82</v>
      </c>
      <c r="J10" s="79" t="s">
        <v>2</v>
      </c>
      <c r="K10" s="3306"/>
    </row>
    <row r="11" spans="1:20" ht="15.75">
      <c r="A11" s="334"/>
      <c r="B11" s="80" t="s">
        <v>63</v>
      </c>
      <c r="C11" s="335"/>
      <c r="D11" s="335"/>
      <c r="E11" s="335"/>
      <c r="F11" s="335"/>
      <c r="G11" s="335"/>
      <c r="H11" s="335"/>
      <c r="I11" s="336"/>
      <c r="J11" s="337"/>
      <c r="K11" s="338"/>
    </row>
    <row r="12" spans="1:20" ht="15.75">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+'[44]PARTIDAS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2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638175</xdr:colOff>
                <xdr:row>0</xdr:row>
                <xdr:rowOff>104775</xdr:rowOff>
              </from>
              <to>
                <xdr:col>10</xdr:col>
                <xdr:colOff>838200</xdr:colOff>
                <xdr:row>6</xdr:row>
                <xdr:rowOff>104775</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FQ171"/>
  <sheetViews>
    <sheetView workbookViewId="0"/>
  </sheetViews>
  <sheetFormatPr baseColWidth="10" defaultRowHeight="12.75"/>
  <cols>
    <col min="1" max="1" width="9.42578125" style="109" bestFit="1" customWidth="1"/>
    <col min="2" max="2" width="48.42578125" style="166" bestFit="1" customWidth="1"/>
    <col min="3" max="3" width="6.42578125" style="124" bestFit="1" customWidth="1"/>
    <col min="4" max="4" width="9.42578125" style="123" bestFit="1" customWidth="1"/>
    <col min="5" max="5" width="7" bestFit="1" customWidth="1"/>
    <col min="6" max="6" width="10" customWidth="1"/>
    <col min="7" max="7" width="7" bestFit="1" customWidth="1"/>
    <col min="8" max="8" width="5.5703125" bestFit="1" customWidth="1"/>
    <col min="9" max="9" width="9.42578125" bestFit="1" customWidth="1"/>
    <col min="10" max="10" width="28.5703125" customWidth="1"/>
    <col min="11" max="11" width="15.42578125" bestFit="1" customWidth="1"/>
    <col min="12" max="12" width="13.5703125" customWidth="1"/>
    <col min="257" max="257" width="9.42578125" bestFit="1" customWidth="1"/>
    <col min="258" max="258" width="48.42578125" bestFit="1" customWidth="1"/>
    <col min="259" max="259" width="6.42578125" bestFit="1" customWidth="1"/>
    <col min="260" max="260" width="9.42578125" bestFit="1" customWidth="1"/>
    <col min="261" max="261" width="7" bestFit="1" customWidth="1"/>
    <col min="262" max="262" width="10" customWidth="1"/>
    <col min="263" max="263" width="7" bestFit="1" customWidth="1"/>
    <col min="264" max="264" width="5.5703125" bestFit="1" customWidth="1"/>
    <col min="265" max="265" width="9.42578125" bestFit="1" customWidth="1"/>
    <col min="266" max="266" width="28.5703125" customWidth="1"/>
    <col min="267" max="267" width="15.42578125" bestFit="1" customWidth="1"/>
    <col min="268" max="268" width="13.5703125" customWidth="1"/>
    <col min="513" max="513" width="9.42578125" bestFit="1" customWidth="1"/>
    <col min="514" max="514" width="48.42578125" bestFit="1" customWidth="1"/>
    <col min="515" max="515" width="6.42578125" bestFit="1" customWidth="1"/>
    <col min="516" max="516" width="9.42578125" bestFit="1" customWidth="1"/>
    <col min="517" max="517" width="7" bestFit="1" customWidth="1"/>
    <col min="518" max="518" width="10" customWidth="1"/>
    <col min="519" max="519" width="7" bestFit="1" customWidth="1"/>
    <col min="520" max="520" width="5.5703125" bestFit="1" customWidth="1"/>
    <col min="521" max="521" width="9.42578125" bestFit="1" customWidth="1"/>
    <col min="522" max="522" width="28.5703125" customWidth="1"/>
    <col min="523" max="523" width="15.42578125" bestFit="1" customWidth="1"/>
    <col min="524" max="524" width="13.5703125" customWidth="1"/>
    <col min="769" max="769" width="9.42578125" bestFit="1" customWidth="1"/>
    <col min="770" max="770" width="48.42578125" bestFit="1" customWidth="1"/>
    <col min="771" max="771" width="6.42578125" bestFit="1" customWidth="1"/>
    <col min="772" max="772" width="9.42578125" bestFit="1" customWidth="1"/>
    <col min="773" max="773" width="7" bestFit="1" customWidth="1"/>
    <col min="774" max="774" width="10" customWidth="1"/>
    <col min="775" max="775" width="7" bestFit="1" customWidth="1"/>
    <col min="776" max="776" width="5.5703125" bestFit="1" customWidth="1"/>
    <col min="777" max="777" width="9.42578125" bestFit="1" customWidth="1"/>
    <col min="778" max="778" width="28.5703125" customWidth="1"/>
    <col min="779" max="779" width="15.42578125" bestFit="1" customWidth="1"/>
    <col min="780" max="780" width="13.5703125" customWidth="1"/>
    <col min="1025" max="1025" width="9.42578125" bestFit="1" customWidth="1"/>
    <col min="1026" max="1026" width="48.42578125" bestFit="1" customWidth="1"/>
    <col min="1027" max="1027" width="6.42578125" bestFit="1" customWidth="1"/>
    <col min="1028" max="1028" width="9.42578125" bestFit="1" customWidth="1"/>
    <col min="1029" max="1029" width="7" bestFit="1" customWidth="1"/>
    <col min="1030" max="1030" width="10" customWidth="1"/>
    <col min="1031" max="1031" width="7" bestFit="1" customWidth="1"/>
    <col min="1032" max="1032" width="5.5703125" bestFit="1" customWidth="1"/>
    <col min="1033" max="1033" width="9.42578125" bestFit="1" customWidth="1"/>
    <col min="1034" max="1034" width="28.5703125" customWidth="1"/>
    <col min="1035" max="1035" width="15.42578125" bestFit="1" customWidth="1"/>
    <col min="1036" max="1036" width="13.5703125" customWidth="1"/>
    <col min="1281" max="1281" width="9.42578125" bestFit="1" customWidth="1"/>
    <col min="1282" max="1282" width="48.42578125" bestFit="1" customWidth="1"/>
    <col min="1283" max="1283" width="6.42578125" bestFit="1" customWidth="1"/>
    <col min="1284" max="1284" width="9.42578125" bestFit="1" customWidth="1"/>
    <col min="1285" max="1285" width="7" bestFit="1" customWidth="1"/>
    <col min="1286" max="1286" width="10" customWidth="1"/>
    <col min="1287" max="1287" width="7" bestFit="1" customWidth="1"/>
    <col min="1288" max="1288" width="5.5703125" bestFit="1" customWidth="1"/>
    <col min="1289" max="1289" width="9.42578125" bestFit="1" customWidth="1"/>
    <col min="1290" max="1290" width="28.5703125" customWidth="1"/>
    <col min="1291" max="1291" width="15.42578125" bestFit="1" customWidth="1"/>
    <col min="1292" max="1292" width="13.5703125" customWidth="1"/>
    <col min="1537" max="1537" width="9.42578125" bestFit="1" customWidth="1"/>
    <col min="1538" max="1538" width="48.42578125" bestFit="1" customWidth="1"/>
    <col min="1539" max="1539" width="6.42578125" bestFit="1" customWidth="1"/>
    <col min="1540" max="1540" width="9.42578125" bestFit="1" customWidth="1"/>
    <col min="1541" max="1541" width="7" bestFit="1" customWidth="1"/>
    <col min="1542" max="1542" width="10" customWidth="1"/>
    <col min="1543" max="1543" width="7" bestFit="1" customWidth="1"/>
    <col min="1544" max="1544" width="5.5703125" bestFit="1" customWidth="1"/>
    <col min="1545" max="1545" width="9.42578125" bestFit="1" customWidth="1"/>
    <col min="1546" max="1546" width="28.5703125" customWidth="1"/>
    <col min="1547" max="1547" width="15.42578125" bestFit="1" customWidth="1"/>
    <col min="1548" max="1548" width="13.5703125" customWidth="1"/>
    <col min="1793" max="1793" width="9.42578125" bestFit="1" customWidth="1"/>
    <col min="1794" max="1794" width="48.42578125" bestFit="1" customWidth="1"/>
    <col min="1795" max="1795" width="6.42578125" bestFit="1" customWidth="1"/>
    <col min="1796" max="1796" width="9.42578125" bestFit="1" customWidth="1"/>
    <col min="1797" max="1797" width="7" bestFit="1" customWidth="1"/>
    <col min="1798" max="1798" width="10" customWidth="1"/>
    <col min="1799" max="1799" width="7" bestFit="1" customWidth="1"/>
    <col min="1800" max="1800" width="5.5703125" bestFit="1" customWidth="1"/>
    <col min="1801" max="1801" width="9.42578125" bestFit="1" customWidth="1"/>
    <col min="1802" max="1802" width="28.5703125" customWidth="1"/>
    <col min="1803" max="1803" width="15.42578125" bestFit="1" customWidth="1"/>
    <col min="1804" max="1804" width="13.5703125" customWidth="1"/>
    <col min="2049" max="2049" width="9.42578125" bestFit="1" customWidth="1"/>
    <col min="2050" max="2050" width="48.42578125" bestFit="1" customWidth="1"/>
    <col min="2051" max="2051" width="6.42578125" bestFit="1" customWidth="1"/>
    <col min="2052" max="2052" width="9.42578125" bestFit="1" customWidth="1"/>
    <col min="2053" max="2053" width="7" bestFit="1" customWidth="1"/>
    <col min="2054" max="2054" width="10" customWidth="1"/>
    <col min="2055" max="2055" width="7" bestFit="1" customWidth="1"/>
    <col min="2056" max="2056" width="5.5703125" bestFit="1" customWidth="1"/>
    <col min="2057" max="2057" width="9.42578125" bestFit="1" customWidth="1"/>
    <col min="2058" max="2058" width="28.5703125" customWidth="1"/>
    <col min="2059" max="2059" width="15.42578125" bestFit="1" customWidth="1"/>
    <col min="2060" max="2060" width="13.5703125" customWidth="1"/>
    <col min="2305" max="2305" width="9.42578125" bestFit="1" customWidth="1"/>
    <col min="2306" max="2306" width="48.42578125" bestFit="1" customWidth="1"/>
    <col min="2307" max="2307" width="6.42578125" bestFit="1" customWidth="1"/>
    <col min="2308" max="2308" width="9.42578125" bestFit="1" customWidth="1"/>
    <col min="2309" max="2309" width="7" bestFit="1" customWidth="1"/>
    <col min="2310" max="2310" width="10" customWidth="1"/>
    <col min="2311" max="2311" width="7" bestFit="1" customWidth="1"/>
    <col min="2312" max="2312" width="5.5703125" bestFit="1" customWidth="1"/>
    <col min="2313" max="2313" width="9.42578125" bestFit="1" customWidth="1"/>
    <col min="2314" max="2314" width="28.5703125" customWidth="1"/>
    <col min="2315" max="2315" width="15.42578125" bestFit="1" customWidth="1"/>
    <col min="2316" max="2316" width="13.5703125" customWidth="1"/>
    <col min="2561" max="2561" width="9.42578125" bestFit="1" customWidth="1"/>
    <col min="2562" max="2562" width="48.42578125" bestFit="1" customWidth="1"/>
    <col min="2563" max="2563" width="6.42578125" bestFit="1" customWidth="1"/>
    <col min="2564" max="2564" width="9.42578125" bestFit="1" customWidth="1"/>
    <col min="2565" max="2565" width="7" bestFit="1" customWidth="1"/>
    <col min="2566" max="2566" width="10" customWidth="1"/>
    <col min="2567" max="2567" width="7" bestFit="1" customWidth="1"/>
    <col min="2568" max="2568" width="5.5703125" bestFit="1" customWidth="1"/>
    <col min="2569" max="2569" width="9.42578125" bestFit="1" customWidth="1"/>
    <col min="2570" max="2570" width="28.5703125" customWidth="1"/>
    <col min="2571" max="2571" width="15.42578125" bestFit="1" customWidth="1"/>
    <col min="2572" max="2572" width="13.5703125" customWidth="1"/>
    <col min="2817" max="2817" width="9.42578125" bestFit="1" customWidth="1"/>
    <col min="2818" max="2818" width="48.42578125" bestFit="1" customWidth="1"/>
    <col min="2819" max="2819" width="6.42578125" bestFit="1" customWidth="1"/>
    <col min="2820" max="2820" width="9.42578125" bestFit="1" customWidth="1"/>
    <col min="2821" max="2821" width="7" bestFit="1" customWidth="1"/>
    <col min="2822" max="2822" width="10" customWidth="1"/>
    <col min="2823" max="2823" width="7" bestFit="1" customWidth="1"/>
    <col min="2824" max="2824" width="5.5703125" bestFit="1" customWidth="1"/>
    <col min="2825" max="2825" width="9.42578125" bestFit="1" customWidth="1"/>
    <col min="2826" max="2826" width="28.5703125" customWidth="1"/>
    <col min="2827" max="2827" width="15.42578125" bestFit="1" customWidth="1"/>
    <col min="2828" max="2828" width="13.5703125" customWidth="1"/>
    <col min="3073" max="3073" width="9.42578125" bestFit="1" customWidth="1"/>
    <col min="3074" max="3074" width="48.42578125" bestFit="1" customWidth="1"/>
    <col min="3075" max="3075" width="6.42578125" bestFit="1" customWidth="1"/>
    <col min="3076" max="3076" width="9.42578125" bestFit="1" customWidth="1"/>
    <col min="3077" max="3077" width="7" bestFit="1" customWidth="1"/>
    <col min="3078" max="3078" width="10" customWidth="1"/>
    <col min="3079" max="3079" width="7" bestFit="1" customWidth="1"/>
    <col min="3080" max="3080" width="5.5703125" bestFit="1" customWidth="1"/>
    <col min="3081" max="3081" width="9.42578125" bestFit="1" customWidth="1"/>
    <col min="3082" max="3082" width="28.5703125" customWidth="1"/>
    <col min="3083" max="3083" width="15.42578125" bestFit="1" customWidth="1"/>
    <col min="3084" max="3084" width="13.5703125" customWidth="1"/>
    <col min="3329" max="3329" width="9.42578125" bestFit="1" customWidth="1"/>
    <col min="3330" max="3330" width="48.42578125" bestFit="1" customWidth="1"/>
    <col min="3331" max="3331" width="6.42578125" bestFit="1" customWidth="1"/>
    <col min="3332" max="3332" width="9.42578125" bestFit="1" customWidth="1"/>
    <col min="3333" max="3333" width="7" bestFit="1" customWidth="1"/>
    <col min="3334" max="3334" width="10" customWidth="1"/>
    <col min="3335" max="3335" width="7" bestFit="1" customWidth="1"/>
    <col min="3336" max="3336" width="5.5703125" bestFit="1" customWidth="1"/>
    <col min="3337" max="3337" width="9.42578125" bestFit="1" customWidth="1"/>
    <col min="3338" max="3338" width="28.5703125" customWidth="1"/>
    <col min="3339" max="3339" width="15.42578125" bestFit="1" customWidth="1"/>
    <col min="3340" max="3340" width="13.5703125" customWidth="1"/>
    <col min="3585" max="3585" width="9.42578125" bestFit="1" customWidth="1"/>
    <col min="3586" max="3586" width="48.42578125" bestFit="1" customWidth="1"/>
    <col min="3587" max="3587" width="6.42578125" bestFit="1" customWidth="1"/>
    <col min="3588" max="3588" width="9.42578125" bestFit="1" customWidth="1"/>
    <col min="3589" max="3589" width="7" bestFit="1" customWidth="1"/>
    <col min="3590" max="3590" width="10" customWidth="1"/>
    <col min="3591" max="3591" width="7" bestFit="1" customWidth="1"/>
    <col min="3592" max="3592" width="5.5703125" bestFit="1" customWidth="1"/>
    <col min="3593" max="3593" width="9.42578125" bestFit="1" customWidth="1"/>
    <col min="3594" max="3594" width="28.5703125" customWidth="1"/>
    <col min="3595" max="3595" width="15.42578125" bestFit="1" customWidth="1"/>
    <col min="3596" max="3596" width="13.5703125" customWidth="1"/>
    <col min="3841" max="3841" width="9.42578125" bestFit="1" customWidth="1"/>
    <col min="3842" max="3842" width="48.42578125" bestFit="1" customWidth="1"/>
    <col min="3843" max="3843" width="6.42578125" bestFit="1" customWidth="1"/>
    <col min="3844" max="3844" width="9.42578125" bestFit="1" customWidth="1"/>
    <col min="3845" max="3845" width="7" bestFit="1" customWidth="1"/>
    <col min="3846" max="3846" width="10" customWidth="1"/>
    <col min="3847" max="3847" width="7" bestFit="1" customWidth="1"/>
    <col min="3848" max="3848" width="5.5703125" bestFit="1" customWidth="1"/>
    <col min="3849" max="3849" width="9.42578125" bestFit="1" customWidth="1"/>
    <col min="3850" max="3850" width="28.5703125" customWidth="1"/>
    <col min="3851" max="3851" width="15.42578125" bestFit="1" customWidth="1"/>
    <col min="3852" max="3852" width="13.5703125" customWidth="1"/>
    <col min="4097" max="4097" width="9.42578125" bestFit="1" customWidth="1"/>
    <col min="4098" max="4098" width="48.42578125" bestFit="1" customWidth="1"/>
    <col min="4099" max="4099" width="6.42578125" bestFit="1" customWidth="1"/>
    <col min="4100" max="4100" width="9.42578125" bestFit="1" customWidth="1"/>
    <col min="4101" max="4101" width="7" bestFit="1" customWidth="1"/>
    <col min="4102" max="4102" width="10" customWidth="1"/>
    <col min="4103" max="4103" width="7" bestFit="1" customWidth="1"/>
    <col min="4104" max="4104" width="5.5703125" bestFit="1" customWidth="1"/>
    <col min="4105" max="4105" width="9.42578125" bestFit="1" customWidth="1"/>
    <col min="4106" max="4106" width="28.5703125" customWidth="1"/>
    <col min="4107" max="4107" width="15.42578125" bestFit="1" customWidth="1"/>
    <col min="4108" max="4108" width="13.5703125" customWidth="1"/>
    <col min="4353" max="4353" width="9.42578125" bestFit="1" customWidth="1"/>
    <col min="4354" max="4354" width="48.42578125" bestFit="1" customWidth="1"/>
    <col min="4355" max="4355" width="6.42578125" bestFit="1" customWidth="1"/>
    <col min="4356" max="4356" width="9.42578125" bestFit="1" customWidth="1"/>
    <col min="4357" max="4357" width="7" bestFit="1" customWidth="1"/>
    <col min="4358" max="4358" width="10" customWidth="1"/>
    <col min="4359" max="4359" width="7" bestFit="1" customWidth="1"/>
    <col min="4360" max="4360" width="5.5703125" bestFit="1" customWidth="1"/>
    <col min="4361" max="4361" width="9.42578125" bestFit="1" customWidth="1"/>
    <col min="4362" max="4362" width="28.5703125" customWidth="1"/>
    <col min="4363" max="4363" width="15.42578125" bestFit="1" customWidth="1"/>
    <col min="4364" max="4364" width="13.5703125" customWidth="1"/>
    <col min="4609" max="4609" width="9.42578125" bestFit="1" customWidth="1"/>
    <col min="4610" max="4610" width="48.42578125" bestFit="1" customWidth="1"/>
    <col min="4611" max="4611" width="6.42578125" bestFit="1" customWidth="1"/>
    <col min="4612" max="4612" width="9.42578125" bestFit="1" customWidth="1"/>
    <col min="4613" max="4613" width="7" bestFit="1" customWidth="1"/>
    <col min="4614" max="4614" width="10" customWidth="1"/>
    <col min="4615" max="4615" width="7" bestFit="1" customWidth="1"/>
    <col min="4616" max="4616" width="5.5703125" bestFit="1" customWidth="1"/>
    <col min="4617" max="4617" width="9.42578125" bestFit="1" customWidth="1"/>
    <col min="4618" max="4618" width="28.5703125" customWidth="1"/>
    <col min="4619" max="4619" width="15.42578125" bestFit="1" customWidth="1"/>
    <col min="4620" max="4620" width="13.5703125" customWidth="1"/>
    <col min="4865" max="4865" width="9.42578125" bestFit="1" customWidth="1"/>
    <col min="4866" max="4866" width="48.42578125" bestFit="1" customWidth="1"/>
    <col min="4867" max="4867" width="6.42578125" bestFit="1" customWidth="1"/>
    <col min="4868" max="4868" width="9.42578125" bestFit="1" customWidth="1"/>
    <col min="4869" max="4869" width="7" bestFit="1" customWidth="1"/>
    <col min="4870" max="4870" width="10" customWidth="1"/>
    <col min="4871" max="4871" width="7" bestFit="1" customWidth="1"/>
    <col min="4872" max="4872" width="5.5703125" bestFit="1" customWidth="1"/>
    <col min="4873" max="4873" width="9.42578125" bestFit="1" customWidth="1"/>
    <col min="4874" max="4874" width="28.5703125" customWidth="1"/>
    <col min="4875" max="4875" width="15.42578125" bestFit="1" customWidth="1"/>
    <col min="4876" max="4876" width="13.5703125" customWidth="1"/>
    <col min="5121" max="5121" width="9.42578125" bestFit="1" customWidth="1"/>
    <col min="5122" max="5122" width="48.42578125" bestFit="1" customWidth="1"/>
    <col min="5123" max="5123" width="6.42578125" bestFit="1" customWidth="1"/>
    <col min="5124" max="5124" width="9.42578125" bestFit="1" customWidth="1"/>
    <col min="5125" max="5125" width="7" bestFit="1" customWidth="1"/>
    <col min="5126" max="5126" width="10" customWidth="1"/>
    <col min="5127" max="5127" width="7" bestFit="1" customWidth="1"/>
    <col min="5128" max="5128" width="5.5703125" bestFit="1" customWidth="1"/>
    <col min="5129" max="5129" width="9.42578125" bestFit="1" customWidth="1"/>
    <col min="5130" max="5130" width="28.5703125" customWidth="1"/>
    <col min="5131" max="5131" width="15.42578125" bestFit="1" customWidth="1"/>
    <col min="5132" max="5132" width="13.5703125" customWidth="1"/>
    <col min="5377" max="5377" width="9.42578125" bestFit="1" customWidth="1"/>
    <col min="5378" max="5378" width="48.42578125" bestFit="1" customWidth="1"/>
    <col min="5379" max="5379" width="6.42578125" bestFit="1" customWidth="1"/>
    <col min="5380" max="5380" width="9.42578125" bestFit="1" customWidth="1"/>
    <col min="5381" max="5381" width="7" bestFit="1" customWidth="1"/>
    <col min="5382" max="5382" width="10" customWidth="1"/>
    <col min="5383" max="5383" width="7" bestFit="1" customWidth="1"/>
    <col min="5384" max="5384" width="5.5703125" bestFit="1" customWidth="1"/>
    <col min="5385" max="5385" width="9.42578125" bestFit="1" customWidth="1"/>
    <col min="5386" max="5386" width="28.5703125" customWidth="1"/>
    <col min="5387" max="5387" width="15.42578125" bestFit="1" customWidth="1"/>
    <col min="5388" max="5388" width="13.5703125" customWidth="1"/>
    <col min="5633" max="5633" width="9.42578125" bestFit="1" customWidth="1"/>
    <col min="5634" max="5634" width="48.42578125" bestFit="1" customWidth="1"/>
    <col min="5635" max="5635" width="6.42578125" bestFit="1" customWidth="1"/>
    <col min="5636" max="5636" width="9.42578125" bestFit="1" customWidth="1"/>
    <col min="5637" max="5637" width="7" bestFit="1" customWidth="1"/>
    <col min="5638" max="5638" width="10" customWidth="1"/>
    <col min="5639" max="5639" width="7" bestFit="1" customWidth="1"/>
    <col min="5640" max="5640" width="5.5703125" bestFit="1" customWidth="1"/>
    <col min="5641" max="5641" width="9.42578125" bestFit="1" customWidth="1"/>
    <col min="5642" max="5642" width="28.5703125" customWidth="1"/>
    <col min="5643" max="5643" width="15.42578125" bestFit="1" customWidth="1"/>
    <col min="5644" max="5644" width="13.5703125" customWidth="1"/>
    <col min="5889" max="5889" width="9.42578125" bestFit="1" customWidth="1"/>
    <col min="5890" max="5890" width="48.42578125" bestFit="1" customWidth="1"/>
    <col min="5891" max="5891" width="6.42578125" bestFit="1" customWidth="1"/>
    <col min="5892" max="5892" width="9.42578125" bestFit="1" customWidth="1"/>
    <col min="5893" max="5893" width="7" bestFit="1" customWidth="1"/>
    <col min="5894" max="5894" width="10" customWidth="1"/>
    <col min="5895" max="5895" width="7" bestFit="1" customWidth="1"/>
    <col min="5896" max="5896" width="5.5703125" bestFit="1" customWidth="1"/>
    <col min="5897" max="5897" width="9.42578125" bestFit="1" customWidth="1"/>
    <col min="5898" max="5898" width="28.5703125" customWidth="1"/>
    <col min="5899" max="5899" width="15.42578125" bestFit="1" customWidth="1"/>
    <col min="5900" max="5900" width="13.5703125" customWidth="1"/>
    <col min="6145" max="6145" width="9.42578125" bestFit="1" customWidth="1"/>
    <col min="6146" max="6146" width="48.42578125" bestFit="1" customWidth="1"/>
    <col min="6147" max="6147" width="6.42578125" bestFit="1" customWidth="1"/>
    <col min="6148" max="6148" width="9.42578125" bestFit="1" customWidth="1"/>
    <col min="6149" max="6149" width="7" bestFit="1" customWidth="1"/>
    <col min="6150" max="6150" width="10" customWidth="1"/>
    <col min="6151" max="6151" width="7" bestFit="1" customWidth="1"/>
    <col min="6152" max="6152" width="5.5703125" bestFit="1" customWidth="1"/>
    <col min="6153" max="6153" width="9.42578125" bestFit="1" customWidth="1"/>
    <col min="6154" max="6154" width="28.5703125" customWidth="1"/>
    <col min="6155" max="6155" width="15.42578125" bestFit="1" customWidth="1"/>
    <col min="6156" max="6156" width="13.5703125" customWidth="1"/>
    <col min="6401" max="6401" width="9.42578125" bestFit="1" customWidth="1"/>
    <col min="6402" max="6402" width="48.42578125" bestFit="1" customWidth="1"/>
    <col min="6403" max="6403" width="6.42578125" bestFit="1" customWidth="1"/>
    <col min="6404" max="6404" width="9.42578125" bestFit="1" customWidth="1"/>
    <col min="6405" max="6405" width="7" bestFit="1" customWidth="1"/>
    <col min="6406" max="6406" width="10" customWidth="1"/>
    <col min="6407" max="6407" width="7" bestFit="1" customWidth="1"/>
    <col min="6408" max="6408" width="5.5703125" bestFit="1" customWidth="1"/>
    <col min="6409" max="6409" width="9.42578125" bestFit="1" customWidth="1"/>
    <col min="6410" max="6410" width="28.5703125" customWidth="1"/>
    <col min="6411" max="6411" width="15.42578125" bestFit="1" customWidth="1"/>
    <col min="6412" max="6412" width="13.5703125" customWidth="1"/>
    <col min="6657" max="6657" width="9.42578125" bestFit="1" customWidth="1"/>
    <col min="6658" max="6658" width="48.42578125" bestFit="1" customWidth="1"/>
    <col min="6659" max="6659" width="6.42578125" bestFit="1" customWidth="1"/>
    <col min="6660" max="6660" width="9.42578125" bestFit="1" customWidth="1"/>
    <col min="6661" max="6661" width="7" bestFit="1" customWidth="1"/>
    <col min="6662" max="6662" width="10" customWidth="1"/>
    <col min="6663" max="6663" width="7" bestFit="1" customWidth="1"/>
    <col min="6664" max="6664" width="5.5703125" bestFit="1" customWidth="1"/>
    <col min="6665" max="6665" width="9.42578125" bestFit="1" customWidth="1"/>
    <col min="6666" max="6666" width="28.5703125" customWidth="1"/>
    <col min="6667" max="6667" width="15.42578125" bestFit="1" customWidth="1"/>
    <col min="6668" max="6668" width="13.5703125" customWidth="1"/>
    <col min="6913" max="6913" width="9.42578125" bestFit="1" customWidth="1"/>
    <col min="6914" max="6914" width="48.42578125" bestFit="1" customWidth="1"/>
    <col min="6915" max="6915" width="6.42578125" bestFit="1" customWidth="1"/>
    <col min="6916" max="6916" width="9.42578125" bestFit="1" customWidth="1"/>
    <col min="6917" max="6917" width="7" bestFit="1" customWidth="1"/>
    <col min="6918" max="6918" width="10" customWidth="1"/>
    <col min="6919" max="6919" width="7" bestFit="1" customWidth="1"/>
    <col min="6920" max="6920" width="5.5703125" bestFit="1" customWidth="1"/>
    <col min="6921" max="6921" width="9.42578125" bestFit="1" customWidth="1"/>
    <col min="6922" max="6922" width="28.5703125" customWidth="1"/>
    <col min="6923" max="6923" width="15.42578125" bestFit="1" customWidth="1"/>
    <col min="6924" max="6924" width="13.5703125" customWidth="1"/>
    <col min="7169" max="7169" width="9.42578125" bestFit="1" customWidth="1"/>
    <col min="7170" max="7170" width="48.42578125" bestFit="1" customWidth="1"/>
    <col min="7171" max="7171" width="6.42578125" bestFit="1" customWidth="1"/>
    <col min="7172" max="7172" width="9.42578125" bestFit="1" customWidth="1"/>
    <col min="7173" max="7173" width="7" bestFit="1" customWidth="1"/>
    <col min="7174" max="7174" width="10" customWidth="1"/>
    <col min="7175" max="7175" width="7" bestFit="1" customWidth="1"/>
    <col min="7176" max="7176" width="5.5703125" bestFit="1" customWidth="1"/>
    <col min="7177" max="7177" width="9.42578125" bestFit="1" customWidth="1"/>
    <col min="7178" max="7178" width="28.5703125" customWidth="1"/>
    <col min="7179" max="7179" width="15.42578125" bestFit="1" customWidth="1"/>
    <col min="7180" max="7180" width="13.5703125" customWidth="1"/>
    <col min="7425" max="7425" width="9.42578125" bestFit="1" customWidth="1"/>
    <col min="7426" max="7426" width="48.42578125" bestFit="1" customWidth="1"/>
    <col min="7427" max="7427" width="6.42578125" bestFit="1" customWidth="1"/>
    <col min="7428" max="7428" width="9.42578125" bestFit="1" customWidth="1"/>
    <col min="7429" max="7429" width="7" bestFit="1" customWidth="1"/>
    <col min="7430" max="7430" width="10" customWidth="1"/>
    <col min="7431" max="7431" width="7" bestFit="1" customWidth="1"/>
    <col min="7432" max="7432" width="5.5703125" bestFit="1" customWidth="1"/>
    <col min="7433" max="7433" width="9.42578125" bestFit="1" customWidth="1"/>
    <col min="7434" max="7434" width="28.5703125" customWidth="1"/>
    <col min="7435" max="7435" width="15.42578125" bestFit="1" customWidth="1"/>
    <col min="7436" max="7436" width="13.5703125" customWidth="1"/>
    <col min="7681" max="7681" width="9.42578125" bestFit="1" customWidth="1"/>
    <col min="7682" max="7682" width="48.42578125" bestFit="1" customWidth="1"/>
    <col min="7683" max="7683" width="6.42578125" bestFit="1" customWidth="1"/>
    <col min="7684" max="7684" width="9.42578125" bestFit="1" customWidth="1"/>
    <col min="7685" max="7685" width="7" bestFit="1" customWidth="1"/>
    <col min="7686" max="7686" width="10" customWidth="1"/>
    <col min="7687" max="7687" width="7" bestFit="1" customWidth="1"/>
    <col min="7688" max="7688" width="5.5703125" bestFit="1" customWidth="1"/>
    <col min="7689" max="7689" width="9.42578125" bestFit="1" customWidth="1"/>
    <col min="7690" max="7690" width="28.5703125" customWidth="1"/>
    <col min="7691" max="7691" width="15.42578125" bestFit="1" customWidth="1"/>
    <col min="7692" max="7692" width="13.5703125" customWidth="1"/>
    <col min="7937" max="7937" width="9.42578125" bestFit="1" customWidth="1"/>
    <col min="7938" max="7938" width="48.42578125" bestFit="1" customWidth="1"/>
    <col min="7939" max="7939" width="6.42578125" bestFit="1" customWidth="1"/>
    <col min="7940" max="7940" width="9.42578125" bestFit="1" customWidth="1"/>
    <col min="7941" max="7941" width="7" bestFit="1" customWidth="1"/>
    <col min="7942" max="7942" width="10" customWidth="1"/>
    <col min="7943" max="7943" width="7" bestFit="1" customWidth="1"/>
    <col min="7944" max="7944" width="5.5703125" bestFit="1" customWidth="1"/>
    <col min="7945" max="7945" width="9.42578125" bestFit="1" customWidth="1"/>
    <col min="7946" max="7946" width="28.5703125" customWidth="1"/>
    <col min="7947" max="7947" width="15.42578125" bestFit="1" customWidth="1"/>
    <col min="7948" max="7948" width="13.5703125" customWidth="1"/>
    <col min="8193" max="8193" width="9.42578125" bestFit="1" customWidth="1"/>
    <col min="8194" max="8194" width="48.42578125" bestFit="1" customWidth="1"/>
    <col min="8195" max="8195" width="6.42578125" bestFit="1" customWidth="1"/>
    <col min="8196" max="8196" width="9.42578125" bestFit="1" customWidth="1"/>
    <col min="8197" max="8197" width="7" bestFit="1" customWidth="1"/>
    <col min="8198" max="8198" width="10" customWidth="1"/>
    <col min="8199" max="8199" width="7" bestFit="1" customWidth="1"/>
    <col min="8200" max="8200" width="5.5703125" bestFit="1" customWidth="1"/>
    <col min="8201" max="8201" width="9.42578125" bestFit="1" customWidth="1"/>
    <col min="8202" max="8202" width="28.5703125" customWidth="1"/>
    <col min="8203" max="8203" width="15.42578125" bestFit="1" customWidth="1"/>
    <col min="8204" max="8204" width="13.5703125" customWidth="1"/>
    <col min="8449" max="8449" width="9.42578125" bestFit="1" customWidth="1"/>
    <col min="8450" max="8450" width="48.42578125" bestFit="1" customWidth="1"/>
    <col min="8451" max="8451" width="6.42578125" bestFit="1" customWidth="1"/>
    <col min="8452" max="8452" width="9.42578125" bestFit="1" customWidth="1"/>
    <col min="8453" max="8453" width="7" bestFit="1" customWidth="1"/>
    <col min="8454" max="8454" width="10" customWidth="1"/>
    <col min="8455" max="8455" width="7" bestFit="1" customWidth="1"/>
    <col min="8456" max="8456" width="5.5703125" bestFit="1" customWidth="1"/>
    <col min="8457" max="8457" width="9.42578125" bestFit="1" customWidth="1"/>
    <col min="8458" max="8458" width="28.5703125" customWidth="1"/>
    <col min="8459" max="8459" width="15.42578125" bestFit="1" customWidth="1"/>
    <col min="8460" max="8460" width="13.5703125" customWidth="1"/>
    <col min="8705" max="8705" width="9.42578125" bestFit="1" customWidth="1"/>
    <col min="8706" max="8706" width="48.42578125" bestFit="1" customWidth="1"/>
    <col min="8707" max="8707" width="6.42578125" bestFit="1" customWidth="1"/>
    <col min="8708" max="8708" width="9.42578125" bestFit="1" customWidth="1"/>
    <col min="8709" max="8709" width="7" bestFit="1" customWidth="1"/>
    <col min="8710" max="8710" width="10" customWidth="1"/>
    <col min="8711" max="8711" width="7" bestFit="1" customWidth="1"/>
    <col min="8712" max="8712" width="5.5703125" bestFit="1" customWidth="1"/>
    <col min="8713" max="8713" width="9.42578125" bestFit="1" customWidth="1"/>
    <col min="8714" max="8714" width="28.5703125" customWidth="1"/>
    <col min="8715" max="8715" width="15.42578125" bestFit="1" customWidth="1"/>
    <col min="8716" max="8716" width="13.5703125" customWidth="1"/>
    <col min="8961" max="8961" width="9.42578125" bestFit="1" customWidth="1"/>
    <col min="8962" max="8962" width="48.42578125" bestFit="1" customWidth="1"/>
    <col min="8963" max="8963" width="6.42578125" bestFit="1" customWidth="1"/>
    <col min="8964" max="8964" width="9.42578125" bestFit="1" customWidth="1"/>
    <col min="8965" max="8965" width="7" bestFit="1" customWidth="1"/>
    <col min="8966" max="8966" width="10" customWidth="1"/>
    <col min="8967" max="8967" width="7" bestFit="1" customWidth="1"/>
    <col min="8968" max="8968" width="5.5703125" bestFit="1" customWidth="1"/>
    <col min="8969" max="8969" width="9.42578125" bestFit="1" customWidth="1"/>
    <col min="8970" max="8970" width="28.5703125" customWidth="1"/>
    <col min="8971" max="8971" width="15.42578125" bestFit="1" customWidth="1"/>
    <col min="8972" max="8972" width="13.5703125" customWidth="1"/>
    <col min="9217" max="9217" width="9.42578125" bestFit="1" customWidth="1"/>
    <col min="9218" max="9218" width="48.42578125" bestFit="1" customWidth="1"/>
    <col min="9219" max="9219" width="6.42578125" bestFit="1" customWidth="1"/>
    <col min="9220" max="9220" width="9.42578125" bestFit="1" customWidth="1"/>
    <col min="9221" max="9221" width="7" bestFit="1" customWidth="1"/>
    <col min="9222" max="9222" width="10" customWidth="1"/>
    <col min="9223" max="9223" width="7" bestFit="1" customWidth="1"/>
    <col min="9224" max="9224" width="5.5703125" bestFit="1" customWidth="1"/>
    <col min="9225" max="9225" width="9.42578125" bestFit="1" customWidth="1"/>
    <col min="9226" max="9226" width="28.5703125" customWidth="1"/>
    <col min="9227" max="9227" width="15.42578125" bestFit="1" customWidth="1"/>
    <col min="9228" max="9228" width="13.5703125" customWidth="1"/>
    <col min="9473" max="9473" width="9.42578125" bestFit="1" customWidth="1"/>
    <col min="9474" max="9474" width="48.42578125" bestFit="1" customWidth="1"/>
    <col min="9475" max="9475" width="6.42578125" bestFit="1" customWidth="1"/>
    <col min="9476" max="9476" width="9.42578125" bestFit="1" customWidth="1"/>
    <col min="9477" max="9477" width="7" bestFit="1" customWidth="1"/>
    <col min="9478" max="9478" width="10" customWidth="1"/>
    <col min="9479" max="9479" width="7" bestFit="1" customWidth="1"/>
    <col min="9480" max="9480" width="5.5703125" bestFit="1" customWidth="1"/>
    <col min="9481" max="9481" width="9.42578125" bestFit="1" customWidth="1"/>
    <col min="9482" max="9482" width="28.5703125" customWidth="1"/>
    <col min="9483" max="9483" width="15.42578125" bestFit="1" customWidth="1"/>
    <col min="9484" max="9484" width="13.5703125" customWidth="1"/>
    <col min="9729" max="9729" width="9.42578125" bestFit="1" customWidth="1"/>
    <col min="9730" max="9730" width="48.42578125" bestFit="1" customWidth="1"/>
    <col min="9731" max="9731" width="6.42578125" bestFit="1" customWidth="1"/>
    <col min="9732" max="9732" width="9.42578125" bestFit="1" customWidth="1"/>
    <col min="9733" max="9733" width="7" bestFit="1" customWidth="1"/>
    <col min="9734" max="9734" width="10" customWidth="1"/>
    <col min="9735" max="9735" width="7" bestFit="1" customWidth="1"/>
    <col min="9736" max="9736" width="5.5703125" bestFit="1" customWidth="1"/>
    <col min="9737" max="9737" width="9.42578125" bestFit="1" customWidth="1"/>
    <col min="9738" max="9738" width="28.5703125" customWidth="1"/>
    <col min="9739" max="9739" width="15.42578125" bestFit="1" customWidth="1"/>
    <col min="9740" max="9740" width="13.5703125" customWidth="1"/>
    <col min="9985" max="9985" width="9.42578125" bestFit="1" customWidth="1"/>
    <col min="9986" max="9986" width="48.42578125" bestFit="1" customWidth="1"/>
    <col min="9987" max="9987" width="6.42578125" bestFit="1" customWidth="1"/>
    <col min="9988" max="9988" width="9.42578125" bestFit="1" customWidth="1"/>
    <col min="9989" max="9989" width="7" bestFit="1" customWidth="1"/>
    <col min="9990" max="9990" width="10" customWidth="1"/>
    <col min="9991" max="9991" width="7" bestFit="1" customWidth="1"/>
    <col min="9992" max="9992" width="5.5703125" bestFit="1" customWidth="1"/>
    <col min="9993" max="9993" width="9.42578125" bestFit="1" customWidth="1"/>
    <col min="9994" max="9994" width="28.5703125" customWidth="1"/>
    <col min="9995" max="9995" width="15.42578125" bestFit="1" customWidth="1"/>
    <col min="9996" max="9996" width="13.5703125" customWidth="1"/>
    <col min="10241" max="10241" width="9.42578125" bestFit="1" customWidth="1"/>
    <col min="10242" max="10242" width="48.42578125" bestFit="1" customWidth="1"/>
    <col min="10243" max="10243" width="6.42578125" bestFit="1" customWidth="1"/>
    <col min="10244" max="10244" width="9.42578125" bestFit="1" customWidth="1"/>
    <col min="10245" max="10245" width="7" bestFit="1" customWidth="1"/>
    <col min="10246" max="10246" width="10" customWidth="1"/>
    <col min="10247" max="10247" width="7" bestFit="1" customWidth="1"/>
    <col min="10248" max="10248" width="5.5703125" bestFit="1" customWidth="1"/>
    <col min="10249" max="10249" width="9.42578125" bestFit="1" customWidth="1"/>
    <col min="10250" max="10250" width="28.5703125" customWidth="1"/>
    <col min="10251" max="10251" width="15.42578125" bestFit="1" customWidth="1"/>
    <col min="10252" max="10252" width="13.5703125" customWidth="1"/>
    <col min="10497" max="10497" width="9.42578125" bestFit="1" customWidth="1"/>
    <col min="10498" max="10498" width="48.42578125" bestFit="1" customWidth="1"/>
    <col min="10499" max="10499" width="6.42578125" bestFit="1" customWidth="1"/>
    <col min="10500" max="10500" width="9.42578125" bestFit="1" customWidth="1"/>
    <col min="10501" max="10501" width="7" bestFit="1" customWidth="1"/>
    <col min="10502" max="10502" width="10" customWidth="1"/>
    <col min="10503" max="10503" width="7" bestFit="1" customWidth="1"/>
    <col min="10504" max="10504" width="5.5703125" bestFit="1" customWidth="1"/>
    <col min="10505" max="10505" width="9.42578125" bestFit="1" customWidth="1"/>
    <col min="10506" max="10506" width="28.5703125" customWidth="1"/>
    <col min="10507" max="10507" width="15.42578125" bestFit="1" customWidth="1"/>
    <col min="10508" max="10508" width="13.5703125" customWidth="1"/>
    <col min="10753" max="10753" width="9.42578125" bestFit="1" customWidth="1"/>
    <col min="10754" max="10754" width="48.42578125" bestFit="1" customWidth="1"/>
    <col min="10755" max="10755" width="6.42578125" bestFit="1" customWidth="1"/>
    <col min="10756" max="10756" width="9.42578125" bestFit="1" customWidth="1"/>
    <col min="10757" max="10757" width="7" bestFit="1" customWidth="1"/>
    <col min="10758" max="10758" width="10" customWidth="1"/>
    <col min="10759" max="10759" width="7" bestFit="1" customWidth="1"/>
    <col min="10760" max="10760" width="5.5703125" bestFit="1" customWidth="1"/>
    <col min="10761" max="10761" width="9.42578125" bestFit="1" customWidth="1"/>
    <col min="10762" max="10762" width="28.5703125" customWidth="1"/>
    <col min="10763" max="10763" width="15.42578125" bestFit="1" customWidth="1"/>
    <col min="10764" max="10764" width="13.5703125" customWidth="1"/>
    <col min="11009" max="11009" width="9.42578125" bestFit="1" customWidth="1"/>
    <col min="11010" max="11010" width="48.42578125" bestFit="1" customWidth="1"/>
    <col min="11011" max="11011" width="6.42578125" bestFit="1" customWidth="1"/>
    <col min="11012" max="11012" width="9.42578125" bestFit="1" customWidth="1"/>
    <col min="11013" max="11013" width="7" bestFit="1" customWidth="1"/>
    <col min="11014" max="11014" width="10" customWidth="1"/>
    <col min="11015" max="11015" width="7" bestFit="1" customWidth="1"/>
    <col min="11016" max="11016" width="5.5703125" bestFit="1" customWidth="1"/>
    <col min="11017" max="11017" width="9.42578125" bestFit="1" customWidth="1"/>
    <col min="11018" max="11018" width="28.5703125" customWidth="1"/>
    <col min="11019" max="11019" width="15.42578125" bestFit="1" customWidth="1"/>
    <col min="11020" max="11020" width="13.5703125" customWidth="1"/>
    <col min="11265" max="11265" width="9.42578125" bestFit="1" customWidth="1"/>
    <col min="11266" max="11266" width="48.42578125" bestFit="1" customWidth="1"/>
    <col min="11267" max="11267" width="6.42578125" bestFit="1" customWidth="1"/>
    <col min="11268" max="11268" width="9.42578125" bestFit="1" customWidth="1"/>
    <col min="11269" max="11269" width="7" bestFit="1" customWidth="1"/>
    <col min="11270" max="11270" width="10" customWidth="1"/>
    <col min="11271" max="11271" width="7" bestFit="1" customWidth="1"/>
    <col min="11272" max="11272" width="5.5703125" bestFit="1" customWidth="1"/>
    <col min="11273" max="11273" width="9.42578125" bestFit="1" customWidth="1"/>
    <col min="11274" max="11274" width="28.5703125" customWidth="1"/>
    <col min="11275" max="11275" width="15.42578125" bestFit="1" customWidth="1"/>
    <col min="11276" max="11276" width="13.5703125" customWidth="1"/>
    <col min="11521" max="11521" width="9.42578125" bestFit="1" customWidth="1"/>
    <col min="11522" max="11522" width="48.42578125" bestFit="1" customWidth="1"/>
    <col min="11523" max="11523" width="6.42578125" bestFit="1" customWidth="1"/>
    <col min="11524" max="11524" width="9.42578125" bestFit="1" customWidth="1"/>
    <col min="11525" max="11525" width="7" bestFit="1" customWidth="1"/>
    <col min="11526" max="11526" width="10" customWidth="1"/>
    <col min="11527" max="11527" width="7" bestFit="1" customWidth="1"/>
    <col min="11528" max="11528" width="5.5703125" bestFit="1" customWidth="1"/>
    <col min="11529" max="11529" width="9.42578125" bestFit="1" customWidth="1"/>
    <col min="11530" max="11530" width="28.5703125" customWidth="1"/>
    <col min="11531" max="11531" width="15.42578125" bestFit="1" customWidth="1"/>
    <col min="11532" max="11532" width="13.5703125" customWidth="1"/>
    <col min="11777" max="11777" width="9.42578125" bestFit="1" customWidth="1"/>
    <col min="11778" max="11778" width="48.42578125" bestFit="1" customWidth="1"/>
    <col min="11779" max="11779" width="6.42578125" bestFit="1" customWidth="1"/>
    <col min="11780" max="11780" width="9.42578125" bestFit="1" customWidth="1"/>
    <col min="11781" max="11781" width="7" bestFit="1" customWidth="1"/>
    <col min="11782" max="11782" width="10" customWidth="1"/>
    <col min="11783" max="11783" width="7" bestFit="1" customWidth="1"/>
    <col min="11784" max="11784" width="5.5703125" bestFit="1" customWidth="1"/>
    <col min="11785" max="11785" width="9.42578125" bestFit="1" customWidth="1"/>
    <col min="11786" max="11786" width="28.5703125" customWidth="1"/>
    <col min="11787" max="11787" width="15.42578125" bestFit="1" customWidth="1"/>
    <col min="11788" max="11788" width="13.5703125" customWidth="1"/>
    <col min="12033" max="12033" width="9.42578125" bestFit="1" customWidth="1"/>
    <col min="12034" max="12034" width="48.42578125" bestFit="1" customWidth="1"/>
    <col min="12035" max="12035" width="6.42578125" bestFit="1" customWidth="1"/>
    <col min="12036" max="12036" width="9.42578125" bestFit="1" customWidth="1"/>
    <col min="12037" max="12037" width="7" bestFit="1" customWidth="1"/>
    <col min="12038" max="12038" width="10" customWidth="1"/>
    <col min="12039" max="12039" width="7" bestFit="1" customWidth="1"/>
    <col min="12040" max="12040" width="5.5703125" bestFit="1" customWidth="1"/>
    <col min="12041" max="12041" width="9.42578125" bestFit="1" customWidth="1"/>
    <col min="12042" max="12042" width="28.5703125" customWidth="1"/>
    <col min="12043" max="12043" width="15.42578125" bestFit="1" customWidth="1"/>
    <col min="12044" max="12044" width="13.5703125" customWidth="1"/>
    <col min="12289" max="12289" width="9.42578125" bestFit="1" customWidth="1"/>
    <col min="12290" max="12290" width="48.42578125" bestFit="1" customWidth="1"/>
    <col min="12291" max="12291" width="6.42578125" bestFit="1" customWidth="1"/>
    <col min="12292" max="12292" width="9.42578125" bestFit="1" customWidth="1"/>
    <col min="12293" max="12293" width="7" bestFit="1" customWidth="1"/>
    <col min="12294" max="12294" width="10" customWidth="1"/>
    <col min="12295" max="12295" width="7" bestFit="1" customWidth="1"/>
    <col min="12296" max="12296" width="5.5703125" bestFit="1" customWidth="1"/>
    <col min="12297" max="12297" width="9.42578125" bestFit="1" customWidth="1"/>
    <col min="12298" max="12298" width="28.5703125" customWidth="1"/>
    <col min="12299" max="12299" width="15.42578125" bestFit="1" customWidth="1"/>
    <col min="12300" max="12300" width="13.5703125" customWidth="1"/>
    <col min="12545" max="12545" width="9.42578125" bestFit="1" customWidth="1"/>
    <col min="12546" max="12546" width="48.42578125" bestFit="1" customWidth="1"/>
    <col min="12547" max="12547" width="6.42578125" bestFit="1" customWidth="1"/>
    <col min="12548" max="12548" width="9.42578125" bestFit="1" customWidth="1"/>
    <col min="12549" max="12549" width="7" bestFit="1" customWidth="1"/>
    <col min="12550" max="12550" width="10" customWidth="1"/>
    <col min="12551" max="12551" width="7" bestFit="1" customWidth="1"/>
    <col min="12552" max="12552" width="5.5703125" bestFit="1" customWidth="1"/>
    <col min="12553" max="12553" width="9.42578125" bestFit="1" customWidth="1"/>
    <col min="12554" max="12554" width="28.5703125" customWidth="1"/>
    <col min="12555" max="12555" width="15.42578125" bestFit="1" customWidth="1"/>
    <col min="12556" max="12556" width="13.5703125" customWidth="1"/>
    <col min="12801" max="12801" width="9.42578125" bestFit="1" customWidth="1"/>
    <col min="12802" max="12802" width="48.42578125" bestFit="1" customWidth="1"/>
    <col min="12803" max="12803" width="6.42578125" bestFit="1" customWidth="1"/>
    <col min="12804" max="12804" width="9.42578125" bestFit="1" customWidth="1"/>
    <col min="12805" max="12805" width="7" bestFit="1" customWidth="1"/>
    <col min="12806" max="12806" width="10" customWidth="1"/>
    <col min="12807" max="12807" width="7" bestFit="1" customWidth="1"/>
    <col min="12808" max="12808" width="5.5703125" bestFit="1" customWidth="1"/>
    <col min="12809" max="12809" width="9.42578125" bestFit="1" customWidth="1"/>
    <col min="12810" max="12810" width="28.5703125" customWidth="1"/>
    <col min="12811" max="12811" width="15.42578125" bestFit="1" customWidth="1"/>
    <col min="12812" max="12812" width="13.5703125" customWidth="1"/>
    <col min="13057" max="13057" width="9.42578125" bestFit="1" customWidth="1"/>
    <col min="13058" max="13058" width="48.42578125" bestFit="1" customWidth="1"/>
    <col min="13059" max="13059" width="6.42578125" bestFit="1" customWidth="1"/>
    <col min="13060" max="13060" width="9.42578125" bestFit="1" customWidth="1"/>
    <col min="13061" max="13061" width="7" bestFit="1" customWidth="1"/>
    <col min="13062" max="13062" width="10" customWidth="1"/>
    <col min="13063" max="13063" width="7" bestFit="1" customWidth="1"/>
    <col min="13064" max="13064" width="5.5703125" bestFit="1" customWidth="1"/>
    <col min="13065" max="13065" width="9.42578125" bestFit="1" customWidth="1"/>
    <col min="13066" max="13066" width="28.5703125" customWidth="1"/>
    <col min="13067" max="13067" width="15.42578125" bestFit="1" customWidth="1"/>
    <col min="13068" max="13068" width="13.5703125" customWidth="1"/>
    <col min="13313" max="13313" width="9.42578125" bestFit="1" customWidth="1"/>
    <col min="13314" max="13314" width="48.42578125" bestFit="1" customWidth="1"/>
    <col min="13315" max="13315" width="6.42578125" bestFit="1" customWidth="1"/>
    <col min="13316" max="13316" width="9.42578125" bestFit="1" customWidth="1"/>
    <col min="13317" max="13317" width="7" bestFit="1" customWidth="1"/>
    <col min="13318" max="13318" width="10" customWidth="1"/>
    <col min="13319" max="13319" width="7" bestFit="1" customWidth="1"/>
    <col min="13320" max="13320" width="5.5703125" bestFit="1" customWidth="1"/>
    <col min="13321" max="13321" width="9.42578125" bestFit="1" customWidth="1"/>
    <col min="13322" max="13322" width="28.5703125" customWidth="1"/>
    <col min="13323" max="13323" width="15.42578125" bestFit="1" customWidth="1"/>
    <col min="13324" max="13324" width="13.5703125" customWidth="1"/>
    <col min="13569" max="13569" width="9.42578125" bestFit="1" customWidth="1"/>
    <col min="13570" max="13570" width="48.42578125" bestFit="1" customWidth="1"/>
    <col min="13571" max="13571" width="6.42578125" bestFit="1" customWidth="1"/>
    <col min="13572" max="13572" width="9.42578125" bestFit="1" customWidth="1"/>
    <col min="13573" max="13573" width="7" bestFit="1" customWidth="1"/>
    <col min="13574" max="13574" width="10" customWidth="1"/>
    <col min="13575" max="13575" width="7" bestFit="1" customWidth="1"/>
    <col min="13576" max="13576" width="5.5703125" bestFit="1" customWidth="1"/>
    <col min="13577" max="13577" width="9.42578125" bestFit="1" customWidth="1"/>
    <col min="13578" max="13578" width="28.5703125" customWidth="1"/>
    <col min="13579" max="13579" width="15.42578125" bestFit="1" customWidth="1"/>
    <col min="13580" max="13580" width="13.5703125" customWidth="1"/>
    <col min="13825" max="13825" width="9.42578125" bestFit="1" customWidth="1"/>
    <col min="13826" max="13826" width="48.42578125" bestFit="1" customWidth="1"/>
    <col min="13827" max="13827" width="6.42578125" bestFit="1" customWidth="1"/>
    <col min="13828" max="13828" width="9.42578125" bestFit="1" customWidth="1"/>
    <col min="13829" max="13829" width="7" bestFit="1" customWidth="1"/>
    <col min="13830" max="13830" width="10" customWidth="1"/>
    <col min="13831" max="13831" width="7" bestFit="1" customWidth="1"/>
    <col min="13832" max="13832" width="5.5703125" bestFit="1" customWidth="1"/>
    <col min="13833" max="13833" width="9.42578125" bestFit="1" customWidth="1"/>
    <col min="13834" max="13834" width="28.5703125" customWidth="1"/>
    <col min="13835" max="13835" width="15.42578125" bestFit="1" customWidth="1"/>
    <col min="13836" max="13836" width="13.5703125" customWidth="1"/>
    <col min="14081" max="14081" width="9.42578125" bestFit="1" customWidth="1"/>
    <col min="14082" max="14082" width="48.42578125" bestFit="1" customWidth="1"/>
    <col min="14083" max="14083" width="6.42578125" bestFit="1" customWidth="1"/>
    <col min="14084" max="14084" width="9.42578125" bestFit="1" customWidth="1"/>
    <col min="14085" max="14085" width="7" bestFit="1" customWidth="1"/>
    <col min="14086" max="14086" width="10" customWidth="1"/>
    <col min="14087" max="14087" width="7" bestFit="1" customWidth="1"/>
    <col min="14088" max="14088" width="5.5703125" bestFit="1" customWidth="1"/>
    <col min="14089" max="14089" width="9.42578125" bestFit="1" customWidth="1"/>
    <col min="14090" max="14090" width="28.5703125" customWidth="1"/>
    <col min="14091" max="14091" width="15.42578125" bestFit="1" customWidth="1"/>
    <col min="14092" max="14092" width="13.5703125" customWidth="1"/>
    <col min="14337" max="14337" width="9.42578125" bestFit="1" customWidth="1"/>
    <col min="14338" max="14338" width="48.42578125" bestFit="1" customWidth="1"/>
    <col min="14339" max="14339" width="6.42578125" bestFit="1" customWidth="1"/>
    <col min="14340" max="14340" width="9.42578125" bestFit="1" customWidth="1"/>
    <col min="14341" max="14341" width="7" bestFit="1" customWidth="1"/>
    <col min="14342" max="14342" width="10" customWidth="1"/>
    <col min="14343" max="14343" width="7" bestFit="1" customWidth="1"/>
    <col min="14344" max="14344" width="5.5703125" bestFit="1" customWidth="1"/>
    <col min="14345" max="14345" width="9.42578125" bestFit="1" customWidth="1"/>
    <col min="14346" max="14346" width="28.5703125" customWidth="1"/>
    <col min="14347" max="14347" width="15.42578125" bestFit="1" customWidth="1"/>
    <col min="14348" max="14348" width="13.5703125" customWidth="1"/>
    <col min="14593" max="14593" width="9.42578125" bestFit="1" customWidth="1"/>
    <col min="14594" max="14594" width="48.42578125" bestFit="1" customWidth="1"/>
    <col min="14595" max="14595" width="6.42578125" bestFit="1" customWidth="1"/>
    <col min="14596" max="14596" width="9.42578125" bestFit="1" customWidth="1"/>
    <col min="14597" max="14597" width="7" bestFit="1" customWidth="1"/>
    <col min="14598" max="14598" width="10" customWidth="1"/>
    <col min="14599" max="14599" width="7" bestFit="1" customWidth="1"/>
    <col min="14600" max="14600" width="5.5703125" bestFit="1" customWidth="1"/>
    <col min="14601" max="14601" width="9.42578125" bestFit="1" customWidth="1"/>
    <col min="14602" max="14602" width="28.5703125" customWidth="1"/>
    <col min="14603" max="14603" width="15.42578125" bestFit="1" customWidth="1"/>
    <col min="14604" max="14604" width="13.5703125" customWidth="1"/>
    <col min="14849" max="14849" width="9.42578125" bestFit="1" customWidth="1"/>
    <col min="14850" max="14850" width="48.42578125" bestFit="1" customWidth="1"/>
    <col min="14851" max="14851" width="6.42578125" bestFit="1" customWidth="1"/>
    <col min="14852" max="14852" width="9.42578125" bestFit="1" customWidth="1"/>
    <col min="14853" max="14853" width="7" bestFit="1" customWidth="1"/>
    <col min="14854" max="14854" width="10" customWidth="1"/>
    <col min="14855" max="14855" width="7" bestFit="1" customWidth="1"/>
    <col min="14856" max="14856" width="5.5703125" bestFit="1" customWidth="1"/>
    <col min="14857" max="14857" width="9.42578125" bestFit="1" customWidth="1"/>
    <col min="14858" max="14858" width="28.5703125" customWidth="1"/>
    <col min="14859" max="14859" width="15.42578125" bestFit="1" customWidth="1"/>
    <col min="14860" max="14860" width="13.5703125" customWidth="1"/>
    <col min="15105" max="15105" width="9.42578125" bestFit="1" customWidth="1"/>
    <col min="15106" max="15106" width="48.42578125" bestFit="1" customWidth="1"/>
    <col min="15107" max="15107" width="6.42578125" bestFit="1" customWidth="1"/>
    <col min="15108" max="15108" width="9.42578125" bestFit="1" customWidth="1"/>
    <col min="15109" max="15109" width="7" bestFit="1" customWidth="1"/>
    <col min="15110" max="15110" width="10" customWidth="1"/>
    <col min="15111" max="15111" width="7" bestFit="1" customWidth="1"/>
    <col min="15112" max="15112" width="5.5703125" bestFit="1" customWidth="1"/>
    <col min="15113" max="15113" width="9.42578125" bestFit="1" customWidth="1"/>
    <col min="15114" max="15114" width="28.5703125" customWidth="1"/>
    <col min="15115" max="15115" width="15.42578125" bestFit="1" customWidth="1"/>
    <col min="15116" max="15116" width="13.5703125" customWidth="1"/>
    <col min="15361" max="15361" width="9.42578125" bestFit="1" customWidth="1"/>
    <col min="15362" max="15362" width="48.42578125" bestFit="1" customWidth="1"/>
    <col min="15363" max="15363" width="6.42578125" bestFit="1" customWidth="1"/>
    <col min="15364" max="15364" width="9.42578125" bestFit="1" customWidth="1"/>
    <col min="15365" max="15365" width="7" bestFit="1" customWidth="1"/>
    <col min="15366" max="15366" width="10" customWidth="1"/>
    <col min="15367" max="15367" width="7" bestFit="1" customWidth="1"/>
    <col min="15368" max="15368" width="5.5703125" bestFit="1" customWidth="1"/>
    <col min="15369" max="15369" width="9.42578125" bestFit="1" customWidth="1"/>
    <col min="15370" max="15370" width="28.5703125" customWidth="1"/>
    <col min="15371" max="15371" width="15.42578125" bestFit="1" customWidth="1"/>
    <col min="15372" max="15372" width="13.5703125" customWidth="1"/>
    <col min="15617" max="15617" width="9.42578125" bestFit="1" customWidth="1"/>
    <col min="15618" max="15618" width="48.42578125" bestFit="1" customWidth="1"/>
    <col min="15619" max="15619" width="6.42578125" bestFit="1" customWidth="1"/>
    <col min="15620" max="15620" width="9.42578125" bestFit="1" customWidth="1"/>
    <col min="15621" max="15621" width="7" bestFit="1" customWidth="1"/>
    <col min="15622" max="15622" width="10" customWidth="1"/>
    <col min="15623" max="15623" width="7" bestFit="1" customWidth="1"/>
    <col min="15624" max="15624" width="5.5703125" bestFit="1" customWidth="1"/>
    <col min="15625" max="15625" width="9.42578125" bestFit="1" customWidth="1"/>
    <col min="15626" max="15626" width="28.5703125" customWidth="1"/>
    <col min="15627" max="15627" width="15.42578125" bestFit="1" customWidth="1"/>
    <col min="15628" max="15628" width="13.5703125" customWidth="1"/>
    <col min="15873" max="15873" width="9.42578125" bestFit="1" customWidth="1"/>
    <col min="15874" max="15874" width="48.42578125" bestFit="1" customWidth="1"/>
    <col min="15875" max="15875" width="6.42578125" bestFit="1" customWidth="1"/>
    <col min="15876" max="15876" width="9.42578125" bestFit="1" customWidth="1"/>
    <col min="15877" max="15877" width="7" bestFit="1" customWidth="1"/>
    <col min="15878" max="15878" width="10" customWidth="1"/>
    <col min="15879" max="15879" width="7" bestFit="1" customWidth="1"/>
    <col min="15880" max="15880" width="5.5703125" bestFit="1" customWidth="1"/>
    <col min="15881" max="15881" width="9.42578125" bestFit="1" customWidth="1"/>
    <col min="15882" max="15882" width="28.5703125" customWidth="1"/>
    <col min="15883" max="15883" width="15.42578125" bestFit="1" customWidth="1"/>
    <col min="15884" max="15884" width="13.5703125" customWidth="1"/>
    <col min="16129" max="16129" width="9.42578125" bestFit="1" customWidth="1"/>
    <col min="16130" max="16130" width="48.42578125" bestFit="1" customWidth="1"/>
    <col min="16131" max="16131" width="6.42578125" bestFit="1" customWidth="1"/>
    <col min="16132" max="16132" width="9.42578125" bestFit="1" customWidth="1"/>
    <col min="16133" max="16133" width="7" bestFit="1" customWidth="1"/>
    <col min="16134" max="16134" width="10" customWidth="1"/>
    <col min="16135" max="16135" width="7" bestFit="1" customWidth="1"/>
    <col min="16136" max="16136" width="5.5703125" bestFit="1" customWidth="1"/>
    <col min="16137" max="16137" width="9.42578125" bestFit="1" customWidth="1"/>
    <col min="16138" max="16138" width="28.5703125" customWidth="1"/>
    <col min="16139" max="16139" width="15.42578125" bestFit="1" customWidth="1"/>
    <col min="16140" max="16140" width="13.570312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75">
      <c r="A4" s="3298" t="s">
        <v>473</v>
      </c>
      <c r="B4" s="3298"/>
      <c r="C4" s="3298"/>
      <c r="D4" s="3298"/>
      <c r="E4" s="3298"/>
      <c r="F4" s="3298"/>
      <c r="G4" s="3298"/>
      <c r="H4" s="3298"/>
      <c r="I4" s="3298"/>
      <c r="J4" s="3298"/>
      <c r="K4" s="3298"/>
    </row>
    <row r="5" spans="1:173" s="332" customFormat="1" ht="15">
      <c r="A5" s="333"/>
      <c r="B5" s="165" t="s">
        <v>247</v>
      </c>
      <c r="C5" s="310"/>
      <c r="D5" s="62"/>
      <c r="E5" s="310"/>
      <c r="F5" s="63"/>
      <c r="G5" s="63"/>
      <c r="H5" s="63"/>
      <c r="I5" s="64"/>
      <c r="J5" s="65"/>
      <c r="K5" s="63"/>
    </row>
    <row r="6" spans="1:173" s="332" customFormat="1" ht="15">
      <c r="A6" s="68"/>
      <c r="B6" s="3299" t="s">
        <v>248</v>
      </c>
      <c r="C6" s="3299"/>
      <c r="D6" s="3299"/>
      <c r="E6" s="3299"/>
      <c r="F6" s="3299"/>
      <c r="G6" s="3299"/>
      <c r="H6" s="3299"/>
      <c r="I6" s="3299"/>
      <c r="J6" s="65"/>
      <c r="K6" s="63"/>
    </row>
    <row r="7" spans="1:173" s="332" customFormat="1" ht="15.75" thickBot="1">
      <c r="A7" s="68"/>
      <c r="B7" s="165" t="s">
        <v>71</v>
      </c>
      <c r="C7" s="310"/>
      <c r="D7" s="310"/>
      <c r="E7" s="310"/>
      <c r="F7" s="64"/>
      <c r="G7" s="64"/>
      <c r="H7" s="63"/>
      <c r="I7" s="64"/>
      <c r="J7" s="65"/>
      <c r="K7" s="63"/>
    </row>
    <row r="8" spans="1:173" s="125" customFormat="1" ht="15.75">
      <c r="A8" s="269" t="s">
        <v>66</v>
      </c>
      <c r="B8" s="270" t="s">
        <v>72</v>
      </c>
      <c r="C8" s="271" t="s">
        <v>73</v>
      </c>
      <c r="D8" s="270" t="s">
        <v>270</v>
      </c>
      <c r="E8" s="272" t="s">
        <v>271</v>
      </c>
      <c r="F8" s="270"/>
      <c r="G8" s="270" t="s">
        <v>272</v>
      </c>
      <c r="H8" s="272"/>
      <c r="I8" s="270" t="s">
        <v>82</v>
      </c>
      <c r="J8" s="273" t="s">
        <v>2</v>
      </c>
      <c r="K8" s="151"/>
    </row>
    <row r="9" spans="1:173" s="125" customFormat="1" ht="16.5" thickBot="1">
      <c r="A9" s="274"/>
      <c r="B9" s="275"/>
      <c r="C9" s="276"/>
      <c r="D9" s="275"/>
      <c r="E9" s="277" t="s">
        <v>273</v>
      </c>
      <c r="F9" s="275" t="s">
        <v>80</v>
      </c>
      <c r="G9" s="275" t="s">
        <v>79</v>
      </c>
      <c r="H9" s="277" t="s">
        <v>81</v>
      </c>
      <c r="I9" s="275"/>
      <c r="J9" s="278"/>
      <c r="K9" s="151"/>
      <c r="L9" s="167">
        <f>[45]VAL.PRINC!I15</f>
        <v>0</v>
      </c>
    </row>
    <row r="10" spans="1:173" s="125" customFormat="1" ht="15.75">
      <c r="A10" s="414" t="s">
        <v>33</v>
      </c>
      <c r="B10" s="415" t="s">
        <v>310</v>
      </c>
      <c r="C10" s="279"/>
      <c r="D10" s="280"/>
      <c r="E10" s="281"/>
      <c r="F10" s="280"/>
      <c r="G10" s="280"/>
      <c r="H10" s="281"/>
      <c r="I10" s="280"/>
      <c r="J10" s="282"/>
      <c r="K10" s="151"/>
      <c r="L10" s="167"/>
    </row>
    <row r="11" spans="1:173" s="108" customFormat="1" ht="15.75" thickBot="1">
      <c r="A11" s="283" t="s">
        <v>35</v>
      </c>
      <c r="B11" s="284" t="s">
        <v>311</v>
      </c>
      <c r="C11" s="285" t="s">
        <v>41</v>
      </c>
      <c r="D11" s="285">
        <v>0.1</v>
      </c>
      <c r="E11" s="312"/>
      <c r="F11" s="285"/>
      <c r="G11" s="285"/>
      <c r="H11" s="312"/>
      <c r="I11" s="286">
        <f>PRODUCT(D11:H11)</f>
        <v>0.1</v>
      </c>
      <c r="J11" s="287">
        <f>I11</f>
        <v>0.1</v>
      </c>
      <c r="K11" s="152"/>
      <c r="L11" s="167">
        <f>[45]VAL.PRINC!I16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 hidden="1">
      <c r="A12" s="283" t="s">
        <v>39</v>
      </c>
      <c r="B12" s="284" t="s">
        <v>312</v>
      </c>
      <c r="C12" s="285" t="s">
        <v>313</v>
      </c>
      <c r="D12" s="285">
        <v>1</v>
      </c>
      <c r="E12" s="312"/>
      <c r="F12" s="285">
        <v>0.5</v>
      </c>
      <c r="G12" s="285"/>
      <c r="H12" s="312"/>
      <c r="I12" s="286">
        <f>+D12*F12</f>
        <v>0.5</v>
      </c>
      <c r="J12" s="287">
        <f>+I12+0</f>
        <v>0.5</v>
      </c>
      <c r="K12" s="153"/>
      <c r="L12" s="167">
        <f>[45]VAL.PRINC!I17</f>
        <v>0</v>
      </c>
    </row>
    <row r="13" spans="1:173" ht="15">
      <c r="A13" s="288" t="s">
        <v>42</v>
      </c>
      <c r="B13" s="416" t="s">
        <v>314</v>
      </c>
      <c r="C13" s="285"/>
      <c r="D13" s="289"/>
      <c r="E13" s="290"/>
      <c r="F13" s="289"/>
      <c r="G13" s="289"/>
      <c r="H13" s="290"/>
      <c r="I13" s="417"/>
      <c r="J13" s="287"/>
      <c r="K13" s="153"/>
      <c r="L13" s="167">
        <f>[45]VAL.PRINC!I18</f>
        <v>0</v>
      </c>
    </row>
    <row r="14" spans="1:173" ht="15">
      <c r="A14" s="288" t="s">
        <v>43</v>
      </c>
      <c r="B14" s="416" t="s">
        <v>34</v>
      </c>
      <c r="C14" s="285"/>
      <c r="D14" s="289"/>
      <c r="E14" s="290"/>
      <c r="F14" s="289"/>
      <c r="G14" s="289"/>
      <c r="H14" s="290"/>
      <c r="I14" s="417"/>
      <c r="J14" s="287"/>
      <c r="K14" s="153"/>
      <c r="L14" s="167">
        <f>[45]VAL.PRINC!I19</f>
        <v>0</v>
      </c>
    </row>
    <row r="15" spans="1:173" ht="15">
      <c r="A15" s="283" t="s">
        <v>53</v>
      </c>
      <c r="B15" s="284" t="s">
        <v>315</v>
      </c>
      <c r="C15" s="285" t="s">
        <v>313</v>
      </c>
      <c r="D15" s="285">
        <v>1</v>
      </c>
      <c r="E15" s="312"/>
      <c r="F15" s="312">
        <v>13113</v>
      </c>
      <c r="G15" s="285"/>
      <c r="H15" s="312"/>
      <c r="I15" s="286">
        <f>+F15/1000</f>
        <v>13.113</v>
      </c>
      <c r="J15" s="287">
        <f>+I15+0</f>
        <v>13.113</v>
      </c>
      <c r="K15" s="153"/>
      <c r="L15" s="167">
        <f>[45]VAL.PRINC!I20</f>
        <v>0</v>
      </c>
    </row>
    <row r="16" spans="1:173" s="125" customFormat="1" ht="15">
      <c r="A16" s="288" t="s">
        <v>44</v>
      </c>
      <c r="B16" s="291" t="s">
        <v>316</v>
      </c>
      <c r="C16" s="418"/>
      <c r="D16" s="419"/>
      <c r="E16" s="292"/>
      <c r="F16" s="292"/>
      <c r="G16" s="293"/>
      <c r="H16" s="312"/>
      <c r="I16" s="292"/>
      <c r="J16" s="294"/>
      <c r="K16" s="153"/>
      <c r="L16" s="167">
        <f>[45]VAL.PRINC!I21</f>
        <v>0</v>
      </c>
    </row>
    <row r="17" spans="1:12" s="125" customFormat="1" ht="15" hidden="1">
      <c r="A17" s="283" t="s">
        <v>54</v>
      </c>
      <c r="B17" s="295" t="s">
        <v>317</v>
      </c>
      <c r="C17" s="418" t="s">
        <v>58</v>
      </c>
      <c r="D17" s="420" t="s">
        <v>274</v>
      </c>
      <c r="E17" s="292"/>
      <c r="F17" s="292"/>
      <c r="G17" s="293"/>
      <c r="H17" s="312"/>
      <c r="I17" s="292">
        <v>149325.91016447352</v>
      </c>
      <c r="J17" s="294">
        <f>I17</f>
        <v>149325.91016447352</v>
      </c>
      <c r="K17" s="154"/>
      <c r="L17" s="167">
        <f>[45]VAL.PRINC!I22</f>
        <v>0</v>
      </c>
    </row>
    <row r="18" spans="1:12" s="125" customFormat="1" ht="15" hidden="1">
      <c r="A18" s="283" t="s">
        <v>55</v>
      </c>
      <c r="B18" s="295" t="s">
        <v>318</v>
      </c>
      <c r="C18" s="418" t="s">
        <v>58</v>
      </c>
      <c r="D18" s="420" t="s">
        <v>274</v>
      </c>
      <c r="E18" s="292"/>
      <c r="F18" s="292"/>
      <c r="G18" s="293"/>
      <c r="H18" s="312"/>
      <c r="I18" s="292">
        <v>31607.950181052624</v>
      </c>
      <c r="J18" s="294">
        <f>I18</f>
        <v>31607.950181052624</v>
      </c>
      <c r="K18" s="154"/>
      <c r="L18" s="167">
        <f>[45]VAL.PRINC!I23</f>
        <v>0</v>
      </c>
    </row>
    <row r="19" spans="1:12" s="125" customFormat="1" ht="15" hidden="1">
      <c r="A19" s="283" t="s">
        <v>319</v>
      </c>
      <c r="B19" s="295" t="s">
        <v>320</v>
      </c>
      <c r="C19" s="418" t="s">
        <v>58</v>
      </c>
      <c r="D19" s="420" t="s">
        <v>274</v>
      </c>
      <c r="E19" s="292"/>
      <c r="F19" s="292"/>
      <c r="G19" s="293"/>
      <c r="H19" s="312"/>
      <c r="I19" s="292">
        <v>24567.562276315799</v>
      </c>
      <c r="J19" s="294">
        <f>I19</f>
        <v>24567.562276315799</v>
      </c>
      <c r="K19" s="154"/>
      <c r="L19" s="167">
        <f>[45]VAL.PRINC!I24</f>
        <v>0</v>
      </c>
    </row>
    <row r="20" spans="1:12" s="110" customFormat="1" ht="15" hidden="1">
      <c r="A20" s="283" t="s">
        <v>275</v>
      </c>
      <c r="B20" s="295" t="s">
        <v>119</v>
      </c>
      <c r="C20" s="418" t="s">
        <v>58</v>
      </c>
      <c r="D20" s="420" t="s">
        <v>274</v>
      </c>
      <c r="E20" s="292"/>
      <c r="F20" s="292"/>
      <c r="G20" s="293"/>
      <c r="H20" s="312"/>
      <c r="I20" s="292">
        <v>228.77620000000002</v>
      </c>
      <c r="J20" s="294">
        <f>I20</f>
        <v>228.77620000000002</v>
      </c>
      <c r="K20" s="154"/>
      <c r="L20" s="167">
        <f>[45]VAL.PRINC!I25</f>
        <v>0</v>
      </c>
    </row>
    <row r="21" spans="1:12" s="111" customFormat="1" ht="15" hidden="1">
      <c r="A21" s="283" t="s">
        <v>321</v>
      </c>
      <c r="B21" s="295" t="s">
        <v>322</v>
      </c>
      <c r="C21" s="296" t="s">
        <v>276</v>
      </c>
      <c r="D21" s="420" t="s">
        <v>274</v>
      </c>
      <c r="E21" s="292"/>
      <c r="F21" s="292"/>
      <c r="G21" s="312"/>
      <c r="H21" s="312"/>
      <c r="I21" s="292">
        <v>44389.869999999995</v>
      </c>
      <c r="J21" s="294">
        <f>+I21</f>
        <v>44389.869999999995</v>
      </c>
      <c r="K21" s="154"/>
      <c r="L21" s="167">
        <f>[45]VAL.PRINC!I26</f>
        <v>0</v>
      </c>
    </row>
    <row r="22" spans="1:12" s="113" customFormat="1" ht="15" hidden="1">
      <c r="A22" s="288" t="s">
        <v>52</v>
      </c>
      <c r="B22" s="291" t="s">
        <v>249</v>
      </c>
      <c r="C22" s="296"/>
      <c r="D22" s="420"/>
      <c r="E22" s="292"/>
      <c r="F22" s="292"/>
      <c r="G22" s="312"/>
      <c r="H22" s="312"/>
      <c r="I22" s="292"/>
      <c r="J22" s="294"/>
      <c r="K22" s="154"/>
      <c r="L22" s="167">
        <f>[45]VAL.PRINC!I27</f>
        <v>0</v>
      </c>
    </row>
    <row r="23" spans="1:12" s="113" customFormat="1" ht="15" hidden="1">
      <c r="A23" s="283" t="s">
        <v>56</v>
      </c>
      <c r="B23" s="295" t="s">
        <v>323</v>
      </c>
      <c r="C23" s="418" t="s">
        <v>58</v>
      </c>
      <c r="D23" s="420" t="s">
        <v>274</v>
      </c>
      <c r="E23" s="292"/>
      <c r="F23" s="292"/>
      <c r="G23" s="293"/>
      <c r="H23" s="312"/>
      <c r="I23" s="292">
        <v>115495.85</v>
      </c>
      <c r="J23" s="294">
        <f>I23</f>
        <v>115495.85</v>
      </c>
      <c r="K23" s="152"/>
      <c r="L23" s="167">
        <f>[45]VAL.PRINC!I28</f>
        <v>0</v>
      </c>
    </row>
    <row r="24" spans="1:12" ht="15" hidden="1">
      <c r="A24" s="283" t="s">
        <v>57</v>
      </c>
      <c r="B24" s="295" t="s">
        <v>324</v>
      </c>
      <c r="C24" s="418" t="s">
        <v>58</v>
      </c>
      <c r="D24" s="420" t="s">
        <v>274</v>
      </c>
      <c r="E24" s="292"/>
      <c r="F24" s="292"/>
      <c r="G24" s="293"/>
      <c r="H24" s="312"/>
      <c r="I24" s="292">
        <v>13323.83</v>
      </c>
      <c r="J24" s="294">
        <f>I24</f>
        <v>13323.83</v>
      </c>
      <c r="K24" s="152"/>
      <c r="L24" s="167">
        <f>[45]VAL.PRINC!I29</f>
        <v>0</v>
      </c>
    </row>
    <row r="25" spans="1:12" s="110" customFormat="1" ht="15">
      <c r="A25" s="288" t="s">
        <v>45</v>
      </c>
      <c r="B25" s="291" t="s">
        <v>325</v>
      </c>
      <c r="C25" s="296"/>
      <c r="D25" s="292"/>
      <c r="E25" s="421"/>
      <c r="F25" s="292"/>
      <c r="G25" s="297"/>
      <c r="H25" s="297"/>
      <c r="I25" s="292"/>
      <c r="J25" s="294"/>
      <c r="K25" s="152"/>
      <c r="L25" s="167">
        <f>[45]VAL.PRINC!I30</f>
        <v>0</v>
      </c>
    </row>
    <row r="26" spans="1:12" ht="15">
      <c r="A26" s="288" t="s">
        <v>47</v>
      </c>
      <c r="B26" s="291" t="s">
        <v>326</v>
      </c>
      <c r="C26" s="296"/>
      <c r="D26" s="292"/>
      <c r="E26" s="421"/>
      <c r="F26" s="292"/>
      <c r="G26" s="297"/>
      <c r="H26" s="297"/>
      <c r="I26" s="292"/>
      <c r="J26" s="294"/>
      <c r="K26" s="152"/>
      <c r="L26" s="167">
        <f>[45]VAL.PRINC!I31</f>
        <v>24.0306</v>
      </c>
    </row>
    <row r="27" spans="1:12" ht="15">
      <c r="A27" s="283" t="s">
        <v>49</v>
      </c>
      <c r="B27" s="295" t="s">
        <v>121</v>
      </c>
      <c r="C27" s="296" t="s">
        <v>276</v>
      </c>
      <c r="D27" s="292"/>
      <c r="E27" s="421"/>
      <c r="F27" s="292"/>
      <c r="G27" s="297"/>
      <c r="H27" s="297"/>
      <c r="I27" s="292"/>
      <c r="J27" s="294">
        <f>SUM(I28:I31)</f>
        <v>62.176499999999997</v>
      </c>
      <c r="K27" s="152"/>
      <c r="L27" s="167"/>
    </row>
    <row r="28" spans="1:12" ht="15">
      <c r="A28" s="283"/>
      <c r="B28" s="295"/>
      <c r="C28" s="296"/>
      <c r="D28" s="292">
        <v>5</v>
      </c>
      <c r="E28" s="421">
        <v>1</v>
      </c>
      <c r="F28" s="292">
        <v>4.2</v>
      </c>
      <c r="G28" s="297">
        <v>1.4</v>
      </c>
      <c r="H28" s="297"/>
      <c r="I28" s="292">
        <f>+G28*F28*E28*D28</f>
        <v>29.4</v>
      </c>
      <c r="J28" s="294"/>
      <c r="K28" s="152"/>
      <c r="L28" s="167"/>
    </row>
    <row r="29" spans="1:12" ht="15">
      <c r="A29" s="283"/>
      <c r="B29" s="295" t="s">
        <v>327</v>
      </c>
      <c r="C29" s="296"/>
      <c r="D29" s="292">
        <v>5</v>
      </c>
      <c r="E29" s="421">
        <v>1</v>
      </c>
      <c r="F29" s="292">
        <v>1.21</v>
      </c>
      <c r="G29" s="297">
        <v>2.93</v>
      </c>
      <c r="H29" s="297"/>
      <c r="I29" s="292">
        <f>+G29*F29*E29*D29</f>
        <v>17.726500000000001</v>
      </c>
      <c r="J29" s="294"/>
      <c r="K29" s="152"/>
      <c r="L29" s="167">
        <f>[45]VAL.PRINC!I32</f>
        <v>12.784000000000001</v>
      </c>
    </row>
    <row r="30" spans="1:12" ht="15">
      <c r="A30" s="283"/>
      <c r="B30" s="295" t="s">
        <v>328</v>
      </c>
      <c r="C30" s="296"/>
      <c r="D30" s="292">
        <v>5</v>
      </c>
      <c r="E30" s="421">
        <v>1</v>
      </c>
      <c r="F30" s="292">
        <v>2.11</v>
      </c>
      <c r="G30" s="297">
        <v>1</v>
      </c>
      <c r="H30" s="297"/>
      <c r="I30" s="292">
        <f>+G30*F30*E30*D30</f>
        <v>10.549999999999999</v>
      </c>
      <c r="J30" s="294"/>
      <c r="K30" s="152"/>
      <c r="L30" s="167"/>
    </row>
    <row r="31" spans="1:12" ht="15">
      <c r="A31" s="283"/>
      <c r="B31" s="295" t="s">
        <v>329</v>
      </c>
      <c r="C31" s="296"/>
      <c r="D31" s="292">
        <v>5</v>
      </c>
      <c r="E31" s="421">
        <v>1</v>
      </c>
      <c r="F31" s="292">
        <v>0.9</v>
      </c>
      <c r="G31" s="297">
        <v>1</v>
      </c>
      <c r="H31" s="297"/>
      <c r="I31" s="292">
        <f>+G31*F31*E31*D31</f>
        <v>4.5</v>
      </c>
      <c r="J31" s="294"/>
      <c r="K31" s="152"/>
      <c r="L31" s="167"/>
    </row>
    <row r="32" spans="1:12" ht="15">
      <c r="A32" s="283" t="s">
        <v>50</v>
      </c>
      <c r="B32" s="295" t="s">
        <v>330</v>
      </c>
      <c r="C32" s="296" t="s">
        <v>58</v>
      </c>
      <c r="D32" s="292"/>
      <c r="E32" s="421"/>
      <c r="F32" s="292"/>
      <c r="G32" s="297"/>
      <c r="H32" s="297"/>
      <c r="I32" s="292"/>
      <c r="J32" s="294">
        <f>SUM(I33:I36)</f>
        <v>54.160000000000011</v>
      </c>
      <c r="K32" s="152"/>
      <c r="L32" s="167"/>
    </row>
    <row r="33" spans="1:12" ht="15">
      <c r="A33" s="283"/>
      <c r="B33" s="295" t="s">
        <v>331</v>
      </c>
      <c r="C33" s="296"/>
      <c r="D33" s="292">
        <v>8</v>
      </c>
      <c r="E33" s="422">
        <v>1</v>
      </c>
      <c r="F33" s="298">
        <v>4.2</v>
      </c>
      <c r="G33" s="299">
        <v>1.4</v>
      </c>
      <c r="H33" s="299">
        <v>0.9</v>
      </c>
      <c r="I33" s="298">
        <f>+H33*G33*F33*E33*D33</f>
        <v>42.336000000000006</v>
      </c>
      <c r="J33" s="294"/>
      <c r="K33" s="152"/>
      <c r="L33" s="167"/>
    </row>
    <row r="34" spans="1:12" s="110" customFormat="1" ht="15">
      <c r="A34" s="283"/>
      <c r="B34" s="295" t="s">
        <v>332</v>
      </c>
      <c r="C34" s="296"/>
      <c r="D34" s="292">
        <v>8</v>
      </c>
      <c r="E34" s="422">
        <v>1</v>
      </c>
      <c r="F34" s="298" t="s">
        <v>333</v>
      </c>
      <c r="G34" s="299">
        <v>0.53</v>
      </c>
      <c r="H34" s="299">
        <v>0.8</v>
      </c>
      <c r="I34" s="298">
        <f>+H34*G34*E34*D34</f>
        <v>3.3920000000000003</v>
      </c>
      <c r="J34" s="294"/>
      <c r="K34" s="152"/>
      <c r="L34" s="167">
        <f>[45]VAL.PRINC!I33</f>
        <v>9.1212800000000005</v>
      </c>
    </row>
    <row r="35" spans="1:12" s="110" customFormat="1" ht="15">
      <c r="A35" s="283"/>
      <c r="B35" s="295" t="s">
        <v>334</v>
      </c>
      <c r="C35" s="296"/>
      <c r="D35" s="292">
        <v>8</v>
      </c>
      <c r="E35" s="422">
        <v>1</v>
      </c>
      <c r="F35" s="298" t="s">
        <v>333</v>
      </c>
      <c r="G35" s="299">
        <v>0.53</v>
      </c>
      <c r="H35" s="299">
        <v>0.8</v>
      </c>
      <c r="I35" s="298">
        <f>+H35*G35*E35*D35</f>
        <v>3.3920000000000003</v>
      </c>
      <c r="J35" s="294"/>
      <c r="K35" s="152"/>
      <c r="L35" s="167"/>
    </row>
    <row r="36" spans="1:12" s="110" customFormat="1" ht="15">
      <c r="A36" s="283"/>
      <c r="B36" s="295" t="s">
        <v>335</v>
      </c>
      <c r="C36" s="296"/>
      <c r="D36" s="292">
        <v>8</v>
      </c>
      <c r="E36" s="422">
        <v>1</v>
      </c>
      <c r="F36" s="298">
        <v>0.9</v>
      </c>
      <c r="G36" s="299">
        <v>1</v>
      </c>
      <c r="H36" s="299">
        <v>0.7</v>
      </c>
      <c r="I36" s="298">
        <f>+H36*G36*F36*E36*D36</f>
        <v>5.04</v>
      </c>
      <c r="J36" s="294"/>
      <c r="K36" s="152"/>
      <c r="L36" s="167"/>
    </row>
    <row r="37" spans="1:12" s="110" customFormat="1" ht="15">
      <c r="A37" s="283" t="s">
        <v>51</v>
      </c>
      <c r="B37" s="295" t="s">
        <v>336</v>
      </c>
      <c r="C37" s="296" t="s">
        <v>58</v>
      </c>
      <c r="D37" s="292"/>
      <c r="E37" s="422"/>
      <c r="F37" s="298"/>
      <c r="G37" s="299"/>
      <c r="H37" s="299"/>
      <c r="I37" s="298"/>
      <c r="J37" s="294">
        <f>SUM(I38:I45)</f>
        <v>31.721940000000004</v>
      </c>
      <c r="K37" s="152"/>
      <c r="L37" s="167"/>
    </row>
    <row r="38" spans="1:12" s="110" customFormat="1" ht="15">
      <c r="A38" s="283"/>
      <c r="B38" s="295" t="s">
        <v>337</v>
      </c>
      <c r="C38" s="296"/>
      <c r="D38" s="292">
        <v>5</v>
      </c>
      <c r="E38" s="422">
        <v>2</v>
      </c>
      <c r="F38" s="298">
        <v>1.34</v>
      </c>
      <c r="G38" s="299">
        <v>0.46</v>
      </c>
      <c r="H38" s="299">
        <v>0.41</v>
      </c>
      <c r="I38" s="298">
        <f>+H38*G38*F38*E38*D38</f>
        <v>2.5272399999999999</v>
      </c>
      <c r="J38" s="294"/>
      <c r="K38" s="152"/>
      <c r="L38" s="167"/>
    </row>
    <row r="39" spans="1:12" s="110" customFormat="1" ht="15">
      <c r="A39" s="283"/>
      <c r="B39" s="295" t="s">
        <v>338</v>
      </c>
      <c r="C39" s="296"/>
      <c r="D39" s="292">
        <v>5</v>
      </c>
      <c r="E39" s="422">
        <v>2</v>
      </c>
      <c r="F39" s="298">
        <v>1.21</v>
      </c>
      <c r="G39" s="299">
        <v>0.46</v>
      </c>
      <c r="H39" s="299">
        <v>0.45</v>
      </c>
      <c r="I39" s="298">
        <f>+H39*G39*F39*E39*D39</f>
        <v>2.5047000000000001</v>
      </c>
      <c r="J39" s="294"/>
      <c r="K39" s="152"/>
      <c r="L39" s="167"/>
    </row>
    <row r="40" spans="1:12" s="110" customFormat="1" ht="15">
      <c r="A40" s="283"/>
      <c r="B40" s="295" t="s">
        <v>339</v>
      </c>
      <c r="C40" s="296"/>
      <c r="D40" s="292">
        <v>5</v>
      </c>
      <c r="E40" s="422">
        <v>1</v>
      </c>
      <c r="F40" s="298" t="s">
        <v>333</v>
      </c>
      <c r="G40" s="299">
        <v>0.53</v>
      </c>
      <c r="H40" s="299">
        <v>0.2</v>
      </c>
      <c r="I40" s="298">
        <f>+H40*G40*E40*D40</f>
        <v>0.53</v>
      </c>
      <c r="J40" s="294"/>
      <c r="K40" s="152"/>
      <c r="L40" s="167">
        <f>[45]VAL.PRINC!I34</f>
        <v>385.34240000000005</v>
      </c>
    </row>
    <row r="41" spans="1:12" s="110" customFormat="1" ht="15">
      <c r="A41" s="283"/>
      <c r="B41" s="295" t="s">
        <v>340</v>
      </c>
      <c r="C41" s="296"/>
      <c r="D41" s="292">
        <v>5</v>
      </c>
      <c r="E41" s="422">
        <v>1</v>
      </c>
      <c r="F41" s="298" t="s">
        <v>333</v>
      </c>
      <c r="G41" s="299">
        <v>0.53</v>
      </c>
      <c r="H41" s="299">
        <v>0.2</v>
      </c>
      <c r="I41" s="298">
        <f>+H41*G41*E41*D41</f>
        <v>0.53</v>
      </c>
      <c r="J41" s="294"/>
      <c r="K41" s="152"/>
      <c r="L41" s="167"/>
    </row>
    <row r="42" spans="1:12" s="110" customFormat="1" ht="15">
      <c r="A42" s="283"/>
      <c r="B42" s="295" t="s">
        <v>341</v>
      </c>
      <c r="C42" s="296"/>
      <c r="D42" s="292">
        <v>5</v>
      </c>
      <c r="E42" s="422">
        <v>1</v>
      </c>
      <c r="F42" s="298">
        <v>4.5</v>
      </c>
      <c r="G42" s="299">
        <v>1.4</v>
      </c>
      <c r="H42" s="299">
        <v>0.2</v>
      </c>
      <c r="I42" s="298">
        <f>+H42*G42*F42*E42*D42</f>
        <v>6.2999999999999989</v>
      </c>
      <c r="J42" s="294"/>
      <c r="K42" s="152"/>
      <c r="L42" s="167"/>
    </row>
    <row r="43" spans="1:12" s="110" customFormat="1" ht="15">
      <c r="A43" s="283"/>
      <c r="B43" s="295" t="s">
        <v>342</v>
      </c>
      <c r="C43" s="296"/>
      <c r="D43" s="292">
        <v>5</v>
      </c>
      <c r="E43" s="422">
        <v>2</v>
      </c>
      <c r="F43" s="298">
        <v>4.5</v>
      </c>
      <c r="G43" s="299">
        <v>0.3</v>
      </c>
      <c r="H43" s="299">
        <v>0.8</v>
      </c>
      <c r="I43" s="298">
        <f>+H43*G43*F43*E43*D43</f>
        <v>10.8</v>
      </c>
      <c r="J43" s="294"/>
      <c r="K43" s="152"/>
      <c r="L43" s="167"/>
    </row>
    <row r="44" spans="1:12" ht="15">
      <c r="A44" s="283"/>
      <c r="B44" s="295" t="s">
        <v>343</v>
      </c>
      <c r="C44" s="296"/>
      <c r="D44" s="292">
        <v>5</v>
      </c>
      <c r="E44" s="422">
        <v>1</v>
      </c>
      <c r="F44" s="298">
        <v>1</v>
      </c>
      <c r="G44" s="299">
        <v>0.9</v>
      </c>
      <c r="H44" s="299">
        <v>0.9</v>
      </c>
      <c r="I44" s="298">
        <f>+H44*G44*F44*E44*D44</f>
        <v>4.0500000000000007</v>
      </c>
      <c r="J44" s="294"/>
      <c r="K44" s="152"/>
      <c r="L44" s="167">
        <f>[45]VAL.PRINC!I35</f>
        <v>7.8</v>
      </c>
    </row>
    <row r="45" spans="1:12" ht="15">
      <c r="A45" s="283"/>
      <c r="B45" s="295" t="s">
        <v>344</v>
      </c>
      <c r="C45" s="296"/>
      <c r="D45" s="292">
        <v>5</v>
      </c>
      <c r="E45" s="422">
        <v>2</v>
      </c>
      <c r="F45" s="298">
        <v>2.8</v>
      </c>
      <c r="G45" s="299">
        <v>0.2</v>
      </c>
      <c r="H45" s="299">
        <v>0.8</v>
      </c>
      <c r="I45" s="298">
        <f>+H45*G45*F45*E45*D45</f>
        <v>4.4800000000000004</v>
      </c>
      <c r="J45" s="294"/>
      <c r="K45" s="152"/>
      <c r="L45" s="167"/>
    </row>
    <row r="46" spans="1:12" ht="15">
      <c r="A46" s="283" t="s">
        <v>277</v>
      </c>
      <c r="B46" s="295" t="s">
        <v>345</v>
      </c>
      <c r="C46" s="296" t="s">
        <v>278</v>
      </c>
      <c r="D46" s="292"/>
      <c r="E46" s="421"/>
      <c r="F46" s="292"/>
      <c r="G46" s="300"/>
      <c r="H46" s="297"/>
      <c r="I46" s="292"/>
      <c r="J46" s="294">
        <f>+I47*D47</f>
        <v>2895</v>
      </c>
      <c r="K46" s="152"/>
      <c r="L46" s="167"/>
    </row>
    <row r="47" spans="1:12" ht="15">
      <c r="A47" s="283"/>
      <c r="B47" s="295"/>
      <c r="C47" s="296"/>
      <c r="D47" s="292">
        <v>15</v>
      </c>
      <c r="E47" s="421"/>
      <c r="F47" s="3307" t="s">
        <v>346</v>
      </c>
      <c r="G47" s="3307"/>
      <c r="H47" s="3307"/>
      <c r="I47" s="286">
        <v>193</v>
      </c>
      <c r="J47" s="294"/>
      <c r="K47" s="152"/>
      <c r="L47" s="167"/>
    </row>
    <row r="48" spans="1:12" s="125" customFormat="1" ht="15">
      <c r="A48" s="283" t="s">
        <v>279</v>
      </c>
      <c r="B48" s="295" t="s">
        <v>126</v>
      </c>
      <c r="C48" s="296" t="s">
        <v>276</v>
      </c>
      <c r="D48" s="292"/>
      <c r="E48" s="421"/>
      <c r="F48" s="292"/>
      <c r="G48" s="297"/>
      <c r="H48" s="297"/>
      <c r="I48" s="292"/>
      <c r="J48" s="294">
        <f>+I49</f>
        <v>16</v>
      </c>
      <c r="K48" s="152"/>
      <c r="L48" s="167">
        <f>[45]VAL.PRINC!I36</f>
        <v>2.1840000000000002</v>
      </c>
    </row>
    <row r="49" spans="1:13" s="125" customFormat="1" ht="15">
      <c r="A49" s="283"/>
      <c r="B49" s="295" t="s">
        <v>347</v>
      </c>
      <c r="C49" s="296"/>
      <c r="D49" s="292">
        <v>4</v>
      </c>
      <c r="E49" s="422">
        <v>2</v>
      </c>
      <c r="F49" s="298">
        <v>4</v>
      </c>
      <c r="G49" s="299"/>
      <c r="H49" s="299">
        <v>0.5</v>
      </c>
      <c r="I49" s="298">
        <f>E49*F49*H49*D49</f>
        <v>16</v>
      </c>
      <c r="J49" s="294"/>
      <c r="K49" s="152"/>
      <c r="L49" s="167"/>
    </row>
    <row r="50" spans="1:13" s="125" customFormat="1" ht="15">
      <c r="A50" s="283" t="s">
        <v>280</v>
      </c>
      <c r="B50" s="295" t="s">
        <v>348</v>
      </c>
      <c r="C50" s="296" t="s">
        <v>58</v>
      </c>
      <c r="D50" s="292"/>
      <c r="E50" s="422"/>
      <c r="F50" s="298"/>
      <c r="G50" s="299"/>
      <c r="H50" s="299"/>
      <c r="I50" s="298"/>
      <c r="J50" s="294">
        <f>SUM(I51)</f>
        <v>4.4799999999999995</v>
      </c>
      <c r="K50" s="152"/>
      <c r="L50" s="167"/>
    </row>
    <row r="51" spans="1:13" s="125" customFormat="1" ht="15">
      <c r="A51" s="301"/>
      <c r="B51" s="295" t="s">
        <v>349</v>
      </c>
      <c r="C51" s="296"/>
      <c r="D51" s="292">
        <v>4</v>
      </c>
      <c r="E51" s="422">
        <v>1</v>
      </c>
      <c r="F51" s="298">
        <v>4</v>
      </c>
      <c r="G51" s="299">
        <v>1.4</v>
      </c>
      <c r="H51" s="299">
        <v>0.2</v>
      </c>
      <c r="I51" s="298">
        <f>+H51*G51*F51*E51*D51</f>
        <v>4.4799999999999995</v>
      </c>
      <c r="J51" s="294"/>
      <c r="K51" s="152"/>
      <c r="L51" s="167"/>
    </row>
    <row r="52" spans="1:13" s="125" customFormat="1" ht="15">
      <c r="A52" s="283" t="s">
        <v>281</v>
      </c>
      <c r="B52" s="295" t="s">
        <v>350</v>
      </c>
      <c r="C52" s="296" t="s">
        <v>58</v>
      </c>
      <c r="D52" s="292"/>
      <c r="E52" s="422"/>
      <c r="F52" s="298"/>
      <c r="G52" s="299"/>
      <c r="H52" s="299"/>
      <c r="I52" s="298"/>
      <c r="J52" s="294">
        <f>SUM(I53:I55)</f>
        <v>4.1375999999999999</v>
      </c>
      <c r="K52" s="152"/>
      <c r="L52" s="167"/>
    </row>
    <row r="53" spans="1:13" s="105" customFormat="1" ht="15">
      <c r="A53" s="283"/>
      <c r="B53" s="295" t="s">
        <v>351</v>
      </c>
      <c r="C53" s="296"/>
      <c r="D53" s="292">
        <v>4</v>
      </c>
      <c r="E53" s="422">
        <v>2</v>
      </c>
      <c r="F53" s="298">
        <v>1.21</v>
      </c>
      <c r="G53" s="299">
        <v>0.2</v>
      </c>
      <c r="H53" s="299">
        <v>0.6</v>
      </c>
      <c r="I53" s="298">
        <f>+H53*G53*F53*E53*D53</f>
        <v>1.1616</v>
      </c>
      <c r="J53" s="294"/>
      <c r="K53" s="152"/>
      <c r="L53" s="167">
        <f>[45]VAL.PRINC!I37</f>
        <v>1.9296</v>
      </c>
    </row>
    <row r="54" spans="1:13" s="105" customFormat="1" ht="15">
      <c r="A54" s="283"/>
      <c r="B54" s="295" t="s">
        <v>352</v>
      </c>
      <c r="C54" s="296"/>
      <c r="D54" s="292">
        <v>4</v>
      </c>
      <c r="E54" s="422">
        <v>2</v>
      </c>
      <c r="F54" s="298">
        <v>1</v>
      </c>
      <c r="G54" s="299">
        <v>0.2</v>
      </c>
      <c r="H54" s="299">
        <v>0.6</v>
      </c>
      <c r="I54" s="298">
        <f>+H54*G54*F54*E54*D54</f>
        <v>0.96</v>
      </c>
      <c r="J54" s="294"/>
      <c r="K54" s="152"/>
      <c r="L54" s="167"/>
    </row>
    <row r="55" spans="1:13" s="105" customFormat="1" ht="15">
      <c r="A55" s="283"/>
      <c r="B55" s="295" t="s">
        <v>353</v>
      </c>
      <c r="C55" s="296"/>
      <c r="D55" s="292">
        <v>4</v>
      </c>
      <c r="E55" s="422">
        <v>2</v>
      </c>
      <c r="F55" s="298">
        <v>1.8</v>
      </c>
      <c r="G55" s="299">
        <v>0.2</v>
      </c>
      <c r="H55" s="299">
        <v>0.7</v>
      </c>
      <c r="I55" s="298">
        <f>+H55*G55*F55*E55*D55</f>
        <v>2.016</v>
      </c>
      <c r="J55" s="294"/>
      <c r="K55" s="152"/>
      <c r="L55" s="167"/>
    </row>
    <row r="56" spans="1:13" s="105" customFormat="1" ht="15">
      <c r="A56" s="283" t="s">
        <v>282</v>
      </c>
      <c r="B56" s="295" t="s">
        <v>354</v>
      </c>
      <c r="C56" s="296" t="s">
        <v>58</v>
      </c>
      <c r="D56" s="292"/>
      <c r="E56" s="422"/>
      <c r="F56" s="298"/>
      <c r="G56" s="299"/>
      <c r="H56" s="299"/>
      <c r="I56" s="298"/>
      <c r="J56" s="294">
        <f>SUM(I57:I60)</f>
        <v>0</v>
      </c>
      <c r="K56" s="152"/>
      <c r="L56" s="167"/>
    </row>
    <row r="57" spans="1:13" s="105" customFormat="1" ht="15">
      <c r="A57" s="283"/>
      <c r="B57" s="295" t="s">
        <v>347</v>
      </c>
      <c r="C57" s="296"/>
      <c r="D57" s="292">
        <v>4</v>
      </c>
      <c r="E57" s="422">
        <v>0</v>
      </c>
      <c r="F57" s="298">
        <v>3.9</v>
      </c>
      <c r="G57" s="299">
        <v>0.15</v>
      </c>
      <c r="H57" s="299">
        <v>0.8</v>
      </c>
      <c r="I57" s="298">
        <f>+H57*G57*F57*E57*D57</f>
        <v>0</v>
      </c>
      <c r="J57" s="294"/>
      <c r="K57" s="152"/>
      <c r="L57" s="167">
        <f>[45]VAL.PRINC!I38</f>
        <v>3.3521999999999998</v>
      </c>
      <c r="M57" s="112"/>
    </row>
    <row r="58" spans="1:13" s="105" customFormat="1" ht="15">
      <c r="A58" s="283"/>
      <c r="B58" s="295" t="s">
        <v>355</v>
      </c>
      <c r="C58" s="296"/>
      <c r="D58" s="292">
        <v>4</v>
      </c>
      <c r="E58" s="422">
        <v>0</v>
      </c>
      <c r="F58" s="298">
        <v>1.21</v>
      </c>
      <c r="G58" s="299">
        <v>0.15</v>
      </c>
      <c r="H58" s="299">
        <v>0.7</v>
      </c>
      <c r="I58" s="298">
        <f>+H58*G58*F58*E58*D58</f>
        <v>0</v>
      </c>
      <c r="J58" s="294"/>
      <c r="K58" s="152"/>
      <c r="L58" s="167"/>
      <c r="M58" s="112"/>
    </row>
    <row r="59" spans="1:13" s="105" customFormat="1" ht="15">
      <c r="A59" s="283"/>
      <c r="B59" s="295" t="s">
        <v>356</v>
      </c>
      <c r="C59" s="296"/>
      <c r="D59" s="292">
        <v>4</v>
      </c>
      <c r="E59" s="422">
        <v>0</v>
      </c>
      <c r="F59" s="298">
        <v>1</v>
      </c>
      <c r="G59" s="299">
        <v>0.15</v>
      </c>
      <c r="H59" s="299">
        <v>0.7</v>
      </c>
      <c r="I59" s="298">
        <f>+H59*G59*F59*E59*D59</f>
        <v>0</v>
      </c>
      <c r="J59" s="294"/>
      <c r="K59" s="152"/>
      <c r="L59" s="167"/>
      <c r="M59" s="112"/>
    </row>
    <row r="60" spans="1:13" s="105" customFormat="1" ht="15">
      <c r="A60" s="283"/>
      <c r="B60" s="295" t="s">
        <v>357</v>
      </c>
      <c r="C60" s="296"/>
      <c r="D60" s="292">
        <v>4</v>
      </c>
      <c r="E60" s="422">
        <v>0</v>
      </c>
      <c r="F60" s="298">
        <v>2.2999999999999998</v>
      </c>
      <c r="G60" s="299">
        <v>0.15</v>
      </c>
      <c r="H60" s="299">
        <v>0.8</v>
      </c>
      <c r="I60" s="298">
        <f>+H60*G60*F60*E60*D60</f>
        <v>0</v>
      </c>
      <c r="J60" s="294"/>
      <c r="K60" s="152"/>
      <c r="L60" s="167"/>
      <c r="M60" s="112"/>
    </row>
    <row r="61" spans="1:13" s="105" customFormat="1" ht="15.75">
      <c r="A61" s="176"/>
      <c r="B61" s="182"/>
      <c r="C61" s="189"/>
      <c r="D61" s="122"/>
      <c r="E61" s="115"/>
      <c r="F61" s="115"/>
      <c r="G61" s="115"/>
      <c r="H61" s="136"/>
      <c r="I61" s="143"/>
      <c r="J61" s="146"/>
      <c r="K61" s="152"/>
      <c r="L61" s="167"/>
      <c r="M61" s="112"/>
    </row>
    <row r="62" spans="1:13" s="105" customFormat="1" ht="15.75" hidden="1">
      <c r="A62" s="178" t="s">
        <v>104</v>
      </c>
      <c r="B62" s="183" t="s">
        <v>124</v>
      </c>
      <c r="C62" s="190"/>
      <c r="D62" s="122"/>
      <c r="E62" s="115"/>
      <c r="F62" s="115"/>
      <c r="G62" s="115"/>
      <c r="H62" s="136"/>
      <c r="I62" s="143">
        <f t="shared" ref="I62:I125" si="0">PRODUCT(D62:H62)</f>
        <v>0</v>
      </c>
      <c r="J62" s="146"/>
      <c r="K62" s="152"/>
      <c r="L62" s="167">
        <f>[45]VAL.PRINC!I39</f>
        <v>0</v>
      </c>
      <c r="M62" s="112"/>
    </row>
    <row r="63" spans="1:13" s="105" customFormat="1" ht="15" hidden="1">
      <c r="A63" s="176" t="s">
        <v>104</v>
      </c>
      <c r="B63" s="181" t="s">
        <v>121</v>
      </c>
      <c r="C63" s="190" t="s">
        <v>37</v>
      </c>
      <c r="D63" s="122"/>
      <c r="E63" s="115"/>
      <c r="F63" s="115"/>
      <c r="G63" s="115"/>
      <c r="H63" s="136"/>
      <c r="I63" s="143">
        <f t="shared" si="0"/>
        <v>0</v>
      </c>
      <c r="J63" s="119"/>
      <c r="K63" s="152"/>
      <c r="L63" s="167">
        <f>[45]VAL.PRINC!I40</f>
        <v>0</v>
      </c>
      <c r="M63" s="112"/>
    </row>
    <row r="64" spans="1:13" s="105" customFormat="1" ht="15" hidden="1">
      <c r="A64" s="176" t="s">
        <v>104</v>
      </c>
      <c r="B64" s="181" t="s">
        <v>125</v>
      </c>
      <c r="C64" s="190" t="s">
        <v>40</v>
      </c>
      <c r="D64" s="138"/>
      <c r="E64" s="118"/>
      <c r="F64" s="118"/>
      <c r="G64" s="118"/>
      <c r="H64" s="118"/>
      <c r="I64" s="143">
        <f t="shared" si="0"/>
        <v>0</v>
      </c>
      <c r="J64" s="119"/>
      <c r="K64" s="155"/>
      <c r="L64" s="167">
        <f>[45]VAL.PRINC!I41</f>
        <v>0</v>
      </c>
      <c r="M64" s="112"/>
    </row>
    <row r="65" spans="1:13" s="105" customFormat="1" ht="15" hidden="1">
      <c r="A65" s="176" t="s">
        <v>104</v>
      </c>
      <c r="B65" s="181" t="s">
        <v>126</v>
      </c>
      <c r="C65" s="190" t="s">
        <v>37</v>
      </c>
      <c r="D65" s="138"/>
      <c r="E65" s="118"/>
      <c r="F65" s="118"/>
      <c r="G65" s="118"/>
      <c r="H65" s="118"/>
      <c r="I65" s="143">
        <f t="shared" si="0"/>
        <v>0</v>
      </c>
      <c r="J65" s="117"/>
      <c r="K65" s="152"/>
      <c r="L65" s="167">
        <f>[45]VAL.PRINC!I42</f>
        <v>0</v>
      </c>
      <c r="M65" s="112"/>
    </row>
    <row r="66" spans="1:13" s="105" customFormat="1" ht="15" hidden="1">
      <c r="A66" s="176" t="s">
        <v>104</v>
      </c>
      <c r="B66" s="181" t="s">
        <v>127</v>
      </c>
      <c r="C66" s="190" t="s">
        <v>40</v>
      </c>
      <c r="D66" s="138"/>
      <c r="E66" s="118"/>
      <c r="F66" s="118"/>
      <c r="G66" s="118"/>
      <c r="H66" s="118"/>
      <c r="I66" s="143">
        <f t="shared" si="0"/>
        <v>0</v>
      </c>
      <c r="J66" s="117"/>
      <c r="K66" s="152"/>
      <c r="L66" s="167">
        <f>[45]VAL.PRINC!I43</f>
        <v>0</v>
      </c>
    </row>
    <row r="67" spans="1:13" s="105" customFormat="1" ht="15" hidden="1">
      <c r="A67" s="176" t="s">
        <v>104</v>
      </c>
      <c r="B67" s="181" t="s">
        <v>128</v>
      </c>
      <c r="C67" s="189" t="s">
        <v>38</v>
      </c>
      <c r="D67" s="122"/>
      <c r="E67" s="115"/>
      <c r="F67" s="115"/>
      <c r="G67" s="115"/>
      <c r="H67" s="115"/>
      <c r="I67" s="143">
        <f t="shared" si="0"/>
        <v>0</v>
      </c>
      <c r="J67" s="119"/>
      <c r="K67" s="152"/>
      <c r="L67" s="167">
        <f>[45]VAL.PRINC!I44</f>
        <v>0</v>
      </c>
      <c r="M67" s="112"/>
    </row>
    <row r="68" spans="1:13" s="114" customFormat="1" ht="15" hidden="1">
      <c r="A68" s="176" t="s">
        <v>104</v>
      </c>
      <c r="B68" s="181" t="s">
        <v>129</v>
      </c>
      <c r="C68" s="189" t="s">
        <v>38</v>
      </c>
      <c r="D68" s="121"/>
      <c r="E68" s="118"/>
      <c r="F68" s="118"/>
      <c r="G68" s="118"/>
      <c r="H68" s="118"/>
      <c r="I68" s="143">
        <f t="shared" si="0"/>
        <v>0</v>
      </c>
      <c r="J68" s="119"/>
      <c r="K68" s="156"/>
      <c r="L68" s="167">
        <f>[45]VAL.PRINC!I45</f>
        <v>0</v>
      </c>
    </row>
    <row r="69" spans="1:13" s="114" customFormat="1" ht="15" hidden="1">
      <c r="A69" s="176" t="s">
        <v>104</v>
      </c>
      <c r="B69" s="181" t="s">
        <v>242</v>
      </c>
      <c r="C69" s="192" t="s">
        <v>37</v>
      </c>
      <c r="D69" s="121"/>
      <c r="E69" s="118"/>
      <c r="F69" s="118"/>
      <c r="G69" s="118"/>
      <c r="H69" s="118"/>
      <c r="I69" s="143">
        <f t="shared" si="0"/>
        <v>0</v>
      </c>
      <c r="J69" s="119"/>
      <c r="K69" s="156"/>
      <c r="L69" s="167">
        <f>[45]VAL.PRINC!I46</f>
        <v>0</v>
      </c>
    </row>
    <row r="70" spans="1:13" s="114" customFormat="1" ht="15" hidden="1">
      <c r="A70" s="176" t="s">
        <v>104</v>
      </c>
      <c r="B70" s="181" t="s">
        <v>123</v>
      </c>
      <c r="C70" s="190" t="s">
        <v>40</v>
      </c>
      <c r="D70" s="121"/>
      <c r="E70" s="118"/>
      <c r="F70" s="118"/>
      <c r="G70" s="118"/>
      <c r="H70" s="118"/>
      <c r="I70" s="143">
        <f t="shared" si="0"/>
        <v>0</v>
      </c>
      <c r="J70" s="119"/>
      <c r="K70" s="156"/>
      <c r="L70" s="167">
        <f>[45]VAL.PRINC!I47</f>
        <v>0</v>
      </c>
    </row>
    <row r="71" spans="1:13" ht="15" hidden="1">
      <c r="A71" s="178" t="s">
        <v>105</v>
      </c>
      <c r="B71" s="184" t="s">
        <v>106</v>
      </c>
      <c r="C71" s="191"/>
      <c r="D71" s="121"/>
      <c r="E71" s="118"/>
      <c r="F71" s="118"/>
      <c r="G71" s="118"/>
      <c r="H71" s="118"/>
      <c r="I71" s="143">
        <f t="shared" si="0"/>
        <v>0</v>
      </c>
      <c r="J71" s="119"/>
      <c r="K71" s="156"/>
      <c r="L71" s="167">
        <f>[45]VAL.PRINC!I48</f>
        <v>0</v>
      </c>
    </row>
    <row r="72" spans="1:13" ht="15" hidden="1">
      <c r="A72" s="176" t="s">
        <v>105</v>
      </c>
      <c r="B72" s="181" t="s">
        <v>130</v>
      </c>
      <c r="C72" s="190" t="s">
        <v>38</v>
      </c>
      <c r="D72" s="121"/>
      <c r="E72" s="118"/>
      <c r="F72" s="118"/>
      <c r="G72" s="118"/>
      <c r="H72" s="118"/>
      <c r="I72" s="143">
        <f t="shared" si="0"/>
        <v>0</v>
      </c>
      <c r="J72" s="119"/>
      <c r="K72" s="156"/>
      <c r="L72" s="167">
        <f>[45]VAL.PRINC!I49</f>
        <v>0</v>
      </c>
    </row>
    <row r="73" spans="1:13" ht="15" hidden="1">
      <c r="A73" s="176" t="s">
        <v>105</v>
      </c>
      <c r="B73" s="181" t="s">
        <v>131</v>
      </c>
      <c r="C73" s="189" t="s">
        <v>38</v>
      </c>
      <c r="D73" s="121"/>
      <c r="E73" s="118"/>
      <c r="F73" s="118"/>
      <c r="G73" s="118"/>
      <c r="H73" s="118"/>
      <c r="I73" s="143">
        <f t="shared" si="0"/>
        <v>0</v>
      </c>
      <c r="J73" s="119"/>
      <c r="K73" s="156"/>
      <c r="L73" s="167">
        <f>[45]VAL.PRINC!I50</f>
        <v>0</v>
      </c>
    </row>
    <row r="74" spans="1:13" ht="15" hidden="1">
      <c r="A74" s="176" t="s">
        <v>105</v>
      </c>
      <c r="B74" s="181" t="s">
        <v>132</v>
      </c>
      <c r="C74" s="190" t="s">
        <v>38</v>
      </c>
      <c r="D74" s="121"/>
      <c r="E74" s="118"/>
      <c r="F74" s="118"/>
      <c r="G74" s="118"/>
      <c r="H74" s="118"/>
      <c r="I74" s="143">
        <f t="shared" si="0"/>
        <v>0</v>
      </c>
      <c r="J74" s="119"/>
      <c r="K74" s="156"/>
      <c r="L74" s="167">
        <f>[45]VAL.PRINC!I51</f>
        <v>0</v>
      </c>
    </row>
    <row r="75" spans="1:13" ht="15" hidden="1">
      <c r="A75" s="177" t="s">
        <v>107</v>
      </c>
      <c r="B75" s="185" t="s">
        <v>108</v>
      </c>
      <c r="C75" s="191"/>
      <c r="D75" s="121"/>
      <c r="E75" s="118"/>
      <c r="F75" s="118"/>
      <c r="G75" s="118"/>
      <c r="H75" s="118"/>
      <c r="I75" s="143">
        <f t="shared" si="0"/>
        <v>0</v>
      </c>
      <c r="J75" s="119"/>
      <c r="K75" s="156"/>
      <c r="L75" s="167">
        <f>[45]VAL.PRINC!I52</f>
        <v>0</v>
      </c>
    </row>
    <row r="76" spans="1:13" ht="15" hidden="1">
      <c r="A76" s="178" t="s">
        <v>109</v>
      </c>
      <c r="B76" s="184" t="s">
        <v>97</v>
      </c>
      <c r="C76" s="190"/>
      <c r="D76" s="121"/>
      <c r="E76" s="118"/>
      <c r="F76" s="118"/>
      <c r="G76" s="137"/>
      <c r="H76" s="118"/>
      <c r="I76" s="143">
        <f t="shared" si="0"/>
        <v>0</v>
      </c>
      <c r="J76" s="119"/>
      <c r="K76" s="157"/>
      <c r="L76" s="167">
        <f>[45]VAL.PRINC!I53</f>
        <v>0</v>
      </c>
    </row>
    <row r="77" spans="1:13" ht="15" hidden="1">
      <c r="A77" s="176" t="s">
        <v>109</v>
      </c>
      <c r="B77" s="181" t="s">
        <v>133</v>
      </c>
      <c r="C77" s="190" t="s">
        <v>37</v>
      </c>
      <c r="D77" s="121"/>
      <c r="E77" s="118"/>
      <c r="F77" s="118"/>
      <c r="G77" s="137"/>
      <c r="H77" s="118"/>
      <c r="I77" s="143">
        <f t="shared" si="0"/>
        <v>0</v>
      </c>
      <c r="J77" s="119"/>
      <c r="K77" s="157"/>
      <c r="L77" s="167">
        <f>[45]VAL.PRINC!I54</f>
        <v>0</v>
      </c>
    </row>
    <row r="78" spans="1:13" ht="15" hidden="1">
      <c r="A78" s="176" t="s">
        <v>109</v>
      </c>
      <c r="B78" s="181" t="s">
        <v>121</v>
      </c>
      <c r="C78" s="190" t="s">
        <v>37</v>
      </c>
      <c r="D78" s="121"/>
      <c r="E78" s="118"/>
      <c r="F78" s="118"/>
      <c r="G78" s="137"/>
      <c r="H78" s="118"/>
      <c r="I78" s="143">
        <f t="shared" si="0"/>
        <v>0</v>
      </c>
      <c r="J78" s="119"/>
      <c r="K78" s="157"/>
      <c r="L78" s="167">
        <f>[45]VAL.PRINC!I55</f>
        <v>0</v>
      </c>
    </row>
    <row r="79" spans="1:13" ht="15" hidden="1">
      <c r="A79" s="176" t="s">
        <v>109</v>
      </c>
      <c r="B79" s="181" t="s">
        <v>134</v>
      </c>
      <c r="C79" s="190" t="s">
        <v>243</v>
      </c>
      <c r="D79" s="121"/>
      <c r="E79" s="118"/>
      <c r="F79" s="118"/>
      <c r="G79" s="137"/>
      <c r="H79" s="118"/>
      <c r="I79" s="143">
        <f t="shared" si="0"/>
        <v>0</v>
      </c>
      <c r="J79" s="117"/>
      <c r="K79" s="157"/>
      <c r="L79" s="167">
        <f>[45]VAL.PRINC!I56</f>
        <v>0</v>
      </c>
    </row>
    <row r="80" spans="1:13" ht="15" hidden="1">
      <c r="A80" s="178" t="s">
        <v>110</v>
      </c>
      <c r="B80" s="184" t="s">
        <v>99</v>
      </c>
      <c r="C80" s="190"/>
      <c r="D80" s="121"/>
      <c r="E80" s="118"/>
      <c r="F80" s="118"/>
      <c r="G80" s="137"/>
      <c r="H80" s="118"/>
      <c r="I80" s="143">
        <f t="shared" si="0"/>
        <v>0</v>
      </c>
      <c r="J80" s="117"/>
      <c r="K80" s="157"/>
      <c r="L80" s="167">
        <f>[45]VAL.PRINC!I57</f>
        <v>0</v>
      </c>
    </row>
    <row r="81" spans="1:12" ht="15" hidden="1">
      <c r="A81" s="179" t="s">
        <v>111</v>
      </c>
      <c r="B81" s="186" t="s">
        <v>135</v>
      </c>
      <c r="C81" s="189"/>
      <c r="D81" s="121"/>
      <c r="E81" s="118"/>
      <c r="F81" s="118"/>
      <c r="G81" s="137"/>
      <c r="H81" s="118"/>
      <c r="I81" s="143">
        <f t="shared" si="0"/>
        <v>0</v>
      </c>
      <c r="J81" s="117"/>
      <c r="K81" s="157"/>
      <c r="L81" s="167">
        <f>[45]VAL.PRINC!I58</f>
        <v>0</v>
      </c>
    </row>
    <row r="82" spans="1:12" ht="15" hidden="1">
      <c r="A82" s="176" t="s">
        <v>111</v>
      </c>
      <c r="B82" s="181" t="s">
        <v>136</v>
      </c>
      <c r="C82" s="190" t="s">
        <v>40</v>
      </c>
      <c r="D82" s="121"/>
      <c r="E82" s="118"/>
      <c r="F82" s="118"/>
      <c r="G82" s="137"/>
      <c r="H82" s="118"/>
      <c r="I82" s="143">
        <f t="shared" si="0"/>
        <v>0</v>
      </c>
      <c r="J82" s="117"/>
      <c r="K82" s="157"/>
      <c r="L82" s="167">
        <f>[45]VAL.PRINC!I59</f>
        <v>0</v>
      </c>
    </row>
    <row r="83" spans="1:12" ht="15" hidden="1">
      <c r="A83" s="176" t="s">
        <v>111</v>
      </c>
      <c r="B83" s="181" t="s">
        <v>137</v>
      </c>
      <c r="C83" s="190" t="s">
        <v>40</v>
      </c>
      <c r="D83" s="121"/>
      <c r="E83" s="118"/>
      <c r="F83" s="118"/>
      <c r="G83" s="137"/>
      <c r="H83" s="118"/>
      <c r="I83" s="143">
        <f t="shared" si="0"/>
        <v>0</v>
      </c>
      <c r="J83" s="117"/>
      <c r="K83" s="157"/>
      <c r="L83" s="167">
        <f>[45]VAL.PRINC!I60</f>
        <v>0</v>
      </c>
    </row>
    <row r="84" spans="1:12" ht="15" hidden="1">
      <c r="A84" s="176" t="s">
        <v>111</v>
      </c>
      <c r="B84" s="181" t="s">
        <v>138</v>
      </c>
      <c r="C84" s="190" t="s">
        <v>40</v>
      </c>
      <c r="D84" s="121"/>
      <c r="E84" s="118"/>
      <c r="F84" s="118"/>
      <c r="G84" s="137"/>
      <c r="H84" s="118"/>
      <c r="I84" s="143">
        <f t="shared" si="0"/>
        <v>0</v>
      </c>
      <c r="J84" s="117"/>
      <c r="K84" s="157"/>
      <c r="L84" s="167">
        <f>[45]VAL.PRINC!I61</f>
        <v>0</v>
      </c>
    </row>
    <row r="85" spans="1:12" ht="15" hidden="1">
      <c r="A85" s="179" t="s">
        <v>112</v>
      </c>
      <c r="B85" s="186" t="s">
        <v>113</v>
      </c>
      <c r="C85" s="193"/>
      <c r="D85" s="121"/>
      <c r="E85" s="118"/>
      <c r="F85" s="118"/>
      <c r="G85" s="137"/>
      <c r="H85" s="118"/>
      <c r="I85" s="143">
        <f t="shared" si="0"/>
        <v>0</v>
      </c>
      <c r="J85" s="117"/>
      <c r="K85" s="157"/>
      <c r="L85" s="167">
        <f>[45]VAL.PRINC!I62</f>
        <v>0</v>
      </c>
    </row>
    <row r="86" spans="1:12" ht="15" hidden="1">
      <c r="A86" s="176" t="s">
        <v>112</v>
      </c>
      <c r="B86" s="181" t="s">
        <v>123</v>
      </c>
      <c r="C86" s="194" t="s">
        <v>40</v>
      </c>
      <c r="D86" s="121"/>
      <c r="E86" s="118"/>
      <c r="F86" s="118"/>
      <c r="G86" s="137"/>
      <c r="H86" s="118"/>
      <c r="I86" s="143">
        <f t="shared" si="0"/>
        <v>0</v>
      </c>
      <c r="J86" s="117"/>
      <c r="K86" s="157"/>
      <c r="L86" s="167">
        <f>[45]VAL.PRINC!I63</f>
        <v>0</v>
      </c>
    </row>
    <row r="87" spans="1:12" ht="15" hidden="1">
      <c r="A87" s="179" t="s">
        <v>114</v>
      </c>
      <c r="B87" s="186" t="s">
        <v>244</v>
      </c>
      <c r="C87" s="195"/>
      <c r="D87" s="121"/>
      <c r="E87" s="118"/>
      <c r="F87" s="118"/>
      <c r="G87" s="137"/>
      <c r="H87" s="118"/>
      <c r="I87" s="143">
        <f t="shared" si="0"/>
        <v>0</v>
      </c>
      <c r="J87" s="117"/>
      <c r="K87" s="157"/>
      <c r="L87" s="167">
        <f>[45]VAL.PRINC!I64</f>
        <v>0</v>
      </c>
    </row>
    <row r="88" spans="1:12" ht="15" hidden="1">
      <c r="A88" s="176" t="s">
        <v>114</v>
      </c>
      <c r="B88" s="181" t="s">
        <v>120</v>
      </c>
      <c r="C88" s="189" t="s">
        <v>241</v>
      </c>
      <c r="D88" s="121"/>
      <c r="E88" s="118"/>
      <c r="F88" s="118"/>
      <c r="G88" s="137"/>
      <c r="H88" s="118"/>
      <c r="I88" s="143">
        <f t="shared" si="0"/>
        <v>0</v>
      </c>
      <c r="J88" s="117"/>
      <c r="K88" s="157"/>
      <c r="L88" s="167">
        <f>[45]VAL.PRINC!I65</f>
        <v>0</v>
      </c>
    </row>
    <row r="89" spans="1:12" ht="15" hidden="1">
      <c r="A89" s="178" t="s">
        <v>115</v>
      </c>
      <c r="B89" s="184" t="s">
        <v>116</v>
      </c>
      <c r="C89" s="190"/>
      <c r="D89" s="121"/>
      <c r="E89" s="118"/>
      <c r="F89" s="118"/>
      <c r="G89" s="137"/>
      <c r="H89" s="118"/>
      <c r="I89" s="143">
        <f t="shared" si="0"/>
        <v>0</v>
      </c>
      <c r="J89" s="117"/>
      <c r="K89" s="157"/>
      <c r="L89" s="167">
        <f>[45]VAL.PRINC!I66</f>
        <v>0</v>
      </c>
    </row>
    <row r="90" spans="1:12" ht="15" hidden="1">
      <c r="A90" s="179" t="s">
        <v>117</v>
      </c>
      <c r="B90" s="186" t="s">
        <v>139</v>
      </c>
      <c r="C90" s="190"/>
      <c r="D90" s="121"/>
      <c r="E90" s="118"/>
      <c r="F90" s="118"/>
      <c r="G90" s="137"/>
      <c r="H90" s="118"/>
      <c r="I90" s="143">
        <f t="shared" si="0"/>
        <v>0</v>
      </c>
      <c r="J90" s="117"/>
      <c r="K90" s="157"/>
      <c r="L90" s="167">
        <f>[45]VAL.PRINC!I67</f>
        <v>0</v>
      </c>
    </row>
    <row r="91" spans="1:12" ht="15" hidden="1">
      <c r="A91" s="176" t="s">
        <v>117</v>
      </c>
      <c r="B91" s="181" t="s">
        <v>140</v>
      </c>
      <c r="C91" s="192" t="s">
        <v>37</v>
      </c>
      <c r="D91" s="121"/>
      <c r="E91" s="118"/>
      <c r="F91" s="118"/>
      <c r="G91" s="137"/>
      <c r="H91" s="118"/>
      <c r="I91" s="143">
        <f t="shared" si="0"/>
        <v>0</v>
      </c>
      <c r="J91" s="141"/>
      <c r="K91" s="156"/>
      <c r="L91" s="167">
        <f>[45]VAL.PRINC!I68</f>
        <v>0</v>
      </c>
    </row>
    <row r="92" spans="1:12" ht="15.75" hidden="1">
      <c r="A92" s="176" t="s">
        <v>117</v>
      </c>
      <c r="B92" s="181" t="s">
        <v>163</v>
      </c>
      <c r="C92" s="190" t="s">
        <v>37</v>
      </c>
      <c r="D92" s="121"/>
      <c r="E92" s="118"/>
      <c r="F92" s="118"/>
      <c r="G92" s="137"/>
      <c r="H92" s="118"/>
      <c r="I92" s="143">
        <f t="shared" si="0"/>
        <v>0</v>
      </c>
      <c r="J92" s="141"/>
      <c r="K92" s="158"/>
      <c r="L92" s="167">
        <f>[45]VAL.PRINC!I69</f>
        <v>0</v>
      </c>
    </row>
    <row r="93" spans="1:12" ht="15" hidden="1">
      <c r="A93" s="176" t="s">
        <v>117</v>
      </c>
      <c r="B93" s="181" t="s">
        <v>164</v>
      </c>
      <c r="C93" s="189" t="s">
        <v>37</v>
      </c>
      <c r="D93" s="121"/>
      <c r="E93" s="118"/>
      <c r="F93" s="118"/>
      <c r="G93" s="137"/>
      <c r="H93" s="118"/>
      <c r="I93" s="143">
        <f t="shared" si="0"/>
        <v>0</v>
      </c>
      <c r="J93" s="119"/>
      <c r="K93" s="153"/>
      <c r="L93" s="167">
        <f>[45]VAL.PRINC!I70</f>
        <v>0</v>
      </c>
    </row>
    <row r="94" spans="1:12" ht="15" hidden="1">
      <c r="A94" s="179" t="s">
        <v>141</v>
      </c>
      <c r="B94" s="186" t="s">
        <v>165</v>
      </c>
      <c r="C94" s="189"/>
      <c r="D94" s="121"/>
      <c r="E94" s="118"/>
      <c r="F94" s="118"/>
      <c r="G94" s="137"/>
      <c r="H94" s="118"/>
      <c r="I94" s="143">
        <f t="shared" si="0"/>
        <v>0</v>
      </c>
      <c r="J94" s="119"/>
      <c r="K94" s="153"/>
      <c r="L94" s="167">
        <f>[45]VAL.PRINC!I71</f>
        <v>0</v>
      </c>
    </row>
    <row r="95" spans="1:12" ht="15" hidden="1">
      <c r="A95" s="176" t="s">
        <v>141</v>
      </c>
      <c r="B95" s="181" t="s">
        <v>166</v>
      </c>
      <c r="C95" s="189" t="s">
        <v>37</v>
      </c>
      <c r="D95" s="121"/>
      <c r="E95" s="118"/>
      <c r="F95" s="118"/>
      <c r="G95" s="137"/>
      <c r="H95" s="118"/>
      <c r="I95" s="143">
        <f t="shared" si="0"/>
        <v>0</v>
      </c>
      <c r="J95" s="119"/>
      <c r="K95" s="153"/>
      <c r="L95" s="167">
        <f>[45]VAL.PRINC!I72</f>
        <v>0</v>
      </c>
    </row>
    <row r="96" spans="1:12" ht="15" hidden="1">
      <c r="A96" s="178" t="s">
        <v>142</v>
      </c>
      <c r="B96" s="184" t="s">
        <v>143</v>
      </c>
      <c r="C96" s="196"/>
      <c r="D96" s="121"/>
      <c r="E96" s="118"/>
      <c r="F96" s="118"/>
      <c r="G96" s="137"/>
      <c r="H96" s="118"/>
      <c r="I96" s="143">
        <f t="shared" si="0"/>
        <v>0</v>
      </c>
      <c r="J96" s="119"/>
      <c r="K96" s="153"/>
      <c r="L96" s="167">
        <f>[45]VAL.PRINC!I73</f>
        <v>0</v>
      </c>
    </row>
    <row r="97" spans="1:12" ht="15" hidden="1">
      <c r="A97" s="176" t="s">
        <v>142</v>
      </c>
      <c r="B97" s="181" t="s">
        <v>167</v>
      </c>
      <c r="C97" s="190" t="s">
        <v>40</v>
      </c>
      <c r="D97" s="121"/>
      <c r="E97" s="118"/>
      <c r="F97" s="118"/>
      <c r="G97" s="137"/>
      <c r="H97" s="118"/>
      <c r="I97" s="143">
        <f t="shared" si="0"/>
        <v>0</v>
      </c>
      <c r="J97" s="119"/>
      <c r="K97" s="153"/>
      <c r="L97" s="167">
        <f>[45]VAL.PRINC!I74</f>
        <v>0</v>
      </c>
    </row>
    <row r="98" spans="1:12" ht="15" hidden="1">
      <c r="A98" s="176" t="s">
        <v>142</v>
      </c>
      <c r="B98" s="181" t="s">
        <v>168</v>
      </c>
      <c r="C98" s="190" t="s">
        <v>40</v>
      </c>
      <c r="D98" s="121"/>
      <c r="E98" s="118"/>
      <c r="F98" s="118"/>
      <c r="G98" s="137"/>
      <c r="H98" s="118"/>
      <c r="I98" s="143">
        <f t="shared" si="0"/>
        <v>0</v>
      </c>
      <c r="J98" s="119"/>
      <c r="K98" s="153"/>
      <c r="L98" s="167">
        <f>[45]VAL.PRINC!I75</f>
        <v>0</v>
      </c>
    </row>
    <row r="99" spans="1:12" ht="15" hidden="1">
      <c r="A99" s="176" t="s">
        <v>142</v>
      </c>
      <c r="B99" s="181" t="s">
        <v>103</v>
      </c>
      <c r="C99" s="189" t="s">
        <v>40</v>
      </c>
      <c r="D99" s="121"/>
      <c r="E99" s="118"/>
      <c r="F99" s="118"/>
      <c r="G99" s="137"/>
      <c r="H99" s="118"/>
      <c r="I99" s="143">
        <f t="shared" si="0"/>
        <v>0</v>
      </c>
      <c r="J99" s="119"/>
      <c r="K99" s="153"/>
      <c r="L99" s="167">
        <f>[45]VAL.PRINC!I76</f>
        <v>0</v>
      </c>
    </row>
    <row r="100" spans="1:12" ht="15" hidden="1">
      <c r="A100" s="176" t="s">
        <v>142</v>
      </c>
      <c r="B100" s="181" t="s">
        <v>144</v>
      </c>
      <c r="C100" s="190" t="s">
        <v>40</v>
      </c>
      <c r="D100" s="121"/>
      <c r="E100" s="118"/>
      <c r="F100" s="118"/>
      <c r="G100" s="137"/>
      <c r="H100" s="118"/>
      <c r="I100" s="143">
        <f t="shared" si="0"/>
        <v>0</v>
      </c>
      <c r="J100" s="119"/>
      <c r="K100" s="153"/>
      <c r="L100" s="167">
        <f>[45]VAL.PRINC!I77</f>
        <v>0</v>
      </c>
    </row>
    <row r="101" spans="1:12" ht="15" hidden="1">
      <c r="A101" s="178" t="s">
        <v>145</v>
      </c>
      <c r="B101" s="184" t="s">
        <v>146</v>
      </c>
      <c r="C101" s="188"/>
      <c r="D101" s="121"/>
      <c r="E101" s="118"/>
      <c r="F101" s="118"/>
      <c r="G101" s="137"/>
      <c r="H101" s="118"/>
      <c r="I101" s="143">
        <f t="shared" si="0"/>
        <v>0</v>
      </c>
      <c r="J101" s="119"/>
      <c r="K101" s="156"/>
      <c r="L101" s="167">
        <f>[45]VAL.PRINC!I78</f>
        <v>0</v>
      </c>
    </row>
    <row r="102" spans="1:12" ht="15" hidden="1">
      <c r="A102" s="179" t="s">
        <v>147</v>
      </c>
      <c r="B102" s="186" t="s">
        <v>148</v>
      </c>
      <c r="C102" s="190"/>
      <c r="D102" s="121"/>
      <c r="E102" s="118"/>
      <c r="F102" s="118"/>
      <c r="G102" s="137"/>
      <c r="H102" s="118"/>
      <c r="I102" s="143">
        <f t="shared" si="0"/>
        <v>0</v>
      </c>
      <c r="J102" s="119"/>
      <c r="K102" s="159"/>
      <c r="L102" s="167">
        <f>[45]VAL.PRINC!I79</f>
        <v>0</v>
      </c>
    </row>
    <row r="103" spans="1:12" ht="15" hidden="1">
      <c r="A103" s="176" t="s">
        <v>147</v>
      </c>
      <c r="B103" s="181" t="s">
        <v>149</v>
      </c>
      <c r="C103" s="189" t="s">
        <v>40</v>
      </c>
      <c r="D103" s="121"/>
      <c r="E103" s="118"/>
      <c r="F103" s="118"/>
      <c r="G103" s="137"/>
      <c r="H103" s="118"/>
      <c r="I103" s="143">
        <f t="shared" si="0"/>
        <v>0</v>
      </c>
      <c r="J103" s="119"/>
      <c r="K103" s="159"/>
      <c r="L103" s="167">
        <f>[45]VAL.PRINC!I80</f>
        <v>0</v>
      </c>
    </row>
    <row r="104" spans="1:12" ht="15" hidden="1">
      <c r="A104" s="176" t="s">
        <v>147</v>
      </c>
      <c r="B104" s="181" t="s">
        <v>150</v>
      </c>
      <c r="C104" s="190" t="s">
        <v>40</v>
      </c>
      <c r="D104" s="121"/>
      <c r="E104" s="118"/>
      <c r="F104" s="118"/>
      <c r="G104" s="137"/>
      <c r="H104" s="118"/>
      <c r="I104" s="143">
        <f t="shared" si="0"/>
        <v>0</v>
      </c>
      <c r="J104" s="119"/>
      <c r="K104" s="156"/>
      <c r="L104" s="167">
        <f>[45]VAL.PRINC!I81</f>
        <v>0</v>
      </c>
    </row>
    <row r="105" spans="1:12" ht="15" hidden="1">
      <c r="A105" s="176" t="s">
        <v>147</v>
      </c>
      <c r="B105" s="181" t="s">
        <v>151</v>
      </c>
      <c r="C105" s="190" t="s">
        <v>37</v>
      </c>
      <c r="D105" s="121"/>
      <c r="E105" s="118"/>
      <c r="F105" s="118"/>
      <c r="G105" s="137"/>
      <c r="H105" s="118"/>
      <c r="I105" s="143">
        <f t="shared" si="0"/>
        <v>0</v>
      </c>
      <c r="J105" s="119"/>
      <c r="K105" s="160"/>
      <c r="L105" s="167">
        <f>[45]VAL.PRINC!I82</f>
        <v>0</v>
      </c>
    </row>
    <row r="106" spans="1:12" ht="15" hidden="1">
      <c r="A106" s="179" t="s">
        <v>152</v>
      </c>
      <c r="B106" s="186" t="s">
        <v>153</v>
      </c>
      <c r="C106" s="197"/>
      <c r="D106" s="147"/>
      <c r="E106" s="148"/>
      <c r="F106" s="148"/>
      <c r="G106" s="148"/>
      <c r="H106" s="148"/>
      <c r="I106" s="143">
        <f t="shared" si="0"/>
        <v>0</v>
      </c>
      <c r="J106" s="148"/>
      <c r="K106" s="161"/>
      <c r="L106" s="167">
        <f>[45]VAL.PRINC!I83</f>
        <v>0</v>
      </c>
    </row>
    <row r="107" spans="1:12" ht="15" hidden="1">
      <c r="A107" s="176" t="s">
        <v>152</v>
      </c>
      <c r="B107" s="181" t="s">
        <v>169</v>
      </c>
      <c r="C107" s="190" t="s">
        <v>48</v>
      </c>
      <c r="D107" s="147"/>
      <c r="E107" s="148"/>
      <c r="F107" s="148"/>
      <c r="G107" s="148"/>
      <c r="H107" s="148"/>
      <c r="I107" s="143">
        <f t="shared" si="0"/>
        <v>0</v>
      </c>
      <c r="J107" s="148"/>
      <c r="K107" s="161"/>
      <c r="L107" s="167">
        <f>[45]VAL.PRINC!I84</f>
        <v>0</v>
      </c>
    </row>
    <row r="108" spans="1:12" ht="15" hidden="1">
      <c r="A108" s="176" t="s">
        <v>152</v>
      </c>
      <c r="B108" s="181" t="s">
        <v>170</v>
      </c>
      <c r="C108" s="192" t="s">
        <v>48</v>
      </c>
      <c r="D108" s="147"/>
      <c r="E108" s="148"/>
      <c r="F108" s="148"/>
      <c r="G108" s="148"/>
      <c r="H108" s="148"/>
      <c r="I108" s="143">
        <f t="shared" si="0"/>
        <v>0</v>
      </c>
      <c r="J108" s="148"/>
      <c r="K108" s="161"/>
      <c r="L108" s="167">
        <f>[45]VAL.PRINC!I85</f>
        <v>0</v>
      </c>
    </row>
    <row r="109" spans="1:12" ht="15" hidden="1">
      <c r="A109" s="176" t="s">
        <v>152</v>
      </c>
      <c r="B109" s="181" t="s">
        <v>171</v>
      </c>
      <c r="C109" s="190" t="s">
        <v>48</v>
      </c>
      <c r="D109" s="147"/>
      <c r="E109" s="148"/>
      <c r="F109" s="148"/>
      <c r="G109" s="148"/>
      <c r="H109" s="148"/>
      <c r="I109" s="143">
        <f t="shared" si="0"/>
        <v>0</v>
      </c>
      <c r="J109" s="148"/>
      <c r="K109" s="161"/>
      <c r="L109" s="167">
        <f>[45]VAL.PRINC!I86</f>
        <v>0</v>
      </c>
    </row>
    <row r="110" spans="1:12" ht="15" hidden="1">
      <c r="A110" s="179" t="s">
        <v>154</v>
      </c>
      <c r="B110" s="186" t="s">
        <v>172</v>
      </c>
      <c r="C110" s="191"/>
      <c r="D110" s="147"/>
      <c r="E110" s="148"/>
      <c r="F110" s="148"/>
      <c r="G110" s="148"/>
      <c r="H110" s="148"/>
      <c r="I110" s="143">
        <f t="shared" si="0"/>
        <v>0</v>
      </c>
      <c r="J110" s="148"/>
      <c r="K110" s="161"/>
      <c r="L110" s="167">
        <f>[45]VAL.PRINC!I87</f>
        <v>0</v>
      </c>
    </row>
    <row r="111" spans="1:12" ht="15" hidden="1">
      <c r="A111" s="176" t="s">
        <v>154</v>
      </c>
      <c r="B111" s="181" t="s">
        <v>173</v>
      </c>
      <c r="C111" s="190" t="s">
        <v>245</v>
      </c>
      <c r="D111" s="147"/>
      <c r="E111" s="148"/>
      <c r="F111" s="148"/>
      <c r="G111" s="148"/>
      <c r="H111" s="148"/>
      <c r="I111" s="143">
        <f t="shared" si="0"/>
        <v>0</v>
      </c>
      <c r="J111" s="148"/>
      <c r="K111" s="161"/>
      <c r="L111" s="167">
        <f>[45]VAL.PRINC!I88</f>
        <v>0</v>
      </c>
    </row>
    <row r="112" spans="1:12" ht="15" hidden="1">
      <c r="A112" s="176" t="s">
        <v>154</v>
      </c>
      <c r="B112" s="181" t="s">
        <v>174</v>
      </c>
      <c r="C112" s="190" t="s">
        <v>245</v>
      </c>
      <c r="D112" s="147"/>
      <c r="E112" s="148"/>
      <c r="F112" s="148"/>
      <c r="G112" s="148"/>
      <c r="H112" s="148"/>
      <c r="I112" s="143">
        <f t="shared" si="0"/>
        <v>0</v>
      </c>
      <c r="J112" s="148"/>
      <c r="K112" s="161"/>
      <c r="L112" s="167">
        <f>[45]VAL.PRINC!I89</f>
        <v>0</v>
      </c>
    </row>
    <row r="113" spans="1:12" ht="15" hidden="1">
      <c r="A113" s="176" t="s">
        <v>154</v>
      </c>
      <c r="B113" s="181" t="s">
        <v>175</v>
      </c>
      <c r="C113" s="189" t="s">
        <v>245</v>
      </c>
      <c r="D113" s="147"/>
      <c r="E113" s="148"/>
      <c r="F113" s="148"/>
      <c r="G113" s="148"/>
      <c r="H113" s="148"/>
      <c r="I113" s="143">
        <f t="shared" si="0"/>
        <v>0</v>
      </c>
      <c r="J113" s="148"/>
      <c r="K113" s="161"/>
      <c r="L113" s="167">
        <f>[45]VAL.PRINC!I90</f>
        <v>0</v>
      </c>
    </row>
    <row r="114" spans="1:12" ht="15" hidden="1">
      <c r="A114" s="176" t="s">
        <v>154</v>
      </c>
      <c r="B114" s="181" t="s">
        <v>176</v>
      </c>
      <c r="C114" s="190" t="s">
        <v>245</v>
      </c>
      <c r="D114" s="147"/>
      <c r="E114" s="148"/>
      <c r="F114" s="148"/>
      <c r="G114" s="148"/>
      <c r="H114" s="148"/>
      <c r="I114" s="143">
        <f t="shared" si="0"/>
        <v>0</v>
      </c>
      <c r="J114" s="148"/>
      <c r="K114" s="161"/>
      <c r="L114" s="167">
        <f>[45]VAL.PRINC!I91</f>
        <v>0</v>
      </c>
    </row>
    <row r="115" spans="1:12" ht="15" hidden="1">
      <c r="A115" s="178" t="s">
        <v>155</v>
      </c>
      <c r="B115" s="184" t="s">
        <v>156</v>
      </c>
      <c r="C115" s="188"/>
      <c r="D115" s="147"/>
      <c r="E115" s="148"/>
      <c r="F115" s="148"/>
      <c r="G115" s="148"/>
      <c r="H115" s="148"/>
      <c r="I115" s="143">
        <f t="shared" si="0"/>
        <v>0</v>
      </c>
      <c r="J115" s="148"/>
      <c r="K115" s="161"/>
      <c r="L115" s="167">
        <f>[45]VAL.PRINC!I92</f>
        <v>0</v>
      </c>
    </row>
    <row r="116" spans="1:12" ht="15" hidden="1">
      <c r="A116" s="179" t="s">
        <v>157</v>
      </c>
      <c r="B116" s="186" t="s">
        <v>158</v>
      </c>
      <c r="C116" s="190"/>
      <c r="D116" s="147"/>
      <c r="E116" s="148"/>
      <c r="F116" s="148"/>
      <c r="G116" s="148"/>
      <c r="H116" s="148"/>
      <c r="I116" s="143">
        <f t="shared" si="0"/>
        <v>0</v>
      </c>
      <c r="J116" s="148"/>
      <c r="K116" s="161"/>
      <c r="L116" s="167">
        <f>[45]VAL.PRINC!I93</f>
        <v>0</v>
      </c>
    </row>
    <row r="117" spans="1:12" ht="15" hidden="1">
      <c r="A117" s="176" t="s">
        <v>157</v>
      </c>
      <c r="B117" s="181" t="s">
        <v>177</v>
      </c>
      <c r="C117" s="189" t="s">
        <v>38</v>
      </c>
      <c r="D117" s="147"/>
      <c r="E117" s="148"/>
      <c r="F117" s="148"/>
      <c r="G117" s="148"/>
      <c r="H117" s="148"/>
      <c r="I117" s="143">
        <f t="shared" si="0"/>
        <v>0</v>
      </c>
      <c r="J117" s="148"/>
      <c r="K117" s="161"/>
      <c r="L117" s="167">
        <f>[45]VAL.PRINC!I94</f>
        <v>0</v>
      </c>
    </row>
    <row r="118" spans="1:12" ht="15" hidden="1">
      <c r="A118" s="179" t="s">
        <v>159</v>
      </c>
      <c r="B118" s="186" t="s">
        <v>160</v>
      </c>
      <c r="C118" s="190"/>
      <c r="D118" s="147"/>
      <c r="E118" s="148"/>
      <c r="F118" s="148"/>
      <c r="G118" s="148"/>
      <c r="H118" s="148"/>
      <c r="I118" s="143">
        <f t="shared" si="0"/>
        <v>0</v>
      </c>
      <c r="J118" s="148"/>
      <c r="K118" s="161"/>
      <c r="L118" s="167">
        <f>[45]VAL.PRINC!I95</f>
        <v>0</v>
      </c>
    </row>
    <row r="119" spans="1:12" ht="15" hidden="1">
      <c r="A119" s="176" t="s">
        <v>159</v>
      </c>
      <c r="B119" s="181" t="s">
        <v>178</v>
      </c>
      <c r="C119" s="190" t="s">
        <v>38</v>
      </c>
      <c r="D119" s="147"/>
      <c r="E119" s="148"/>
      <c r="F119" s="148"/>
      <c r="G119" s="148"/>
      <c r="H119" s="148"/>
      <c r="I119" s="143">
        <f t="shared" si="0"/>
        <v>0</v>
      </c>
      <c r="J119" s="148"/>
      <c r="K119" s="161"/>
      <c r="L119" s="167">
        <f>[45]VAL.PRINC!I96</f>
        <v>0</v>
      </c>
    </row>
    <row r="120" spans="1:12" ht="15" hidden="1">
      <c r="A120" s="179" t="s">
        <v>161</v>
      </c>
      <c r="B120" s="186" t="s">
        <v>162</v>
      </c>
      <c r="C120" s="191"/>
      <c r="D120" s="147"/>
      <c r="E120" s="148"/>
      <c r="F120" s="148"/>
      <c r="G120" s="148"/>
      <c r="H120" s="148"/>
      <c r="I120" s="143">
        <f t="shared" si="0"/>
        <v>0</v>
      </c>
      <c r="J120" s="148"/>
      <c r="K120" s="161"/>
      <c r="L120" s="167">
        <f>[45]VAL.PRINC!I97</f>
        <v>0</v>
      </c>
    </row>
    <row r="121" spans="1:12" ht="15" hidden="1">
      <c r="A121" s="176" t="s">
        <v>161</v>
      </c>
      <c r="B121" s="181" t="s">
        <v>216</v>
      </c>
      <c r="C121" s="190" t="s">
        <v>37</v>
      </c>
      <c r="D121" s="147"/>
      <c r="E121" s="148"/>
      <c r="F121" s="148"/>
      <c r="G121" s="148"/>
      <c r="H121" s="148"/>
      <c r="I121" s="143">
        <f t="shared" si="0"/>
        <v>0</v>
      </c>
      <c r="J121" s="148"/>
      <c r="K121" s="161"/>
      <c r="L121" s="167">
        <f>[45]VAL.PRINC!I98</f>
        <v>0</v>
      </c>
    </row>
    <row r="122" spans="1:12" ht="15" hidden="1">
      <c r="A122" s="179" t="s">
        <v>179</v>
      </c>
      <c r="B122" s="186" t="s">
        <v>180</v>
      </c>
      <c r="C122" s="190"/>
      <c r="D122" s="147"/>
      <c r="E122" s="148"/>
      <c r="F122" s="148"/>
      <c r="G122" s="148"/>
      <c r="H122" s="148"/>
      <c r="I122" s="143">
        <f t="shared" si="0"/>
        <v>0</v>
      </c>
      <c r="J122" s="148"/>
      <c r="K122" s="161"/>
      <c r="L122" s="167">
        <f>[45]VAL.PRINC!I99</f>
        <v>0</v>
      </c>
    </row>
    <row r="123" spans="1:12" ht="15" hidden="1">
      <c r="A123" s="176" t="s">
        <v>179</v>
      </c>
      <c r="B123" s="181" t="s">
        <v>217</v>
      </c>
      <c r="C123" s="192" t="s">
        <v>36</v>
      </c>
      <c r="D123" s="147"/>
      <c r="E123" s="148"/>
      <c r="F123" s="148"/>
      <c r="G123" s="148"/>
      <c r="H123" s="148"/>
      <c r="I123" s="143">
        <f t="shared" si="0"/>
        <v>0</v>
      </c>
      <c r="J123" s="148"/>
      <c r="K123" s="161"/>
      <c r="L123" s="167">
        <f>[45]VAL.PRINC!I100</f>
        <v>0</v>
      </c>
    </row>
    <row r="124" spans="1:12" ht="15" hidden="1">
      <c r="A124" s="176" t="s">
        <v>179</v>
      </c>
      <c r="B124" s="181" t="s">
        <v>218</v>
      </c>
      <c r="C124" s="190" t="s">
        <v>36</v>
      </c>
      <c r="D124" s="147"/>
      <c r="E124" s="148"/>
      <c r="F124" s="148"/>
      <c r="G124" s="148"/>
      <c r="H124" s="148"/>
      <c r="I124" s="143">
        <f t="shared" si="0"/>
        <v>0</v>
      </c>
      <c r="J124" s="148"/>
      <c r="K124" s="161"/>
      <c r="L124" s="167">
        <f>[45]VAL.PRINC!I101</f>
        <v>0</v>
      </c>
    </row>
    <row r="125" spans="1:12" ht="15" hidden="1">
      <c r="A125" s="179" t="s">
        <v>181</v>
      </c>
      <c r="B125" s="186" t="s">
        <v>182</v>
      </c>
      <c r="C125" s="191"/>
      <c r="D125" s="147"/>
      <c r="E125" s="148"/>
      <c r="F125" s="148"/>
      <c r="G125" s="148"/>
      <c r="H125" s="148"/>
      <c r="I125" s="143">
        <f t="shared" si="0"/>
        <v>0</v>
      </c>
      <c r="J125" s="148"/>
      <c r="K125" s="161"/>
      <c r="L125" s="167">
        <f>[45]VAL.PRINC!I102</f>
        <v>0</v>
      </c>
    </row>
    <row r="126" spans="1:12" ht="15" hidden="1">
      <c r="A126" s="176" t="s">
        <v>181</v>
      </c>
      <c r="B126" s="181" t="s">
        <v>219</v>
      </c>
      <c r="C126" s="190" t="s">
        <v>245</v>
      </c>
      <c r="D126" s="147"/>
      <c r="E126" s="148"/>
      <c r="F126" s="148"/>
      <c r="G126" s="148"/>
      <c r="H126" s="148"/>
      <c r="I126" s="143">
        <f t="shared" ref="I126:I171" si="1">PRODUCT(D126:H126)</f>
        <v>0</v>
      </c>
      <c r="J126" s="148"/>
      <c r="K126" s="161"/>
      <c r="L126" s="167">
        <f>[45]VAL.PRINC!I103</f>
        <v>0</v>
      </c>
    </row>
    <row r="127" spans="1:12" ht="15" hidden="1">
      <c r="A127" s="179" t="s">
        <v>183</v>
      </c>
      <c r="B127" s="186" t="s">
        <v>184</v>
      </c>
      <c r="C127" s="193"/>
      <c r="D127" s="147"/>
      <c r="E127" s="148"/>
      <c r="F127" s="148"/>
      <c r="G127" s="148"/>
      <c r="H127" s="148"/>
      <c r="I127" s="143">
        <f t="shared" si="1"/>
        <v>0</v>
      </c>
      <c r="J127" s="148"/>
      <c r="K127" s="161"/>
      <c r="L127" s="167">
        <f>[45]VAL.PRINC!I104</f>
        <v>0</v>
      </c>
    </row>
    <row r="128" spans="1:12" ht="15" hidden="1">
      <c r="A128" s="176" t="s">
        <v>183</v>
      </c>
      <c r="B128" s="181" t="s">
        <v>220</v>
      </c>
      <c r="C128" s="190" t="s">
        <v>36</v>
      </c>
      <c r="D128" s="147"/>
      <c r="E128" s="148"/>
      <c r="F128" s="148"/>
      <c r="G128" s="148"/>
      <c r="H128" s="148"/>
      <c r="I128" s="143">
        <f t="shared" si="1"/>
        <v>0</v>
      </c>
      <c r="J128" s="148"/>
      <c r="K128" s="161"/>
      <c r="L128" s="167">
        <f>[45]VAL.PRINC!I105</f>
        <v>0</v>
      </c>
    </row>
    <row r="129" spans="1:12" ht="15" hidden="1">
      <c r="A129" s="179" t="s">
        <v>185</v>
      </c>
      <c r="B129" s="186" t="s">
        <v>186</v>
      </c>
      <c r="C129" s="193"/>
      <c r="D129" s="147"/>
      <c r="E129" s="148"/>
      <c r="F129" s="148"/>
      <c r="G129" s="148"/>
      <c r="H129" s="148"/>
      <c r="I129" s="143">
        <f t="shared" si="1"/>
        <v>0</v>
      </c>
      <c r="J129" s="148"/>
      <c r="K129" s="161"/>
      <c r="L129" s="167">
        <f>[45]VAL.PRINC!I106</f>
        <v>0</v>
      </c>
    </row>
    <row r="130" spans="1:12" ht="15" hidden="1">
      <c r="A130" s="176" t="s">
        <v>185</v>
      </c>
      <c r="B130" s="181" t="s">
        <v>221</v>
      </c>
      <c r="C130" s="195" t="s">
        <v>48</v>
      </c>
      <c r="D130" s="147"/>
      <c r="E130" s="148"/>
      <c r="F130" s="148"/>
      <c r="G130" s="148"/>
      <c r="H130" s="148"/>
      <c r="I130" s="143">
        <f t="shared" si="1"/>
        <v>0</v>
      </c>
      <c r="J130" s="148"/>
      <c r="K130" s="161"/>
      <c r="L130" s="167">
        <f>[45]VAL.PRINC!I107</f>
        <v>0</v>
      </c>
    </row>
    <row r="131" spans="1:12" ht="15" hidden="1">
      <c r="A131" s="176" t="s">
        <v>185</v>
      </c>
      <c r="B131" s="181" t="s">
        <v>126</v>
      </c>
      <c r="C131" s="188" t="s">
        <v>37</v>
      </c>
      <c r="D131" s="147"/>
      <c r="E131" s="148"/>
      <c r="F131" s="148"/>
      <c r="G131" s="148"/>
      <c r="H131" s="148"/>
      <c r="I131" s="143">
        <f t="shared" si="1"/>
        <v>0</v>
      </c>
      <c r="J131" s="148"/>
      <c r="K131" s="161"/>
      <c r="L131" s="167">
        <f>[45]VAL.PRINC!I108</f>
        <v>0</v>
      </c>
    </row>
    <row r="132" spans="1:12" ht="15" hidden="1">
      <c r="A132" s="176" t="s">
        <v>185</v>
      </c>
      <c r="B132" s="181" t="s">
        <v>122</v>
      </c>
      <c r="C132" s="190" t="s">
        <v>40</v>
      </c>
      <c r="D132" s="147"/>
      <c r="E132" s="148"/>
      <c r="F132" s="148"/>
      <c r="G132" s="148"/>
      <c r="H132" s="148"/>
      <c r="I132" s="143">
        <f t="shared" si="1"/>
        <v>0</v>
      </c>
      <c r="J132" s="148"/>
      <c r="K132" s="161"/>
      <c r="L132" s="167">
        <f>[45]VAL.PRINC!I109</f>
        <v>0</v>
      </c>
    </row>
    <row r="133" spans="1:12" ht="15" hidden="1">
      <c r="A133" s="176" t="s">
        <v>185</v>
      </c>
      <c r="B133" s="181" t="s">
        <v>222</v>
      </c>
      <c r="C133" s="189" t="s">
        <v>37</v>
      </c>
      <c r="D133" s="147"/>
      <c r="E133" s="148"/>
      <c r="F133" s="148"/>
      <c r="G133" s="148"/>
      <c r="H133" s="148"/>
      <c r="I133" s="143">
        <f t="shared" si="1"/>
        <v>0</v>
      </c>
      <c r="J133" s="148"/>
      <c r="K133" s="161"/>
      <c r="L133" s="167">
        <f>[45]VAL.PRINC!I110</f>
        <v>0</v>
      </c>
    </row>
    <row r="134" spans="1:12" ht="15" hidden="1">
      <c r="A134" s="177" t="s">
        <v>187</v>
      </c>
      <c r="B134" s="185" t="s">
        <v>188</v>
      </c>
      <c r="C134" s="190"/>
      <c r="D134" s="147"/>
      <c r="E134" s="148"/>
      <c r="F134" s="148"/>
      <c r="G134" s="148"/>
      <c r="H134" s="148"/>
      <c r="I134" s="143">
        <f t="shared" si="1"/>
        <v>0</v>
      </c>
      <c r="J134" s="148"/>
      <c r="K134" s="161"/>
      <c r="L134" s="167">
        <f>[45]VAL.PRINC!I111</f>
        <v>0</v>
      </c>
    </row>
    <row r="135" spans="1:12" ht="15" hidden="1">
      <c r="A135" s="176" t="s">
        <v>187</v>
      </c>
      <c r="B135" s="181" t="s">
        <v>223</v>
      </c>
      <c r="C135" s="190" t="s">
        <v>36</v>
      </c>
      <c r="D135" s="147"/>
      <c r="E135" s="148"/>
      <c r="F135" s="148"/>
      <c r="G135" s="148"/>
      <c r="H135" s="148"/>
      <c r="I135" s="143">
        <f t="shared" si="1"/>
        <v>0</v>
      </c>
      <c r="J135" s="148"/>
      <c r="K135" s="161"/>
      <c r="L135" s="167">
        <f>[45]VAL.PRINC!I112</f>
        <v>0</v>
      </c>
    </row>
    <row r="136" spans="1:12" ht="15" hidden="1">
      <c r="A136" s="176" t="s">
        <v>187</v>
      </c>
      <c r="B136" s="181" t="s">
        <v>224</v>
      </c>
      <c r="C136" s="190" t="s">
        <v>36</v>
      </c>
      <c r="D136" s="147"/>
      <c r="E136" s="148"/>
      <c r="F136" s="148"/>
      <c r="G136" s="148"/>
      <c r="H136" s="148"/>
      <c r="I136" s="143">
        <f t="shared" si="1"/>
        <v>0</v>
      </c>
      <c r="J136" s="148"/>
      <c r="K136" s="161"/>
      <c r="L136" s="167">
        <f>[45]VAL.PRINC!I113</f>
        <v>0</v>
      </c>
    </row>
    <row r="137" spans="1:12" ht="15" hidden="1">
      <c r="A137" s="176" t="s">
        <v>187</v>
      </c>
      <c r="B137" s="181" t="s">
        <v>225</v>
      </c>
      <c r="C137" s="196" t="s">
        <v>36</v>
      </c>
      <c r="D137" s="147"/>
      <c r="E137" s="148"/>
      <c r="F137" s="148"/>
      <c r="G137" s="148"/>
      <c r="H137" s="148"/>
      <c r="I137" s="143">
        <f t="shared" si="1"/>
        <v>0</v>
      </c>
      <c r="J137" s="148"/>
      <c r="K137" s="161"/>
      <c r="L137" s="167">
        <f>[45]VAL.PRINC!I114</f>
        <v>0</v>
      </c>
    </row>
    <row r="138" spans="1:12" ht="15" hidden="1">
      <c r="A138" s="176" t="s">
        <v>187</v>
      </c>
      <c r="B138" s="181" t="s">
        <v>226</v>
      </c>
      <c r="C138" s="190" t="s">
        <v>36</v>
      </c>
      <c r="D138" s="147"/>
      <c r="E138" s="148"/>
      <c r="F138" s="148"/>
      <c r="G138" s="148"/>
      <c r="H138" s="148"/>
      <c r="I138" s="143">
        <f t="shared" si="1"/>
        <v>0</v>
      </c>
      <c r="J138" s="148"/>
      <c r="K138" s="161"/>
      <c r="L138" s="167">
        <f>[45]VAL.PRINC!I115</f>
        <v>0</v>
      </c>
    </row>
    <row r="139" spans="1:12" ht="15" hidden="1">
      <c r="A139" s="176" t="s">
        <v>187</v>
      </c>
      <c r="B139" s="181" t="s">
        <v>227</v>
      </c>
      <c r="C139" s="192" t="s">
        <v>36</v>
      </c>
      <c r="D139" s="147"/>
      <c r="E139" s="148"/>
      <c r="F139" s="148"/>
      <c r="G139" s="148"/>
      <c r="H139" s="148"/>
      <c r="I139" s="143">
        <f t="shared" si="1"/>
        <v>0</v>
      </c>
      <c r="J139" s="148"/>
      <c r="K139" s="161"/>
      <c r="L139" s="167">
        <f>[45]VAL.PRINC!I116</f>
        <v>0</v>
      </c>
    </row>
    <row r="140" spans="1:12" ht="15" hidden="1">
      <c r="A140" s="176" t="s">
        <v>187</v>
      </c>
      <c r="B140" s="181" t="s">
        <v>228</v>
      </c>
      <c r="C140" s="190" t="s">
        <v>64</v>
      </c>
      <c r="D140" s="147"/>
      <c r="E140" s="148"/>
      <c r="F140" s="148"/>
      <c r="G140" s="148"/>
      <c r="H140" s="148"/>
      <c r="I140" s="143">
        <f t="shared" si="1"/>
        <v>0</v>
      </c>
      <c r="J140" s="148"/>
      <c r="K140" s="161"/>
      <c r="L140" s="167">
        <f>[45]VAL.PRINC!I117</f>
        <v>0</v>
      </c>
    </row>
    <row r="141" spans="1:12" ht="15" hidden="1">
      <c r="A141" s="176" t="s">
        <v>187</v>
      </c>
      <c r="B141" s="181" t="s">
        <v>229</v>
      </c>
      <c r="C141" s="189" t="s">
        <v>36</v>
      </c>
      <c r="D141" s="147"/>
      <c r="E141" s="148"/>
      <c r="F141" s="148"/>
      <c r="G141" s="148"/>
      <c r="H141" s="148"/>
      <c r="I141" s="143">
        <f t="shared" si="1"/>
        <v>0</v>
      </c>
      <c r="J141" s="148"/>
      <c r="K141" s="161"/>
      <c r="L141" s="167">
        <f>[45]VAL.PRINC!I118</f>
        <v>0</v>
      </c>
    </row>
    <row r="142" spans="1:12" ht="15" hidden="1">
      <c r="A142" s="177" t="s">
        <v>189</v>
      </c>
      <c r="B142" s="185" t="s">
        <v>190</v>
      </c>
      <c r="C142" s="190"/>
      <c r="D142" s="147"/>
      <c r="E142" s="148"/>
      <c r="F142" s="148"/>
      <c r="G142" s="148"/>
      <c r="H142" s="148"/>
      <c r="I142" s="143">
        <f t="shared" si="1"/>
        <v>0</v>
      </c>
      <c r="J142" s="148"/>
      <c r="K142" s="161"/>
      <c r="L142" s="167">
        <f>[45]VAL.PRINC!I119</f>
        <v>0</v>
      </c>
    </row>
    <row r="143" spans="1:12" ht="15" hidden="1">
      <c r="A143" s="176" t="s">
        <v>189</v>
      </c>
      <c r="B143" s="181" t="s">
        <v>191</v>
      </c>
      <c r="C143" s="189" t="s">
        <v>36</v>
      </c>
      <c r="D143" s="147"/>
      <c r="E143" s="148"/>
      <c r="F143" s="148"/>
      <c r="G143" s="148"/>
      <c r="H143" s="148"/>
      <c r="I143" s="143">
        <f t="shared" si="1"/>
        <v>0</v>
      </c>
      <c r="J143" s="148"/>
      <c r="K143" s="161"/>
      <c r="L143" s="167">
        <f>[45]VAL.PRINC!I120</f>
        <v>0</v>
      </c>
    </row>
    <row r="144" spans="1:12" ht="15" hidden="1">
      <c r="A144" s="176" t="s">
        <v>189</v>
      </c>
      <c r="B144" s="181" t="s">
        <v>192</v>
      </c>
      <c r="C144" s="189" t="s">
        <v>36</v>
      </c>
      <c r="D144" s="147"/>
      <c r="E144" s="148"/>
      <c r="F144" s="148"/>
      <c r="G144" s="148"/>
      <c r="H144" s="148"/>
      <c r="I144" s="143">
        <f t="shared" si="1"/>
        <v>0</v>
      </c>
      <c r="J144" s="148"/>
      <c r="K144" s="161"/>
      <c r="L144" s="167">
        <f>[45]VAL.PRINC!I121</f>
        <v>0</v>
      </c>
    </row>
    <row r="145" spans="1:12" ht="15" hidden="1">
      <c r="A145" s="176" t="s">
        <v>189</v>
      </c>
      <c r="B145" s="181" t="s">
        <v>193</v>
      </c>
      <c r="C145" s="189" t="s">
        <v>36</v>
      </c>
      <c r="D145" s="147"/>
      <c r="E145" s="148"/>
      <c r="F145" s="148"/>
      <c r="G145" s="148"/>
      <c r="H145" s="148"/>
      <c r="I145" s="143">
        <f t="shared" si="1"/>
        <v>0</v>
      </c>
      <c r="J145" s="148"/>
      <c r="K145" s="161"/>
      <c r="L145" s="167">
        <f>[45]VAL.PRINC!I122</f>
        <v>0</v>
      </c>
    </row>
    <row r="146" spans="1:12" ht="15" hidden="1">
      <c r="A146" s="176" t="s">
        <v>189</v>
      </c>
      <c r="B146" s="181" t="s">
        <v>194</v>
      </c>
      <c r="C146" s="189" t="s">
        <v>36</v>
      </c>
      <c r="D146" s="147"/>
      <c r="E146" s="148"/>
      <c r="F146" s="148"/>
      <c r="G146" s="148"/>
      <c r="H146" s="148"/>
      <c r="I146" s="143">
        <f t="shared" si="1"/>
        <v>0</v>
      </c>
      <c r="J146" s="148"/>
      <c r="K146" s="161"/>
      <c r="L146" s="167">
        <f>[45]VAL.PRINC!I123</f>
        <v>0</v>
      </c>
    </row>
    <row r="147" spans="1:12" ht="15">
      <c r="A147" s="177" t="s">
        <v>195</v>
      </c>
      <c r="B147" s="185" t="s">
        <v>196</v>
      </c>
      <c r="C147" s="190"/>
      <c r="D147" s="147"/>
      <c r="E147" s="148"/>
      <c r="F147" s="148"/>
      <c r="G147" s="148"/>
      <c r="H147" s="148"/>
      <c r="I147" s="143">
        <f t="shared" si="1"/>
        <v>0</v>
      </c>
      <c r="J147" s="148"/>
      <c r="K147" s="161"/>
      <c r="L147" s="167">
        <f>[45]VAL.PRINC!I124</f>
        <v>0</v>
      </c>
    </row>
    <row r="148" spans="1:12" ht="15">
      <c r="A148" s="176" t="s">
        <v>195</v>
      </c>
      <c r="B148" s="181" t="s">
        <v>197</v>
      </c>
      <c r="C148" s="189" t="s">
        <v>64</v>
      </c>
      <c r="D148" s="147"/>
      <c r="E148" s="148"/>
      <c r="F148" s="148"/>
      <c r="G148" s="148"/>
      <c r="H148" s="148"/>
      <c r="I148" s="143">
        <f t="shared" si="1"/>
        <v>0</v>
      </c>
      <c r="J148" s="148"/>
      <c r="K148" s="161"/>
      <c r="L148" s="167">
        <f>[45]VAL.PRINC!I125</f>
        <v>0</v>
      </c>
    </row>
    <row r="149" spans="1:12" ht="15" hidden="1">
      <c r="A149" s="177" t="s">
        <v>198</v>
      </c>
      <c r="B149" s="185" t="s">
        <v>199</v>
      </c>
      <c r="C149" s="190"/>
      <c r="D149" s="147"/>
      <c r="E149" s="148"/>
      <c r="F149" s="148"/>
      <c r="G149" s="148"/>
      <c r="H149" s="148"/>
      <c r="I149" s="143">
        <f t="shared" si="1"/>
        <v>0</v>
      </c>
      <c r="J149" s="148"/>
      <c r="K149" s="161"/>
      <c r="L149" s="167">
        <f>[45]VAL.PRINC!I126</f>
        <v>0</v>
      </c>
    </row>
    <row r="150" spans="1:12" ht="15" hidden="1">
      <c r="A150" s="178" t="s">
        <v>200</v>
      </c>
      <c r="B150" s="184" t="s">
        <v>230</v>
      </c>
      <c r="C150" s="190"/>
      <c r="D150" s="147"/>
      <c r="E150" s="148"/>
      <c r="F150" s="148"/>
      <c r="G150" s="148"/>
      <c r="H150" s="148"/>
      <c r="I150" s="143">
        <f t="shared" si="1"/>
        <v>0</v>
      </c>
      <c r="J150" s="148"/>
      <c r="K150" s="161"/>
      <c r="L150" s="167">
        <f>[45]VAL.PRINC!I127</f>
        <v>0</v>
      </c>
    </row>
    <row r="151" spans="1:12" ht="15" hidden="1">
      <c r="A151" s="176" t="s">
        <v>200</v>
      </c>
      <c r="B151" s="181" t="s">
        <v>231</v>
      </c>
      <c r="C151" s="189" t="s">
        <v>40</v>
      </c>
      <c r="D151" s="147"/>
      <c r="E151" s="148"/>
      <c r="F151" s="148"/>
      <c r="G151" s="148"/>
      <c r="H151" s="148"/>
      <c r="I151" s="143">
        <f t="shared" si="1"/>
        <v>0</v>
      </c>
      <c r="J151" s="148"/>
      <c r="K151" s="161"/>
      <c r="L151" s="167">
        <f>[45]VAL.PRINC!I128</f>
        <v>0</v>
      </c>
    </row>
    <row r="152" spans="1:12" ht="15" hidden="1">
      <c r="A152" s="176" t="s">
        <v>200</v>
      </c>
      <c r="B152" s="181" t="s">
        <v>232</v>
      </c>
      <c r="C152" s="189" t="s">
        <v>40</v>
      </c>
      <c r="D152" s="147"/>
      <c r="E152" s="148"/>
      <c r="F152" s="148"/>
      <c r="G152" s="148"/>
      <c r="H152" s="148"/>
      <c r="I152" s="143">
        <f t="shared" si="1"/>
        <v>0</v>
      </c>
      <c r="J152" s="148"/>
      <c r="K152" s="161"/>
      <c r="L152" s="167">
        <f>[45]VAL.PRINC!I129</f>
        <v>0</v>
      </c>
    </row>
    <row r="153" spans="1:12" ht="15" hidden="1">
      <c r="A153" s="176" t="s">
        <v>200</v>
      </c>
      <c r="B153" s="181" t="s">
        <v>233</v>
      </c>
      <c r="C153" s="189" t="s">
        <v>246</v>
      </c>
      <c r="D153" s="147"/>
      <c r="E153" s="148"/>
      <c r="F153" s="148"/>
      <c r="G153" s="148"/>
      <c r="H153" s="148"/>
      <c r="I153" s="143">
        <f>PRODUCT(D153:H153)</f>
        <v>0</v>
      </c>
      <c r="J153" s="148"/>
      <c r="K153" s="161"/>
      <c r="L153" s="167">
        <f>[45]VAL.PRINC!I130</f>
        <v>0</v>
      </c>
    </row>
    <row r="154" spans="1:12" ht="15" hidden="1">
      <c r="A154" s="176" t="s">
        <v>200</v>
      </c>
      <c r="B154" s="181" t="s">
        <v>234</v>
      </c>
      <c r="C154" s="189" t="s">
        <v>40</v>
      </c>
      <c r="D154" s="147"/>
      <c r="E154" s="148"/>
      <c r="F154" s="148"/>
      <c r="G154" s="148"/>
      <c r="H154" s="148"/>
      <c r="I154" s="143">
        <f t="shared" si="1"/>
        <v>0</v>
      </c>
      <c r="J154" s="148"/>
      <c r="K154" s="161"/>
      <c r="L154" s="167">
        <f>[45]VAL.PRINC!I131</f>
        <v>0</v>
      </c>
    </row>
    <row r="155" spans="1:12" ht="15" hidden="1">
      <c r="A155" s="176" t="s">
        <v>200</v>
      </c>
      <c r="B155" s="181" t="s">
        <v>235</v>
      </c>
      <c r="C155" s="189" t="s">
        <v>37</v>
      </c>
      <c r="D155" s="147"/>
      <c r="E155" s="148"/>
      <c r="F155" s="148"/>
      <c r="G155" s="148"/>
      <c r="H155" s="148"/>
      <c r="I155" s="143">
        <f t="shared" si="1"/>
        <v>0</v>
      </c>
      <c r="J155" s="148"/>
      <c r="K155" s="161"/>
      <c r="L155" s="167">
        <f>[45]VAL.PRINC!I132</f>
        <v>0</v>
      </c>
    </row>
    <row r="156" spans="1:12" ht="15" hidden="1">
      <c r="A156" s="176" t="s">
        <v>200</v>
      </c>
      <c r="B156" s="181" t="s">
        <v>236</v>
      </c>
      <c r="C156" s="192" t="s">
        <v>37</v>
      </c>
      <c r="D156" s="147"/>
      <c r="E156" s="148"/>
      <c r="F156" s="148"/>
      <c r="G156" s="148"/>
      <c r="H156" s="148"/>
      <c r="I156" s="143">
        <f t="shared" si="1"/>
        <v>0</v>
      </c>
      <c r="J156" s="148"/>
      <c r="K156" s="161"/>
      <c r="L156" s="167">
        <f>[45]VAL.PRINC!I133</f>
        <v>0</v>
      </c>
    </row>
    <row r="157" spans="1:12" ht="15" hidden="1">
      <c r="A157" s="178" t="s">
        <v>201</v>
      </c>
      <c r="B157" s="184" t="s">
        <v>202</v>
      </c>
      <c r="C157" s="190"/>
      <c r="D157" s="147"/>
      <c r="E157" s="148"/>
      <c r="F157" s="148"/>
      <c r="G157" s="148"/>
      <c r="H157" s="148"/>
      <c r="I157" s="143">
        <f t="shared" si="1"/>
        <v>0</v>
      </c>
      <c r="J157" s="148"/>
      <c r="K157" s="161"/>
      <c r="L157" s="167">
        <f>[45]VAL.PRINC!I134</f>
        <v>0</v>
      </c>
    </row>
    <row r="158" spans="1:12" ht="15" hidden="1">
      <c r="A158" s="176" t="s">
        <v>201</v>
      </c>
      <c r="B158" s="181" t="s">
        <v>203</v>
      </c>
      <c r="C158" s="189" t="s">
        <v>64</v>
      </c>
      <c r="D158" s="147"/>
      <c r="E158" s="148"/>
      <c r="F158" s="148"/>
      <c r="G158" s="148"/>
      <c r="H158" s="148"/>
      <c r="I158" s="143">
        <f t="shared" si="1"/>
        <v>0</v>
      </c>
      <c r="J158" s="148"/>
      <c r="K158" s="161"/>
      <c r="L158" s="167">
        <f>[45]VAL.PRINC!I135</f>
        <v>0</v>
      </c>
    </row>
    <row r="159" spans="1:12" ht="15" hidden="1">
      <c r="A159" s="176" t="s">
        <v>201</v>
      </c>
      <c r="B159" s="181" t="s">
        <v>204</v>
      </c>
      <c r="C159" s="189" t="s">
        <v>64</v>
      </c>
      <c r="D159" s="147"/>
      <c r="E159" s="148"/>
      <c r="F159" s="148"/>
      <c r="G159" s="148"/>
      <c r="H159" s="148"/>
      <c r="I159" s="143">
        <f t="shared" si="1"/>
        <v>0</v>
      </c>
      <c r="J159" s="148"/>
      <c r="K159" s="161"/>
      <c r="L159" s="167">
        <f>[45]VAL.PRINC!I136</f>
        <v>0</v>
      </c>
    </row>
    <row r="160" spans="1:12" ht="15" hidden="1">
      <c r="A160" s="176" t="s">
        <v>201</v>
      </c>
      <c r="B160" s="181" t="s">
        <v>205</v>
      </c>
      <c r="C160" s="192" t="s">
        <v>64</v>
      </c>
      <c r="D160" s="147"/>
      <c r="E160" s="148"/>
      <c r="F160" s="148"/>
      <c r="G160" s="148"/>
      <c r="H160" s="148"/>
      <c r="I160" s="143">
        <f t="shared" si="1"/>
        <v>0</v>
      </c>
      <c r="J160" s="148"/>
      <c r="K160" s="161"/>
      <c r="L160" s="167">
        <f>[45]VAL.PRINC!I137</f>
        <v>0</v>
      </c>
    </row>
    <row r="161" spans="1:12" ht="15" hidden="1">
      <c r="A161" s="178" t="s">
        <v>206</v>
      </c>
      <c r="B161" s="184" t="s">
        <v>207</v>
      </c>
      <c r="C161" s="189"/>
      <c r="D161" s="147"/>
      <c r="E161" s="148"/>
      <c r="F161" s="148"/>
      <c r="G161" s="148"/>
      <c r="H161" s="148"/>
      <c r="I161" s="143">
        <f t="shared" si="1"/>
        <v>0</v>
      </c>
      <c r="J161" s="148"/>
      <c r="K161" s="161"/>
      <c r="L161" s="167">
        <f>[45]VAL.PRINC!I138</f>
        <v>0</v>
      </c>
    </row>
    <row r="162" spans="1:12" ht="15" hidden="1">
      <c r="A162" s="176" t="s">
        <v>206</v>
      </c>
      <c r="B162" s="181" t="s">
        <v>240</v>
      </c>
      <c r="C162" s="189" t="s">
        <v>64</v>
      </c>
      <c r="D162" s="147"/>
      <c r="E162" s="148"/>
      <c r="F162" s="148"/>
      <c r="G162" s="148"/>
      <c r="H162" s="148"/>
      <c r="I162" s="143">
        <f t="shared" si="1"/>
        <v>0</v>
      </c>
      <c r="J162" s="148"/>
      <c r="K162" s="161"/>
      <c r="L162" s="167">
        <f>[45]VAL.PRINC!I139</f>
        <v>0</v>
      </c>
    </row>
    <row r="163" spans="1:12" ht="15" hidden="1">
      <c r="A163" s="176" t="s">
        <v>206</v>
      </c>
      <c r="B163" s="181" t="s">
        <v>237</v>
      </c>
      <c r="C163" s="189" t="s">
        <v>64</v>
      </c>
      <c r="D163" s="147"/>
      <c r="E163" s="148"/>
      <c r="F163" s="148"/>
      <c r="G163" s="148"/>
      <c r="H163" s="148"/>
      <c r="I163" s="143">
        <f t="shared" si="1"/>
        <v>0</v>
      </c>
      <c r="J163" s="148"/>
      <c r="K163" s="161"/>
      <c r="L163" s="167">
        <f>[45]VAL.PRINC!I140</f>
        <v>0</v>
      </c>
    </row>
    <row r="164" spans="1:12" ht="15" hidden="1">
      <c r="A164" s="176" t="s">
        <v>206</v>
      </c>
      <c r="B164" s="181" t="s">
        <v>238</v>
      </c>
      <c r="C164" s="189" t="s">
        <v>64</v>
      </c>
      <c r="D164" s="147"/>
      <c r="E164" s="148"/>
      <c r="F164" s="148"/>
      <c r="G164" s="148"/>
      <c r="H164" s="148"/>
      <c r="I164" s="143">
        <f t="shared" si="1"/>
        <v>0</v>
      </c>
      <c r="J164" s="148"/>
      <c r="K164" s="161"/>
      <c r="L164" s="167">
        <f>[45]VAL.PRINC!I141</f>
        <v>0</v>
      </c>
    </row>
    <row r="165" spans="1:12" ht="15" hidden="1">
      <c r="A165" s="176" t="s">
        <v>206</v>
      </c>
      <c r="B165" s="181" t="s">
        <v>239</v>
      </c>
      <c r="C165" s="189" t="s">
        <v>64</v>
      </c>
      <c r="D165" s="147"/>
      <c r="E165" s="148"/>
      <c r="F165" s="148"/>
      <c r="G165" s="148"/>
      <c r="H165" s="148"/>
      <c r="I165" s="143">
        <f t="shared" si="1"/>
        <v>0</v>
      </c>
      <c r="J165" s="148"/>
      <c r="K165" s="161"/>
      <c r="L165" s="167">
        <f>[45]VAL.PRINC!I142</f>
        <v>0</v>
      </c>
    </row>
    <row r="166" spans="1:12" ht="15">
      <c r="A166" s="177" t="s">
        <v>208</v>
      </c>
      <c r="B166" s="185" t="s">
        <v>209</v>
      </c>
      <c r="C166" s="190"/>
      <c r="D166" s="147"/>
      <c r="E166" s="148"/>
      <c r="F166" s="148"/>
      <c r="G166" s="148"/>
      <c r="H166" s="148"/>
      <c r="I166" s="143">
        <f t="shared" si="1"/>
        <v>0</v>
      </c>
      <c r="J166" s="148"/>
      <c r="K166" s="161"/>
      <c r="L166" s="167">
        <f>[45]VAL.PRINC!I143</f>
        <v>0</v>
      </c>
    </row>
    <row r="167" spans="1:12" ht="15">
      <c r="A167" s="176" t="s">
        <v>208</v>
      </c>
      <c r="B167" s="181" t="s">
        <v>210</v>
      </c>
      <c r="C167" s="190" t="s">
        <v>64</v>
      </c>
      <c r="D167" s="147"/>
      <c r="E167" s="148"/>
      <c r="F167" s="148"/>
      <c r="G167" s="148"/>
      <c r="H167" s="148"/>
      <c r="I167" s="143">
        <f t="shared" si="1"/>
        <v>0</v>
      </c>
      <c r="J167" s="148"/>
      <c r="K167" s="161"/>
      <c r="L167" s="167">
        <f>[45]VAL.PRINC!I144</f>
        <v>0</v>
      </c>
    </row>
    <row r="168" spans="1:12" ht="15">
      <c r="A168" s="176" t="s">
        <v>208</v>
      </c>
      <c r="B168" s="181" t="s">
        <v>211</v>
      </c>
      <c r="C168" s="192" t="s">
        <v>64</v>
      </c>
      <c r="D168" s="147"/>
      <c r="E168" s="148"/>
      <c r="F168" s="148"/>
      <c r="G168" s="148"/>
      <c r="H168" s="148"/>
      <c r="I168" s="143">
        <f t="shared" si="1"/>
        <v>0</v>
      </c>
      <c r="J168" s="148"/>
      <c r="K168" s="161"/>
      <c r="L168" s="167">
        <f>[45]VAL.PRINC!I145</f>
        <v>0</v>
      </c>
    </row>
    <row r="169" spans="1:12" ht="15">
      <c r="A169" s="176" t="s">
        <v>208</v>
      </c>
      <c r="B169" s="181" t="s">
        <v>212</v>
      </c>
      <c r="C169" s="190" t="s">
        <v>64</v>
      </c>
      <c r="D169" s="147"/>
      <c r="E169" s="148"/>
      <c r="F169" s="148"/>
      <c r="G169" s="148"/>
      <c r="H169" s="148"/>
      <c r="I169" s="143">
        <f t="shared" si="1"/>
        <v>0</v>
      </c>
      <c r="J169" s="148"/>
      <c r="K169" s="161"/>
      <c r="L169" s="167">
        <f>[45]VAL.PRINC!I146</f>
        <v>0</v>
      </c>
    </row>
    <row r="170" spans="1:12" ht="15" hidden="1">
      <c r="A170" s="177" t="s">
        <v>213</v>
      </c>
      <c r="B170" s="185" t="s">
        <v>214</v>
      </c>
      <c r="C170" s="191"/>
      <c r="D170" s="147"/>
      <c r="E170" s="148"/>
      <c r="F170" s="148"/>
      <c r="G170" s="148"/>
      <c r="H170" s="148"/>
      <c r="I170" s="143">
        <f t="shared" si="1"/>
        <v>0</v>
      </c>
      <c r="J170" s="148"/>
      <c r="K170" s="161"/>
      <c r="L170" s="167">
        <f>[45]VAL.PRINC!I147</f>
        <v>0</v>
      </c>
    </row>
    <row r="171" spans="1:12" ht="15.75" hidden="1" thickBot="1">
      <c r="A171" s="180" t="s">
        <v>213</v>
      </c>
      <c r="B171" s="187" t="s">
        <v>215</v>
      </c>
      <c r="C171" s="198" t="s">
        <v>64</v>
      </c>
      <c r="D171" s="149"/>
      <c r="E171" s="150"/>
      <c r="F171" s="150"/>
      <c r="G171" s="150"/>
      <c r="H171" s="150"/>
      <c r="I171" s="143">
        <f t="shared" si="1"/>
        <v>0</v>
      </c>
      <c r="J171" s="150"/>
      <c r="K171" s="162"/>
      <c r="L171" s="167">
        <f>[45]VAL.PRINC!I148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104775</xdr:rowOff>
              </from>
              <to>
                <xdr:col>10</xdr:col>
                <xdr:colOff>790575</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N178"/>
  <sheetViews>
    <sheetView topLeftCell="C10" workbookViewId="0"/>
  </sheetViews>
  <sheetFormatPr baseColWidth="10" defaultColWidth="11.42578125" defaultRowHeight="15"/>
  <cols>
    <col min="1" max="1" width="11.42578125" style="423"/>
    <col min="2" max="2" width="9.5703125" style="423" customWidth="1"/>
    <col min="3" max="3" width="68.5703125" style="423" customWidth="1"/>
    <col min="4" max="4" width="11.42578125" style="423" bestFit="1" customWidth="1"/>
    <col min="5" max="5" width="8" style="423" bestFit="1" customWidth="1"/>
    <col min="6" max="6" width="14.42578125" style="423" customWidth="1"/>
    <col min="7" max="11" width="13.5703125" style="423" customWidth="1"/>
    <col min="12" max="14" width="16.5703125" style="423" customWidth="1"/>
    <col min="15" max="16384" width="11.42578125" style="423"/>
  </cols>
  <sheetData>
    <row r="1" spans="1:11">
      <c r="A1" s="423" t="s">
        <v>472</v>
      </c>
    </row>
    <row r="6" spans="1:11" ht="23.25">
      <c r="B6" s="3322" t="s">
        <v>471</v>
      </c>
      <c r="C6" s="3322"/>
      <c r="D6" s="3322"/>
      <c r="E6" s="3322"/>
      <c r="F6" s="3322"/>
      <c r="G6" s="3322"/>
      <c r="H6" s="3322"/>
      <c r="I6" s="3322"/>
      <c r="J6" s="512"/>
      <c r="K6" s="603"/>
    </row>
    <row r="7" spans="1:11">
      <c r="B7" s="489"/>
      <c r="C7" s="489"/>
      <c r="D7" s="489"/>
      <c r="E7" s="489"/>
      <c r="F7" s="490"/>
      <c r="G7" s="489"/>
      <c r="H7" s="489"/>
    </row>
    <row r="8" spans="1:11">
      <c r="B8" s="487"/>
      <c r="C8" s="486" t="s">
        <v>470</v>
      </c>
      <c r="D8" s="485" t="s">
        <v>469</v>
      </c>
      <c r="E8" s="485" t="s">
        <v>533</v>
      </c>
      <c r="F8" s="488"/>
      <c r="G8" s="488"/>
      <c r="H8" s="488"/>
    </row>
    <row r="9" spans="1:11">
      <c r="B9" s="487"/>
      <c r="C9" s="486" t="s">
        <v>7</v>
      </c>
      <c r="D9" s="485" t="s">
        <v>468</v>
      </c>
      <c r="E9" s="485" t="s">
        <v>467</v>
      </c>
      <c r="F9" s="484"/>
      <c r="G9" s="484"/>
      <c r="H9" s="485"/>
    </row>
    <row r="10" spans="1:11">
      <c r="B10" s="487"/>
      <c r="C10" s="486" t="s">
        <v>466</v>
      </c>
      <c r="D10" s="485" t="s">
        <v>465</v>
      </c>
      <c r="E10" s="485" t="s">
        <v>464</v>
      </c>
      <c r="F10" s="484"/>
      <c r="G10" s="484"/>
      <c r="H10" s="485"/>
    </row>
    <row r="11" spans="1:11">
      <c r="B11" s="487"/>
      <c r="C11" s="486" t="s">
        <v>463</v>
      </c>
      <c r="D11" s="485" t="s">
        <v>1794</v>
      </c>
      <c r="E11" s="485" t="s">
        <v>462</v>
      </c>
      <c r="F11" s="484"/>
      <c r="G11" s="484"/>
      <c r="H11" s="485"/>
    </row>
    <row r="12" spans="1:11">
      <c r="B12" s="487"/>
      <c r="C12" s="486" t="s">
        <v>8</v>
      </c>
      <c r="D12" s="485" t="s">
        <v>1795</v>
      </c>
      <c r="E12" s="485" t="s">
        <v>1796</v>
      </c>
      <c r="F12" s="484"/>
      <c r="G12" s="484"/>
      <c r="H12" s="485"/>
    </row>
    <row r="13" spans="1:11">
      <c r="B13" s="487"/>
      <c r="C13" s="486" t="s">
        <v>461</v>
      </c>
      <c r="D13" s="485" t="s">
        <v>460</v>
      </c>
      <c r="E13" s="485" t="s">
        <v>459</v>
      </c>
      <c r="F13" s="484"/>
      <c r="G13" s="484"/>
      <c r="H13" s="485" t="s">
        <v>9</v>
      </c>
    </row>
    <row r="14" spans="1:11">
      <c r="B14" s="487"/>
      <c r="C14" s="486" t="s">
        <v>458</v>
      </c>
      <c r="D14" s="485" t="s">
        <v>457</v>
      </c>
      <c r="E14" s="485" t="s">
        <v>456</v>
      </c>
      <c r="F14" s="484"/>
      <c r="G14" s="484"/>
      <c r="H14" s="485"/>
    </row>
    <row r="15" spans="1:11">
      <c r="B15" s="487"/>
      <c r="C15" s="486" t="s">
        <v>6</v>
      </c>
      <c r="D15" s="485" t="s">
        <v>455</v>
      </c>
      <c r="E15" s="485"/>
      <c r="F15" s="484"/>
      <c r="G15" s="484"/>
      <c r="H15" s="484"/>
    </row>
    <row r="16" spans="1:11" ht="15.75" thickBot="1"/>
    <row r="17" spans="2:14" ht="15.75" thickBot="1">
      <c r="B17" s="3323" t="s">
        <v>454</v>
      </c>
      <c r="C17" s="3323" t="s">
        <v>453</v>
      </c>
      <c r="D17" s="3323" t="s">
        <v>452</v>
      </c>
      <c r="E17" s="3323" t="s">
        <v>451</v>
      </c>
      <c r="F17" s="3323" t="s">
        <v>450</v>
      </c>
      <c r="G17" s="3325" t="s">
        <v>449</v>
      </c>
      <c r="H17" s="3326"/>
      <c r="I17" s="3326"/>
      <c r="J17" s="542"/>
      <c r="K17" s="542"/>
      <c r="L17" s="3320"/>
      <c r="M17" s="3320"/>
    </row>
    <row r="18" spans="2:14" ht="15.75" customHeight="1" thickBot="1">
      <c r="B18" s="3323"/>
      <c r="C18" s="3323"/>
      <c r="D18" s="3323"/>
      <c r="E18" s="3323"/>
      <c r="F18" s="3323"/>
      <c r="G18" s="3320" t="s">
        <v>1797</v>
      </c>
      <c r="H18" s="3320" t="s">
        <v>448</v>
      </c>
      <c r="I18" s="3320" t="s">
        <v>447</v>
      </c>
      <c r="J18" s="3320" t="s">
        <v>528</v>
      </c>
      <c r="K18" s="3320" t="s">
        <v>530</v>
      </c>
      <c r="L18" s="3321"/>
      <c r="M18" s="3321"/>
    </row>
    <row r="19" spans="2:14">
      <c r="B19" s="3324"/>
      <c r="C19" s="3324"/>
      <c r="D19" s="3324"/>
      <c r="E19" s="3324"/>
      <c r="F19" s="3324"/>
      <c r="G19" s="3321"/>
      <c r="H19" s="3321"/>
      <c r="I19" s="3321"/>
      <c r="J19" s="3321"/>
      <c r="K19" s="3321"/>
      <c r="L19" s="3321"/>
      <c r="M19" s="3321"/>
    </row>
    <row r="20" spans="2:14" s="457" customFormat="1" ht="22.5">
      <c r="B20" s="483" t="s">
        <v>446</v>
      </c>
      <c r="C20" s="482" t="s">
        <v>445</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444</v>
      </c>
      <c r="C21" s="478" t="s">
        <v>443</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305</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305</v>
      </c>
      <c r="C23" s="467" t="s">
        <v>442</v>
      </c>
      <c r="D23" s="459">
        <f>[46]VAL.PRINC!N15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305</v>
      </c>
      <c r="C24" s="467" t="s">
        <v>441</v>
      </c>
      <c r="D24" s="459">
        <f>[46]VAL.PRINC!N16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306</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306</v>
      </c>
      <c r="C27" s="467" t="s">
        <v>440</v>
      </c>
      <c r="D27" s="459">
        <f>[46]VAL.PRINC!N19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439</v>
      </c>
      <c r="D29" s="459">
        <f>[46]VAL.PRINC!N21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438</v>
      </c>
      <c r="D30" s="459">
        <f>[46]VAL.PRINC!N22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437</v>
      </c>
      <c r="D31" s="459">
        <f>[46]VAL.PRINC!N23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436</v>
      </c>
      <c r="D32" s="459">
        <f>[46]VAL.PRINC!N24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435</v>
      </c>
      <c r="D33" s="459">
        <f>[46]VAL.PRINC!N25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307</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307</v>
      </c>
      <c r="C35" s="467" t="s">
        <v>434</v>
      </c>
      <c r="D35" s="459">
        <f>[46]VAL.PRINC!N27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307</v>
      </c>
      <c r="C36" s="467" t="s">
        <v>433</v>
      </c>
      <c r="D36" s="459">
        <f>[46]VAL.PRINC!N28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308</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309</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309</v>
      </c>
      <c r="C39" s="467" t="s">
        <v>418</v>
      </c>
      <c r="D39" s="459">
        <f>[46]VAL.PRINC!N31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309</v>
      </c>
      <c r="C40" s="467" t="s">
        <v>429</v>
      </c>
      <c r="D40" s="459">
        <f>[46]VAL.PRINC!N32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309</v>
      </c>
      <c r="C41" s="467" t="s">
        <v>427</v>
      </c>
      <c r="D41" s="459">
        <f>[46]VAL.PRINC!N33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309</v>
      </c>
      <c r="C42" s="467" t="s">
        <v>432</v>
      </c>
      <c r="D42" s="459">
        <f>[46]VAL.PRINC!N34</f>
        <v>0</v>
      </c>
      <c r="E42" s="459">
        <v>5.58</v>
      </c>
      <c r="F42" s="459">
        <f t="shared" si="11"/>
        <v>0</v>
      </c>
      <c r="G42" s="459">
        <v>0</v>
      </c>
      <c r="H42" s="459"/>
      <c r="I42" s="459"/>
      <c r="J42" s="459"/>
      <c r="K42" s="459"/>
      <c r="L42" s="430">
        <f t="shared" si="4"/>
        <v>0</v>
      </c>
      <c r="M42" s="453">
        <f t="shared" si="3"/>
        <v>0</v>
      </c>
      <c r="N42" s="458"/>
    </row>
    <row r="43" spans="2:14" s="457" customFormat="1">
      <c r="B43" s="468" t="s">
        <v>309</v>
      </c>
      <c r="C43" s="467" t="s">
        <v>428</v>
      </c>
      <c r="D43" s="459">
        <f>[46]VAL.PRINC!N35</f>
        <v>0</v>
      </c>
      <c r="E43" s="459">
        <v>65.95</v>
      </c>
      <c r="F43" s="459">
        <f t="shared" si="11"/>
        <v>0</v>
      </c>
      <c r="G43" s="459">
        <v>0</v>
      </c>
      <c r="H43" s="459"/>
      <c r="I43" s="459"/>
      <c r="J43" s="459"/>
      <c r="K43" s="459"/>
      <c r="L43" s="430">
        <f t="shared" si="4"/>
        <v>0</v>
      </c>
      <c r="M43" s="453">
        <f t="shared" si="3"/>
        <v>0</v>
      </c>
      <c r="N43" s="458"/>
    </row>
    <row r="44" spans="2:14" s="457" customFormat="1">
      <c r="B44" s="468" t="s">
        <v>309</v>
      </c>
      <c r="C44" s="467" t="s">
        <v>103</v>
      </c>
      <c r="D44" s="459">
        <f>[46]VAL.PRINC!N36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309</v>
      </c>
      <c r="C45" s="467" t="s">
        <v>431</v>
      </c>
      <c r="D45" s="459">
        <f>[46]VAL.PRINC!N37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309</v>
      </c>
      <c r="C46" s="467" t="s">
        <v>423</v>
      </c>
      <c r="D46" s="459">
        <f>[46]VAL.PRINC!N38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430</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418</v>
      </c>
      <c r="D48" s="459">
        <f>[46]VAL.PRINC!N40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429</v>
      </c>
      <c r="D49" s="459">
        <f>[46]VAL.PRINC!N41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428</v>
      </c>
      <c r="D50" s="459">
        <f>[46]VAL.PRINC!N42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427</v>
      </c>
      <c r="D51" s="459">
        <f>[46]VAL.PRINC!N43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426</v>
      </c>
      <c r="D52" s="459">
        <f>[46]VAL.PRINC!N44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425</v>
      </c>
      <c r="D53" s="459">
        <f>[46]VAL.PRINC!N45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424</v>
      </c>
      <c r="D54" s="459">
        <f>[46]VAL.PRINC!N46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423</v>
      </c>
      <c r="D55" s="459">
        <f>[46]VAL.PRINC!N47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422</v>
      </c>
      <c r="D57" s="459">
        <f>[46]VAL.PRINC!N49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421</v>
      </c>
      <c r="D58" s="459">
        <f>[46]VAL.PRINC!N50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420</v>
      </c>
      <c r="D59" s="459">
        <f>[46]VAL.PRINC!N51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419</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418</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417</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416</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415</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414</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413</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412</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411</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410</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409</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408</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407</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406</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405</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404</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403</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402</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401</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400</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399</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398</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397</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396</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395</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394</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393</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392</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391</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390</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389</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388</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387</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386</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385</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384</v>
      </c>
      <c r="D120" s="459">
        <f>[46]VAL.PRINC!N112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383</v>
      </c>
      <c r="D121" s="459">
        <f>[46]VAL.PRINC!N113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382</v>
      </c>
      <c r="D122" s="459">
        <f>[46]VAL.PRINC!N114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381</v>
      </c>
      <c r="D123" s="459">
        <f>[46]VAL.PRINC!N115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380</v>
      </c>
      <c r="D124" s="459">
        <f>[46]VAL.PRINC!N116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379</v>
      </c>
      <c r="D125" s="459">
        <f>[46]VAL.PRINC!N117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378</v>
      </c>
      <c r="D126" s="459">
        <f>[46]VAL.PRINC!N118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[46]VAL.PRINC!N120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[46]VAL.PRINC!N121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[46]VAL.PRINC!N122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[46]VAL.PRINC!N123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[46]VAL.PRINC!N125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377</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376</v>
      </c>
      <c r="D136" s="459">
        <f>[46]VAL.PRINC!N128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375</v>
      </c>
      <c r="D137" s="459">
        <f>[46]VAL.PRINC!N129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374</v>
      </c>
      <c r="D138" s="459">
        <f>[46]VAL.PRINC!N130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373</v>
      </c>
      <c r="D139" s="459">
        <f>[46]VAL.PRINC!N131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372</v>
      </c>
      <c r="D140" s="459">
        <f>[46]VAL.PRINC!N132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371</v>
      </c>
      <c r="D141" s="459">
        <f>[46]VAL.PRINC!N133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[46]VAL.PRINC!N135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[46]VAL.PRINC!N136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[46]VAL.PRINC!N137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370</v>
      </c>
      <c r="D147" s="459">
        <f>[46]VAL.PRINC!N139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369</v>
      </c>
      <c r="D148" s="459">
        <f>[46]VAL.PRINC!N140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368</v>
      </c>
      <c r="D149" s="459">
        <f>[46]VAL.PRINC!N141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367</v>
      </c>
      <c r="D150" s="459">
        <f>[46]VAL.PRINC!N142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[46]VAL.PRINC!N144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[46]VAL.PRINC!N145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[46]VAL.PRINC!N146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75" thickBot="1">
      <c r="B156" s="462" t="s">
        <v>213</v>
      </c>
      <c r="C156" s="461" t="s">
        <v>215</v>
      </c>
      <c r="D156" s="460">
        <f>[46]VAL.PRINC!N148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327">
        <f>F155+F151+F134+F132+F127+F119+F60+F37+F25+F22</f>
        <v>1289323.9083466001</v>
      </c>
      <c r="F157" s="3328"/>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308">
        <f>SUM(G158:I158)</f>
        <v>125597.74707154241</v>
      </c>
      <c r="F158" s="3329"/>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366</v>
      </c>
      <c r="D159" s="443"/>
      <c r="E159" s="3308">
        <f>SUM(G159:I159)</f>
        <v>1336762.1354181424</v>
      </c>
      <c r="F159" s="3329"/>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365</v>
      </c>
      <c r="D160" s="451"/>
      <c r="E160" s="3314">
        <f>SUM(G160:I160)</f>
        <v>0.93937945345306584</v>
      </c>
      <c r="F160" s="3315"/>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75" thickBot="1">
      <c r="C161" s="450" t="s">
        <v>364</v>
      </c>
      <c r="D161" s="449"/>
      <c r="E161" s="3316"/>
      <c r="F161" s="3317"/>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363</v>
      </c>
      <c r="D162" s="447">
        <v>4.867316975427044E-2</v>
      </c>
      <c r="E162" s="3308">
        <f t="shared" ref="E162:E168" si="52">SUM(G162:I162)</f>
        <v>58951.209874321183</v>
      </c>
      <c r="F162" s="3309"/>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362</v>
      </c>
      <c r="D163" s="439">
        <v>3.2295075957423222E-3</v>
      </c>
      <c r="E163" s="3308">
        <f t="shared" si="52"/>
        <v>3911.4645918579486</v>
      </c>
      <c r="F163" s="3309"/>
      <c r="G163" s="438">
        <f>$D163*G157</f>
        <v>1651.597599765845</v>
      </c>
      <c r="H163" s="438">
        <f>$D163*H157</f>
        <v>1957.7910591250784</v>
      </c>
      <c r="I163" s="438">
        <f>$D163*I157</f>
        <v>302.07593296702493</v>
      </c>
      <c r="J163" s="544"/>
      <c r="K163" s="544"/>
      <c r="L163" s="430">
        <f t="shared" si="53"/>
        <v>3911.4645918579486</v>
      </c>
    </row>
    <row r="164" spans="3:13" s="441" customFormat="1">
      <c r="C164" s="444" t="s">
        <v>361</v>
      </c>
      <c r="D164" s="443"/>
      <c r="E164" s="3318">
        <f t="shared" si="52"/>
        <v>1399624.8098843214</v>
      </c>
      <c r="F164" s="3319"/>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308">
        <f t="shared" si="52"/>
        <v>0</v>
      </c>
      <c r="F165" s="3309"/>
      <c r="G165" s="438"/>
      <c r="H165" s="438"/>
      <c r="I165" s="438"/>
      <c r="J165" s="544"/>
      <c r="K165" s="544"/>
      <c r="L165" s="430">
        <f t="shared" si="53"/>
        <v>0</v>
      </c>
    </row>
    <row r="166" spans="3:13">
      <c r="C166" s="436" t="s">
        <v>360</v>
      </c>
      <c r="D166" s="435">
        <v>1.5387795225407752E-2</v>
      </c>
      <c r="E166" s="3310">
        <f t="shared" si="52"/>
        <v>0</v>
      </c>
      <c r="F166" s="3311"/>
      <c r="G166" s="434"/>
      <c r="H166" s="434"/>
      <c r="I166" s="434"/>
      <c r="J166" s="546"/>
      <c r="K166" s="546"/>
      <c r="L166" s="430">
        <f t="shared" si="53"/>
        <v>0</v>
      </c>
    </row>
    <row r="167" spans="3:13">
      <c r="C167" s="436" t="s">
        <v>255</v>
      </c>
      <c r="D167" s="435">
        <v>5.9362432020489322E-3</v>
      </c>
      <c r="E167" s="3310">
        <f t="shared" si="52"/>
        <v>0</v>
      </c>
      <c r="F167" s="3311"/>
      <c r="G167" s="434"/>
      <c r="H167" s="434"/>
      <c r="I167" s="434"/>
      <c r="J167" s="546"/>
      <c r="K167" s="546"/>
      <c r="L167" s="430">
        <f t="shared" si="53"/>
        <v>0</v>
      </c>
    </row>
    <row r="168" spans="3:13" s="429" customFormat="1">
      <c r="C168" s="433" t="s">
        <v>359</v>
      </c>
      <c r="D168" s="432"/>
      <c r="E168" s="3312">
        <f t="shared" si="52"/>
        <v>1399624.8098843214</v>
      </c>
      <c r="F168" s="3313"/>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[46]VAL.PRINC!O149</f>
        <v>2880901.1635466004</v>
      </c>
      <c r="G170" s="424"/>
      <c r="H170" s="424"/>
      <c r="I170" s="424"/>
      <c r="J170" s="424"/>
      <c r="K170" s="424"/>
    </row>
    <row r="171" spans="3:13">
      <c r="E171" s="423" t="s">
        <v>529</v>
      </c>
      <c r="F171" s="427">
        <f>[46]VAL.PRINC!O52</f>
        <v>1550015.2552</v>
      </c>
      <c r="G171" s="424"/>
      <c r="H171" s="424"/>
    </row>
    <row r="172" spans="3:13">
      <c r="F172" s="424">
        <f>F170-F171</f>
        <v>1330885.9083466004</v>
      </c>
    </row>
    <row r="173" spans="3:13">
      <c r="F173" s="427">
        <f>F172-E157</f>
        <v>41562.000000000233</v>
      </c>
    </row>
    <row r="174" spans="3:13" ht="18">
      <c r="D174" s="424"/>
      <c r="F174" s="426"/>
      <c r="G174" s="424"/>
      <c r="H174" s="425"/>
    </row>
    <row r="175" spans="3:13">
      <c r="F175" s="424"/>
    </row>
    <row r="176" spans="3:13">
      <c r="F176" s="424"/>
    </row>
    <row r="178" spans="6:6">
      <c r="F178" s="424"/>
    </row>
  </sheetData>
  <autoFilter ref="A1:N168" xr:uid="{00000000-0009-0000-0000-000024000000}"/>
  <mergeCells count="26">
    <mergeCell ref="E157:F157"/>
    <mergeCell ref="E158:F158"/>
    <mergeCell ref="E159:F159"/>
    <mergeCell ref="L17:L19"/>
    <mergeCell ref="C17:C19"/>
    <mergeCell ref="K18:K19"/>
    <mergeCell ref="B6:I6"/>
    <mergeCell ref="B17:B19"/>
    <mergeCell ref="D17:D19"/>
    <mergeCell ref="E17:E19"/>
    <mergeCell ref="F17:F19"/>
    <mergeCell ref="G17:I17"/>
    <mergeCell ref="M17:M19"/>
    <mergeCell ref="G18:G19"/>
    <mergeCell ref="H18:H19"/>
    <mergeCell ref="I18:I19"/>
    <mergeCell ref="J18:J19"/>
    <mergeCell ref="E165:F165"/>
    <mergeCell ref="E166:F166"/>
    <mergeCell ref="E167:F167"/>
    <mergeCell ref="E168:F168"/>
    <mergeCell ref="E160:F160"/>
    <mergeCell ref="E161:F161"/>
    <mergeCell ref="E162:F162"/>
    <mergeCell ref="E163:F163"/>
    <mergeCell ref="E164:F164"/>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249977111117893"/>
  </sheetPr>
  <dimension ref="A1:Q261"/>
  <sheetViews>
    <sheetView workbookViewId="0">
      <selection sqref="A1:G1"/>
    </sheetView>
  </sheetViews>
  <sheetFormatPr baseColWidth="10" defaultRowHeight="11.25"/>
  <cols>
    <col min="1" max="1" width="2.42578125" style="204" customWidth="1"/>
    <col min="2" max="2" width="52.42578125" style="204" customWidth="1"/>
    <col min="3" max="3" width="12.5703125" style="204" hidden="1" customWidth="1"/>
    <col min="4" max="4" width="14.5703125" style="204" hidden="1" customWidth="1"/>
    <col min="5" max="9" width="25.5703125" style="204" customWidth="1"/>
    <col min="10" max="11" width="2.5703125" style="204" customWidth="1"/>
    <col min="12" max="12" width="13.42578125" style="242" bestFit="1" customWidth="1"/>
    <col min="13" max="257" width="11.42578125" style="204"/>
    <col min="258" max="258" width="2.42578125" style="204" customWidth="1"/>
    <col min="259" max="259" width="52.42578125" style="204" customWidth="1"/>
    <col min="260" max="261" width="0" style="204" hidden="1" customWidth="1"/>
    <col min="262" max="265" width="18.5703125" style="204" customWidth="1"/>
    <col min="266" max="267" width="2.5703125" style="204" customWidth="1"/>
    <col min="268" max="268" width="13.42578125" style="204" bestFit="1" customWidth="1"/>
    <col min="269" max="513" width="11.42578125" style="204"/>
    <col min="514" max="514" width="2.42578125" style="204" customWidth="1"/>
    <col min="515" max="515" width="52.42578125" style="204" customWidth="1"/>
    <col min="516" max="517" width="0" style="204" hidden="1" customWidth="1"/>
    <col min="518" max="521" width="18.5703125" style="204" customWidth="1"/>
    <col min="522" max="523" width="2.5703125" style="204" customWidth="1"/>
    <col min="524" max="524" width="13.42578125" style="204" bestFit="1" customWidth="1"/>
    <col min="525" max="769" width="11.42578125" style="204"/>
    <col min="770" max="770" width="2.42578125" style="204" customWidth="1"/>
    <col min="771" max="771" width="52.42578125" style="204" customWidth="1"/>
    <col min="772" max="773" width="0" style="204" hidden="1" customWidth="1"/>
    <col min="774" max="777" width="18.5703125" style="204" customWidth="1"/>
    <col min="778" max="779" width="2.5703125" style="204" customWidth="1"/>
    <col min="780" max="780" width="13.42578125" style="204" bestFit="1" customWidth="1"/>
    <col min="781" max="1025" width="11.42578125" style="204"/>
    <col min="1026" max="1026" width="2.42578125" style="204" customWidth="1"/>
    <col min="1027" max="1027" width="52.42578125" style="204" customWidth="1"/>
    <col min="1028" max="1029" width="0" style="204" hidden="1" customWidth="1"/>
    <col min="1030" max="1033" width="18.5703125" style="204" customWidth="1"/>
    <col min="1034" max="1035" width="2.5703125" style="204" customWidth="1"/>
    <col min="1036" max="1036" width="13.42578125" style="204" bestFit="1" customWidth="1"/>
    <col min="1037" max="1281" width="11.42578125" style="204"/>
    <col min="1282" max="1282" width="2.42578125" style="204" customWidth="1"/>
    <col min="1283" max="1283" width="52.42578125" style="204" customWidth="1"/>
    <col min="1284" max="1285" width="0" style="204" hidden="1" customWidth="1"/>
    <col min="1286" max="1289" width="18.5703125" style="204" customWidth="1"/>
    <col min="1290" max="1291" width="2.5703125" style="204" customWidth="1"/>
    <col min="1292" max="1292" width="13.42578125" style="204" bestFit="1" customWidth="1"/>
    <col min="1293" max="1537" width="11.42578125" style="204"/>
    <col min="1538" max="1538" width="2.42578125" style="204" customWidth="1"/>
    <col min="1539" max="1539" width="52.42578125" style="204" customWidth="1"/>
    <col min="1540" max="1541" width="0" style="204" hidden="1" customWidth="1"/>
    <col min="1542" max="1545" width="18.5703125" style="204" customWidth="1"/>
    <col min="1546" max="1547" width="2.5703125" style="204" customWidth="1"/>
    <col min="1548" max="1548" width="13.42578125" style="204" bestFit="1" customWidth="1"/>
    <col min="1549" max="1793" width="11.42578125" style="204"/>
    <col min="1794" max="1794" width="2.42578125" style="204" customWidth="1"/>
    <col min="1795" max="1795" width="52.42578125" style="204" customWidth="1"/>
    <col min="1796" max="1797" width="0" style="204" hidden="1" customWidth="1"/>
    <col min="1798" max="1801" width="18.5703125" style="204" customWidth="1"/>
    <col min="1802" max="1803" width="2.5703125" style="204" customWidth="1"/>
    <col min="1804" max="1804" width="13.42578125" style="204" bestFit="1" customWidth="1"/>
    <col min="1805" max="2049" width="11.42578125" style="204"/>
    <col min="2050" max="2050" width="2.42578125" style="204" customWidth="1"/>
    <col min="2051" max="2051" width="52.42578125" style="204" customWidth="1"/>
    <col min="2052" max="2053" width="0" style="204" hidden="1" customWidth="1"/>
    <col min="2054" max="2057" width="18.5703125" style="204" customWidth="1"/>
    <col min="2058" max="2059" width="2.5703125" style="204" customWidth="1"/>
    <col min="2060" max="2060" width="13.42578125" style="204" bestFit="1" customWidth="1"/>
    <col min="2061" max="2305" width="11.42578125" style="204"/>
    <col min="2306" max="2306" width="2.42578125" style="204" customWidth="1"/>
    <col min="2307" max="2307" width="52.42578125" style="204" customWidth="1"/>
    <col min="2308" max="2309" width="0" style="204" hidden="1" customWidth="1"/>
    <col min="2310" max="2313" width="18.5703125" style="204" customWidth="1"/>
    <col min="2314" max="2315" width="2.5703125" style="204" customWidth="1"/>
    <col min="2316" max="2316" width="13.42578125" style="204" bestFit="1" customWidth="1"/>
    <col min="2317" max="2561" width="11.42578125" style="204"/>
    <col min="2562" max="2562" width="2.42578125" style="204" customWidth="1"/>
    <col min="2563" max="2563" width="52.42578125" style="204" customWidth="1"/>
    <col min="2564" max="2565" width="0" style="204" hidden="1" customWidth="1"/>
    <col min="2566" max="2569" width="18.5703125" style="204" customWidth="1"/>
    <col min="2570" max="2571" width="2.5703125" style="204" customWidth="1"/>
    <col min="2572" max="2572" width="13.42578125" style="204" bestFit="1" customWidth="1"/>
    <col min="2573" max="2817" width="11.42578125" style="204"/>
    <col min="2818" max="2818" width="2.42578125" style="204" customWidth="1"/>
    <col min="2819" max="2819" width="52.42578125" style="204" customWidth="1"/>
    <col min="2820" max="2821" width="0" style="204" hidden="1" customWidth="1"/>
    <col min="2822" max="2825" width="18.5703125" style="204" customWidth="1"/>
    <col min="2826" max="2827" width="2.5703125" style="204" customWidth="1"/>
    <col min="2828" max="2828" width="13.42578125" style="204" bestFit="1" customWidth="1"/>
    <col min="2829" max="3073" width="11.42578125" style="204"/>
    <col min="3074" max="3074" width="2.42578125" style="204" customWidth="1"/>
    <col min="3075" max="3075" width="52.42578125" style="204" customWidth="1"/>
    <col min="3076" max="3077" width="0" style="204" hidden="1" customWidth="1"/>
    <col min="3078" max="3081" width="18.5703125" style="204" customWidth="1"/>
    <col min="3082" max="3083" width="2.5703125" style="204" customWidth="1"/>
    <col min="3084" max="3084" width="13.42578125" style="204" bestFit="1" customWidth="1"/>
    <col min="3085" max="3329" width="11.42578125" style="204"/>
    <col min="3330" max="3330" width="2.42578125" style="204" customWidth="1"/>
    <col min="3331" max="3331" width="52.42578125" style="204" customWidth="1"/>
    <col min="3332" max="3333" width="0" style="204" hidden="1" customWidth="1"/>
    <col min="3334" max="3337" width="18.5703125" style="204" customWidth="1"/>
    <col min="3338" max="3339" width="2.5703125" style="204" customWidth="1"/>
    <col min="3340" max="3340" width="13.42578125" style="204" bestFit="1" customWidth="1"/>
    <col min="3341" max="3585" width="11.42578125" style="204"/>
    <col min="3586" max="3586" width="2.42578125" style="204" customWidth="1"/>
    <col min="3587" max="3587" width="52.42578125" style="204" customWidth="1"/>
    <col min="3588" max="3589" width="0" style="204" hidden="1" customWidth="1"/>
    <col min="3590" max="3593" width="18.5703125" style="204" customWidth="1"/>
    <col min="3594" max="3595" width="2.5703125" style="204" customWidth="1"/>
    <col min="3596" max="3596" width="13.42578125" style="204" bestFit="1" customWidth="1"/>
    <col min="3597" max="3841" width="11.42578125" style="204"/>
    <col min="3842" max="3842" width="2.42578125" style="204" customWidth="1"/>
    <col min="3843" max="3843" width="52.42578125" style="204" customWidth="1"/>
    <col min="3844" max="3845" width="0" style="204" hidden="1" customWidth="1"/>
    <col min="3846" max="3849" width="18.5703125" style="204" customWidth="1"/>
    <col min="3850" max="3851" width="2.5703125" style="204" customWidth="1"/>
    <col min="3852" max="3852" width="13.42578125" style="204" bestFit="1" customWidth="1"/>
    <col min="3853" max="4097" width="11.42578125" style="204"/>
    <col min="4098" max="4098" width="2.42578125" style="204" customWidth="1"/>
    <col min="4099" max="4099" width="52.42578125" style="204" customWidth="1"/>
    <col min="4100" max="4101" width="0" style="204" hidden="1" customWidth="1"/>
    <col min="4102" max="4105" width="18.5703125" style="204" customWidth="1"/>
    <col min="4106" max="4107" width="2.5703125" style="204" customWidth="1"/>
    <col min="4108" max="4108" width="13.42578125" style="204" bestFit="1" customWidth="1"/>
    <col min="4109" max="4353" width="11.42578125" style="204"/>
    <col min="4354" max="4354" width="2.42578125" style="204" customWidth="1"/>
    <col min="4355" max="4355" width="52.42578125" style="204" customWidth="1"/>
    <col min="4356" max="4357" width="0" style="204" hidden="1" customWidth="1"/>
    <col min="4358" max="4361" width="18.5703125" style="204" customWidth="1"/>
    <col min="4362" max="4363" width="2.5703125" style="204" customWidth="1"/>
    <col min="4364" max="4364" width="13.42578125" style="204" bestFit="1" customWidth="1"/>
    <col min="4365" max="4609" width="11.42578125" style="204"/>
    <col min="4610" max="4610" width="2.42578125" style="204" customWidth="1"/>
    <col min="4611" max="4611" width="52.42578125" style="204" customWidth="1"/>
    <col min="4612" max="4613" width="0" style="204" hidden="1" customWidth="1"/>
    <col min="4614" max="4617" width="18.5703125" style="204" customWidth="1"/>
    <col min="4618" max="4619" width="2.5703125" style="204" customWidth="1"/>
    <col min="4620" max="4620" width="13.42578125" style="204" bestFit="1" customWidth="1"/>
    <col min="4621" max="4865" width="11.42578125" style="204"/>
    <col min="4866" max="4866" width="2.42578125" style="204" customWidth="1"/>
    <col min="4867" max="4867" width="52.42578125" style="204" customWidth="1"/>
    <col min="4868" max="4869" width="0" style="204" hidden="1" customWidth="1"/>
    <col min="4870" max="4873" width="18.5703125" style="204" customWidth="1"/>
    <col min="4874" max="4875" width="2.5703125" style="204" customWidth="1"/>
    <col min="4876" max="4876" width="13.42578125" style="204" bestFit="1" customWidth="1"/>
    <col min="4877" max="5121" width="11.42578125" style="204"/>
    <col min="5122" max="5122" width="2.42578125" style="204" customWidth="1"/>
    <col min="5123" max="5123" width="52.42578125" style="204" customWidth="1"/>
    <col min="5124" max="5125" width="0" style="204" hidden="1" customWidth="1"/>
    <col min="5126" max="5129" width="18.5703125" style="204" customWidth="1"/>
    <col min="5130" max="5131" width="2.5703125" style="204" customWidth="1"/>
    <col min="5132" max="5132" width="13.42578125" style="204" bestFit="1" customWidth="1"/>
    <col min="5133" max="5377" width="11.42578125" style="204"/>
    <col min="5378" max="5378" width="2.42578125" style="204" customWidth="1"/>
    <col min="5379" max="5379" width="52.42578125" style="204" customWidth="1"/>
    <col min="5380" max="5381" width="0" style="204" hidden="1" customWidth="1"/>
    <col min="5382" max="5385" width="18.5703125" style="204" customWidth="1"/>
    <col min="5386" max="5387" width="2.5703125" style="204" customWidth="1"/>
    <col min="5388" max="5388" width="13.42578125" style="204" bestFit="1" customWidth="1"/>
    <col min="5389" max="5633" width="11.42578125" style="204"/>
    <col min="5634" max="5634" width="2.42578125" style="204" customWidth="1"/>
    <col min="5635" max="5635" width="52.42578125" style="204" customWidth="1"/>
    <col min="5636" max="5637" width="0" style="204" hidden="1" customWidth="1"/>
    <col min="5638" max="5641" width="18.5703125" style="204" customWidth="1"/>
    <col min="5642" max="5643" width="2.5703125" style="204" customWidth="1"/>
    <col min="5644" max="5644" width="13.42578125" style="204" bestFit="1" customWidth="1"/>
    <col min="5645" max="5889" width="11.42578125" style="204"/>
    <col min="5890" max="5890" width="2.42578125" style="204" customWidth="1"/>
    <col min="5891" max="5891" width="52.42578125" style="204" customWidth="1"/>
    <col min="5892" max="5893" width="0" style="204" hidden="1" customWidth="1"/>
    <col min="5894" max="5897" width="18.5703125" style="204" customWidth="1"/>
    <col min="5898" max="5899" width="2.5703125" style="204" customWidth="1"/>
    <col min="5900" max="5900" width="13.42578125" style="204" bestFit="1" customWidth="1"/>
    <col min="5901" max="6145" width="11.42578125" style="204"/>
    <col min="6146" max="6146" width="2.42578125" style="204" customWidth="1"/>
    <col min="6147" max="6147" width="52.42578125" style="204" customWidth="1"/>
    <col min="6148" max="6149" width="0" style="204" hidden="1" customWidth="1"/>
    <col min="6150" max="6153" width="18.5703125" style="204" customWidth="1"/>
    <col min="6154" max="6155" width="2.5703125" style="204" customWidth="1"/>
    <col min="6156" max="6156" width="13.42578125" style="204" bestFit="1" customWidth="1"/>
    <col min="6157" max="6401" width="11.42578125" style="204"/>
    <col min="6402" max="6402" width="2.42578125" style="204" customWidth="1"/>
    <col min="6403" max="6403" width="52.42578125" style="204" customWidth="1"/>
    <col min="6404" max="6405" width="0" style="204" hidden="1" customWidth="1"/>
    <col min="6406" max="6409" width="18.5703125" style="204" customWidth="1"/>
    <col min="6410" max="6411" width="2.5703125" style="204" customWidth="1"/>
    <col min="6412" max="6412" width="13.42578125" style="204" bestFit="1" customWidth="1"/>
    <col min="6413" max="6657" width="11.42578125" style="204"/>
    <col min="6658" max="6658" width="2.42578125" style="204" customWidth="1"/>
    <col min="6659" max="6659" width="52.42578125" style="204" customWidth="1"/>
    <col min="6660" max="6661" width="0" style="204" hidden="1" customWidth="1"/>
    <col min="6662" max="6665" width="18.5703125" style="204" customWidth="1"/>
    <col min="6666" max="6667" width="2.5703125" style="204" customWidth="1"/>
    <col min="6668" max="6668" width="13.42578125" style="204" bestFit="1" customWidth="1"/>
    <col min="6669" max="6913" width="11.42578125" style="204"/>
    <col min="6914" max="6914" width="2.42578125" style="204" customWidth="1"/>
    <col min="6915" max="6915" width="52.42578125" style="204" customWidth="1"/>
    <col min="6916" max="6917" width="0" style="204" hidden="1" customWidth="1"/>
    <col min="6918" max="6921" width="18.5703125" style="204" customWidth="1"/>
    <col min="6922" max="6923" width="2.5703125" style="204" customWidth="1"/>
    <col min="6924" max="6924" width="13.42578125" style="204" bestFit="1" customWidth="1"/>
    <col min="6925" max="7169" width="11.42578125" style="204"/>
    <col min="7170" max="7170" width="2.42578125" style="204" customWidth="1"/>
    <col min="7171" max="7171" width="52.42578125" style="204" customWidth="1"/>
    <col min="7172" max="7173" width="0" style="204" hidden="1" customWidth="1"/>
    <col min="7174" max="7177" width="18.5703125" style="204" customWidth="1"/>
    <col min="7178" max="7179" width="2.5703125" style="204" customWidth="1"/>
    <col min="7180" max="7180" width="13.42578125" style="204" bestFit="1" customWidth="1"/>
    <col min="7181" max="7425" width="11.42578125" style="204"/>
    <col min="7426" max="7426" width="2.42578125" style="204" customWidth="1"/>
    <col min="7427" max="7427" width="52.42578125" style="204" customWidth="1"/>
    <col min="7428" max="7429" width="0" style="204" hidden="1" customWidth="1"/>
    <col min="7430" max="7433" width="18.5703125" style="204" customWidth="1"/>
    <col min="7434" max="7435" width="2.5703125" style="204" customWidth="1"/>
    <col min="7436" max="7436" width="13.42578125" style="204" bestFit="1" customWidth="1"/>
    <col min="7437" max="7681" width="11.42578125" style="204"/>
    <col min="7682" max="7682" width="2.42578125" style="204" customWidth="1"/>
    <col min="7683" max="7683" width="52.42578125" style="204" customWidth="1"/>
    <col min="7684" max="7685" width="0" style="204" hidden="1" customWidth="1"/>
    <col min="7686" max="7689" width="18.5703125" style="204" customWidth="1"/>
    <col min="7690" max="7691" width="2.5703125" style="204" customWidth="1"/>
    <col min="7692" max="7692" width="13.42578125" style="204" bestFit="1" customWidth="1"/>
    <col min="7693" max="7937" width="11.42578125" style="204"/>
    <col min="7938" max="7938" width="2.42578125" style="204" customWidth="1"/>
    <col min="7939" max="7939" width="52.42578125" style="204" customWidth="1"/>
    <col min="7940" max="7941" width="0" style="204" hidden="1" customWidth="1"/>
    <col min="7942" max="7945" width="18.5703125" style="204" customWidth="1"/>
    <col min="7946" max="7947" width="2.5703125" style="204" customWidth="1"/>
    <col min="7948" max="7948" width="13.42578125" style="204" bestFit="1" customWidth="1"/>
    <col min="7949" max="8193" width="11.42578125" style="204"/>
    <col min="8194" max="8194" width="2.42578125" style="204" customWidth="1"/>
    <col min="8195" max="8195" width="52.42578125" style="204" customWidth="1"/>
    <col min="8196" max="8197" width="0" style="204" hidden="1" customWidth="1"/>
    <col min="8198" max="8201" width="18.5703125" style="204" customWidth="1"/>
    <col min="8202" max="8203" width="2.5703125" style="204" customWidth="1"/>
    <col min="8204" max="8204" width="13.42578125" style="204" bestFit="1" customWidth="1"/>
    <col min="8205" max="8449" width="11.42578125" style="204"/>
    <col min="8450" max="8450" width="2.42578125" style="204" customWidth="1"/>
    <col min="8451" max="8451" width="52.42578125" style="204" customWidth="1"/>
    <col min="8452" max="8453" width="0" style="204" hidden="1" customWidth="1"/>
    <col min="8454" max="8457" width="18.5703125" style="204" customWidth="1"/>
    <col min="8458" max="8459" width="2.5703125" style="204" customWidth="1"/>
    <col min="8460" max="8460" width="13.42578125" style="204" bestFit="1" customWidth="1"/>
    <col min="8461" max="8705" width="11.42578125" style="204"/>
    <col min="8706" max="8706" width="2.42578125" style="204" customWidth="1"/>
    <col min="8707" max="8707" width="52.42578125" style="204" customWidth="1"/>
    <col min="8708" max="8709" width="0" style="204" hidden="1" customWidth="1"/>
    <col min="8710" max="8713" width="18.5703125" style="204" customWidth="1"/>
    <col min="8714" max="8715" width="2.5703125" style="204" customWidth="1"/>
    <col min="8716" max="8716" width="13.42578125" style="204" bestFit="1" customWidth="1"/>
    <col min="8717" max="8961" width="11.42578125" style="204"/>
    <col min="8962" max="8962" width="2.42578125" style="204" customWidth="1"/>
    <col min="8963" max="8963" width="52.42578125" style="204" customWidth="1"/>
    <col min="8964" max="8965" width="0" style="204" hidden="1" customWidth="1"/>
    <col min="8966" max="8969" width="18.5703125" style="204" customWidth="1"/>
    <col min="8970" max="8971" width="2.5703125" style="204" customWidth="1"/>
    <col min="8972" max="8972" width="13.42578125" style="204" bestFit="1" customWidth="1"/>
    <col min="8973" max="9217" width="11.42578125" style="204"/>
    <col min="9218" max="9218" width="2.42578125" style="204" customWidth="1"/>
    <col min="9219" max="9219" width="52.42578125" style="204" customWidth="1"/>
    <col min="9220" max="9221" width="0" style="204" hidden="1" customWidth="1"/>
    <col min="9222" max="9225" width="18.5703125" style="204" customWidth="1"/>
    <col min="9226" max="9227" width="2.5703125" style="204" customWidth="1"/>
    <col min="9228" max="9228" width="13.42578125" style="204" bestFit="1" customWidth="1"/>
    <col min="9229" max="9473" width="11.42578125" style="204"/>
    <col min="9474" max="9474" width="2.42578125" style="204" customWidth="1"/>
    <col min="9475" max="9475" width="52.42578125" style="204" customWidth="1"/>
    <col min="9476" max="9477" width="0" style="204" hidden="1" customWidth="1"/>
    <col min="9478" max="9481" width="18.5703125" style="204" customWidth="1"/>
    <col min="9482" max="9483" width="2.5703125" style="204" customWidth="1"/>
    <col min="9484" max="9484" width="13.42578125" style="204" bestFit="1" customWidth="1"/>
    <col min="9485" max="9729" width="11.42578125" style="204"/>
    <col min="9730" max="9730" width="2.42578125" style="204" customWidth="1"/>
    <col min="9731" max="9731" width="52.42578125" style="204" customWidth="1"/>
    <col min="9732" max="9733" width="0" style="204" hidden="1" customWidth="1"/>
    <col min="9734" max="9737" width="18.5703125" style="204" customWidth="1"/>
    <col min="9738" max="9739" width="2.5703125" style="204" customWidth="1"/>
    <col min="9740" max="9740" width="13.42578125" style="204" bestFit="1" customWidth="1"/>
    <col min="9741" max="9985" width="11.42578125" style="204"/>
    <col min="9986" max="9986" width="2.42578125" style="204" customWidth="1"/>
    <col min="9987" max="9987" width="52.42578125" style="204" customWidth="1"/>
    <col min="9988" max="9989" width="0" style="204" hidden="1" customWidth="1"/>
    <col min="9990" max="9993" width="18.5703125" style="204" customWidth="1"/>
    <col min="9994" max="9995" width="2.5703125" style="204" customWidth="1"/>
    <col min="9996" max="9996" width="13.42578125" style="204" bestFit="1" customWidth="1"/>
    <col min="9997" max="10241" width="11.42578125" style="204"/>
    <col min="10242" max="10242" width="2.42578125" style="204" customWidth="1"/>
    <col min="10243" max="10243" width="52.42578125" style="204" customWidth="1"/>
    <col min="10244" max="10245" width="0" style="204" hidden="1" customWidth="1"/>
    <col min="10246" max="10249" width="18.5703125" style="204" customWidth="1"/>
    <col min="10250" max="10251" width="2.5703125" style="204" customWidth="1"/>
    <col min="10252" max="10252" width="13.42578125" style="204" bestFit="1" customWidth="1"/>
    <col min="10253" max="10497" width="11.42578125" style="204"/>
    <col min="10498" max="10498" width="2.42578125" style="204" customWidth="1"/>
    <col min="10499" max="10499" width="52.42578125" style="204" customWidth="1"/>
    <col min="10500" max="10501" width="0" style="204" hidden="1" customWidth="1"/>
    <col min="10502" max="10505" width="18.5703125" style="204" customWidth="1"/>
    <col min="10506" max="10507" width="2.5703125" style="204" customWidth="1"/>
    <col min="10508" max="10508" width="13.42578125" style="204" bestFit="1" customWidth="1"/>
    <col min="10509" max="10753" width="11.42578125" style="204"/>
    <col min="10754" max="10754" width="2.42578125" style="204" customWidth="1"/>
    <col min="10755" max="10755" width="52.42578125" style="204" customWidth="1"/>
    <col min="10756" max="10757" width="0" style="204" hidden="1" customWidth="1"/>
    <col min="10758" max="10761" width="18.5703125" style="204" customWidth="1"/>
    <col min="10762" max="10763" width="2.5703125" style="204" customWidth="1"/>
    <col min="10764" max="10764" width="13.42578125" style="204" bestFit="1" customWidth="1"/>
    <col min="10765" max="11009" width="11.42578125" style="204"/>
    <col min="11010" max="11010" width="2.42578125" style="204" customWidth="1"/>
    <col min="11011" max="11011" width="52.42578125" style="204" customWidth="1"/>
    <col min="11012" max="11013" width="0" style="204" hidden="1" customWidth="1"/>
    <col min="11014" max="11017" width="18.5703125" style="204" customWidth="1"/>
    <col min="11018" max="11019" width="2.5703125" style="204" customWidth="1"/>
    <col min="11020" max="11020" width="13.42578125" style="204" bestFit="1" customWidth="1"/>
    <col min="11021" max="11265" width="11.42578125" style="204"/>
    <col min="11266" max="11266" width="2.42578125" style="204" customWidth="1"/>
    <col min="11267" max="11267" width="52.42578125" style="204" customWidth="1"/>
    <col min="11268" max="11269" width="0" style="204" hidden="1" customWidth="1"/>
    <col min="11270" max="11273" width="18.5703125" style="204" customWidth="1"/>
    <col min="11274" max="11275" width="2.5703125" style="204" customWidth="1"/>
    <col min="11276" max="11276" width="13.42578125" style="204" bestFit="1" customWidth="1"/>
    <col min="11277" max="11521" width="11.42578125" style="204"/>
    <col min="11522" max="11522" width="2.42578125" style="204" customWidth="1"/>
    <col min="11523" max="11523" width="52.42578125" style="204" customWidth="1"/>
    <col min="11524" max="11525" width="0" style="204" hidden="1" customWidth="1"/>
    <col min="11526" max="11529" width="18.5703125" style="204" customWidth="1"/>
    <col min="11530" max="11531" width="2.5703125" style="204" customWidth="1"/>
    <col min="11532" max="11532" width="13.42578125" style="204" bestFit="1" customWidth="1"/>
    <col min="11533" max="11777" width="11.42578125" style="204"/>
    <col min="11778" max="11778" width="2.42578125" style="204" customWidth="1"/>
    <col min="11779" max="11779" width="52.42578125" style="204" customWidth="1"/>
    <col min="11780" max="11781" width="0" style="204" hidden="1" customWidth="1"/>
    <col min="11782" max="11785" width="18.5703125" style="204" customWidth="1"/>
    <col min="11786" max="11787" width="2.5703125" style="204" customWidth="1"/>
    <col min="11788" max="11788" width="13.42578125" style="204" bestFit="1" customWidth="1"/>
    <col min="11789" max="12033" width="11.42578125" style="204"/>
    <col min="12034" max="12034" width="2.42578125" style="204" customWidth="1"/>
    <col min="12035" max="12035" width="52.42578125" style="204" customWidth="1"/>
    <col min="12036" max="12037" width="0" style="204" hidden="1" customWidth="1"/>
    <col min="12038" max="12041" width="18.5703125" style="204" customWidth="1"/>
    <col min="12042" max="12043" width="2.5703125" style="204" customWidth="1"/>
    <col min="12044" max="12044" width="13.42578125" style="204" bestFit="1" customWidth="1"/>
    <col min="12045" max="12289" width="11.42578125" style="204"/>
    <col min="12290" max="12290" width="2.42578125" style="204" customWidth="1"/>
    <col min="12291" max="12291" width="52.42578125" style="204" customWidth="1"/>
    <col min="12292" max="12293" width="0" style="204" hidden="1" customWidth="1"/>
    <col min="12294" max="12297" width="18.5703125" style="204" customWidth="1"/>
    <col min="12298" max="12299" width="2.5703125" style="204" customWidth="1"/>
    <col min="12300" max="12300" width="13.42578125" style="204" bestFit="1" customWidth="1"/>
    <col min="12301" max="12545" width="11.42578125" style="204"/>
    <col min="12546" max="12546" width="2.42578125" style="204" customWidth="1"/>
    <col min="12547" max="12547" width="52.42578125" style="204" customWidth="1"/>
    <col min="12548" max="12549" width="0" style="204" hidden="1" customWidth="1"/>
    <col min="12550" max="12553" width="18.5703125" style="204" customWidth="1"/>
    <col min="12554" max="12555" width="2.5703125" style="204" customWidth="1"/>
    <col min="12556" max="12556" width="13.42578125" style="204" bestFit="1" customWidth="1"/>
    <col min="12557" max="12801" width="11.42578125" style="204"/>
    <col min="12802" max="12802" width="2.42578125" style="204" customWidth="1"/>
    <col min="12803" max="12803" width="52.42578125" style="204" customWidth="1"/>
    <col min="12804" max="12805" width="0" style="204" hidden="1" customWidth="1"/>
    <col min="12806" max="12809" width="18.5703125" style="204" customWidth="1"/>
    <col min="12810" max="12811" width="2.5703125" style="204" customWidth="1"/>
    <col min="12812" max="12812" width="13.42578125" style="204" bestFit="1" customWidth="1"/>
    <col min="12813" max="13057" width="11.42578125" style="204"/>
    <col min="13058" max="13058" width="2.42578125" style="204" customWidth="1"/>
    <col min="13059" max="13059" width="52.42578125" style="204" customWidth="1"/>
    <col min="13060" max="13061" width="0" style="204" hidden="1" customWidth="1"/>
    <col min="13062" max="13065" width="18.5703125" style="204" customWidth="1"/>
    <col min="13066" max="13067" width="2.5703125" style="204" customWidth="1"/>
    <col min="13068" max="13068" width="13.42578125" style="204" bestFit="1" customWidth="1"/>
    <col min="13069" max="13313" width="11.42578125" style="204"/>
    <col min="13314" max="13314" width="2.42578125" style="204" customWidth="1"/>
    <col min="13315" max="13315" width="52.42578125" style="204" customWidth="1"/>
    <col min="13316" max="13317" width="0" style="204" hidden="1" customWidth="1"/>
    <col min="13318" max="13321" width="18.5703125" style="204" customWidth="1"/>
    <col min="13322" max="13323" width="2.5703125" style="204" customWidth="1"/>
    <col min="13324" max="13324" width="13.42578125" style="204" bestFit="1" customWidth="1"/>
    <col min="13325" max="13569" width="11.42578125" style="204"/>
    <col min="13570" max="13570" width="2.42578125" style="204" customWidth="1"/>
    <col min="13571" max="13571" width="52.42578125" style="204" customWidth="1"/>
    <col min="13572" max="13573" width="0" style="204" hidden="1" customWidth="1"/>
    <col min="13574" max="13577" width="18.5703125" style="204" customWidth="1"/>
    <col min="13578" max="13579" width="2.5703125" style="204" customWidth="1"/>
    <col min="13580" max="13580" width="13.42578125" style="204" bestFit="1" customWidth="1"/>
    <col min="13581" max="13825" width="11.42578125" style="204"/>
    <col min="13826" max="13826" width="2.42578125" style="204" customWidth="1"/>
    <col min="13827" max="13827" width="52.42578125" style="204" customWidth="1"/>
    <col min="13828" max="13829" width="0" style="204" hidden="1" customWidth="1"/>
    <col min="13830" max="13833" width="18.5703125" style="204" customWidth="1"/>
    <col min="13834" max="13835" width="2.5703125" style="204" customWidth="1"/>
    <col min="13836" max="13836" width="13.42578125" style="204" bestFit="1" customWidth="1"/>
    <col min="13837" max="14081" width="11.42578125" style="204"/>
    <col min="14082" max="14082" width="2.42578125" style="204" customWidth="1"/>
    <col min="14083" max="14083" width="52.42578125" style="204" customWidth="1"/>
    <col min="14084" max="14085" width="0" style="204" hidden="1" customWidth="1"/>
    <col min="14086" max="14089" width="18.5703125" style="204" customWidth="1"/>
    <col min="14090" max="14091" width="2.5703125" style="204" customWidth="1"/>
    <col min="14092" max="14092" width="13.42578125" style="204" bestFit="1" customWidth="1"/>
    <col min="14093" max="14337" width="11.42578125" style="204"/>
    <col min="14338" max="14338" width="2.42578125" style="204" customWidth="1"/>
    <col min="14339" max="14339" width="52.42578125" style="204" customWidth="1"/>
    <col min="14340" max="14341" width="0" style="204" hidden="1" customWidth="1"/>
    <col min="14342" max="14345" width="18.5703125" style="204" customWidth="1"/>
    <col min="14346" max="14347" width="2.5703125" style="204" customWidth="1"/>
    <col min="14348" max="14348" width="13.42578125" style="204" bestFit="1" customWidth="1"/>
    <col min="14349" max="14593" width="11.42578125" style="204"/>
    <col min="14594" max="14594" width="2.42578125" style="204" customWidth="1"/>
    <col min="14595" max="14595" width="52.42578125" style="204" customWidth="1"/>
    <col min="14596" max="14597" width="0" style="204" hidden="1" customWidth="1"/>
    <col min="14598" max="14601" width="18.5703125" style="204" customWidth="1"/>
    <col min="14602" max="14603" width="2.5703125" style="204" customWidth="1"/>
    <col min="14604" max="14604" width="13.42578125" style="204" bestFit="1" customWidth="1"/>
    <col min="14605" max="14849" width="11.42578125" style="204"/>
    <col min="14850" max="14850" width="2.42578125" style="204" customWidth="1"/>
    <col min="14851" max="14851" width="52.42578125" style="204" customWidth="1"/>
    <col min="14852" max="14853" width="0" style="204" hidden="1" customWidth="1"/>
    <col min="14854" max="14857" width="18.5703125" style="204" customWidth="1"/>
    <col min="14858" max="14859" width="2.5703125" style="204" customWidth="1"/>
    <col min="14860" max="14860" width="13.42578125" style="204" bestFit="1" customWidth="1"/>
    <col min="14861" max="15105" width="11.42578125" style="204"/>
    <col min="15106" max="15106" width="2.42578125" style="204" customWidth="1"/>
    <col min="15107" max="15107" width="52.42578125" style="204" customWidth="1"/>
    <col min="15108" max="15109" width="0" style="204" hidden="1" customWidth="1"/>
    <col min="15110" max="15113" width="18.5703125" style="204" customWidth="1"/>
    <col min="15114" max="15115" width="2.5703125" style="204" customWidth="1"/>
    <col min="15116" max="15116" width="13.42578125" style="204" bestFit="1" customWidth="1"/>
    <col min="15117" max="15361" width="11.42578125" style="204"/>
    <col min="15362" max="15362" width="2.42578125" style="204" customWidth="1"/>
    <col min="15363" max="15363" width="52.42578125" style="204" customWidth="1"/>
    <col min="15364" max="15365" width="0" style="204" hidden="1" customWidth="1"/>
    <col min="15366" max="15369" width="18.5703125" style="204" customWidth="1"/>
    <col min="15370" max="15371" width="2.5703125" style="204" customWidth="1"/>
    <col min="15372" max="15372" width="13.42578125" style="204" bestFit="1" customWidth="1"/>
    <col min="15373" max="15617" width="11.42578125" style="204"/>
    <col min="15618" max="15618" width="2.42578125" style="204" customWidth="1"/>
    <col min="15619" max="15619" width="52.42578125" style="204" customWidth="1"/>
    <col min="15620" max="15621" width="0" style="204" hidden="1" customWidth="1"/>
    <col min="15622" max="15625" width="18.5703125" style="204" customWidth="1"/>
    <col min="15626" max="15627" width="2.5703125" style="204" customWidth="1"/>
    <col min="15628" max="15628" width="13.42578125" style="204" bestFit="1" customWidth="1"/>
    <col min="15629" max="15873" width="11.42578125" style="204"/>
    <col min="15874" max="15874" width="2.42578125" style="204" customWidth="1"/>
    <col min="15875" max="15875" width="52.42578125" style="204" customWidth="1"/>
    <col min="15876" max="15877" width="0" style="204" hidden="1" customWidth="1"/>
    <col min="15878" max="15881" width="18.5703125" style="204" customWidth="1"/>
    <col min="15882" max="15883" width="2.5703125" style="204" customWidth="1"/>
    <col min="15884" max="15884" width="13.42578125" style="204" bestFit="1" customWidth="1"/>
    <col min="15885" max="16129" width="11.42578125" style="204"/>
    <col min="16130" max="16130" width="2.42578125" style="204" customWidth="1"/>
    <col min="16131" max="16131" width="52.42578125" style="204" customWidth="1"/>
    <col min="16132" max="16133" width="0" style="204" hidden="1" customWidth="1"/>
    <col min="16134" max="16137" width="18.5703125" style="204" customWidth="1"/>
    <col min="16138" max="16139" width="2.5703125" style="204" customWidth="1"/>
    <col min="16140" max="16140" width="13.42578125" style="204" bestFit="1" customWidth="1"/>
    <col min="16141" max="16384" width="11.42578125" style="204"/>
  </cols>
  <sheetData>
    <row r="1" spans="1:17" ht="18">
      <c r="A1" s="3332" t="s">
        <v>259</v>
      </c>
      <c r="B1" s="3332"/>
      <c r="C1" s="3332"/>
      <c r="D1" s="3332"/>
      <c r="E1" s="3332"/>
      <c r="F1" s="3332"/>
      <c r="G1" s="3332"/>
      <c r="H1" s="541"/>
      <c r="I1" s="604"/>
      <c r="J1" s="541"/>
      <c r="K1" s="202"/>
      <c r="L1" s="203"/>
    </row>
    <row r="2" spans="1:17" ht="12" thickBot="1">
      <c r="A2" s="205"/>
      <c r="B2" s="205"/>
      <c r="C2" s="205"/>
      <c r="D2" s="205"/>
      <c r="E2" s="206"/>
      <c r="F2" s="202"/>
      <c r="G2" s="202"/>
      <c r="H2" s="202"/>
      <c r="I2" s="202"/>
      <c r="J2" s="202"/>
      <c r="K2" s="202"/>
      <c r="L2" s="203"/>
    </row>
    <row r="3" spans="1:17" ht="31.5" customHeight="1">
      <c r="A3" s="207"/>
      <c r="B3" s="243" t="s">
        <v>261</v>
      </c>
      <c r="C3" s="3337" t="e">
        <f>#REF!</f>
        <v>#REF!</v>
      </c>
      <c r="D3" s="3337"/>
      <c r="E3" s="3337"/>
      <c r="F3" s="3337"/>
      <c r="G3" s="3337"/>
      <c r="H3" s="3338"/>
      <c r="I3" s="607"/>
      <c r="J3" s="202"/>
      <c r="K3" s="202"/>
      <c r="L3" s="208"/>
    </row>
    <row r="4" spans="1:17">
      <c r="A4" s="207"/>
      <c r="B4" s="244" t="s">
        <v>262</v>
      </c>
      <c r="C4" s="245" t="str">
        <f>[47]VALORIZACION!P5</f>
        <v>PACHACONAS</v>
      </c>
      <c r="D4" s="246"/>
      <c r="E4" s="247" t="s">
        <v>1798</v>
      </c>
      <c r="F4" s="248"/>
      <c r="G4" s="248"/>
      <c r="H4" s="548"/>
      <c r="I4" s="548"/>
      <c r="J4" s="202"/>
      <c r="K4" s="202"/>
      <c r="L4" s="208"/>
    </row>
    <row r="5" spans="1:17" ht="12" thickBot="1">
      <c r="A5" s="207"/>
      <c r="B5" s="249" t="s">
        <v>263</v>
      </c>
      <c r="C5" s="250" t="str">
        <f>[47]VALORIZACION!D7</f>
        <v>ADMINISTRACION DIRECTA</v>
      </c>
      <c r="D5" s="251"/>
      <c r="E5" s="252" t="str">
        <f>[47]VALORIZACION!D7</f>
        <v>ADMINISTRACION DIRECTA</v>
      </c>
      <c r="F5" s="253"/>
      <c r="G5" s="253"/>
      <c r="H5" s="549"/>
      <c r="I5" s="549"/>
      <c r="J5" s="202"/>
      <c r="K5" s="202"/>
      <c r="L5" s="208"/>
    </row>
    <row r="6" spans="1:17" ht="12" thickBot="1">
      <c r="A6" s="209"/>
      <c r="B6" s="205"/>
      <c r="C6" s="205"/>
      <c r="D6" s="205"/>
      <c r="E6" s="202"/>
      <c r="F6" s="202"/>
      <c r="G6" s="202"/>
      <c r="H6" s="202"/>
      <c r="I6" s="202"/>
      <c r="J6" s="205"/>
      <c r="K6" s="202"/>
      <c r="L6" s="203"/>
    </row>
    <row r="7" spans="1:17" s="555" customFormat="1" ht="15.75">
      <c r="A7" s="550"/>
      <c r="B7" s="3333" t="s">
        <v>260</v>
      </c>
      <c r="C7" s="551"/>
      <c r="D7" s="3335" t="s">
        <v>251</v>
      </c>
      <c r="E7" s="3330" t="s">
        <v>1797</v>
      </c>
      <c r="F7" s="3330" t="s">
        <v>448</v>
      </c>
      <c r="G7" s="3330" t="s">
        <v>447</v>
      </c>
      <c r="H7" s="3330" t="s">
        <v>528</v>
      </c>
      <c r="I7" s="3330" t="s">
        <v>530</v>
      </c>
      <c r="J7" s="552"/>
      <c r="K7" s="553"/>
      <c r="L7" s="554"/>
    </row>
    <row r="8" spans="1:17" s="555" customFormat="1" ht="15.75" customHeight="1" thickBot="1">
      <c r="A8" s="556"/>
      <c r="B8" s="3334"/>
      <c r="C8" s="557"/>
      <c r="D8" s="3336"/>
      <c r="E8" s="3331"/>
      <c r="F8" s="3331"/>
      <c r="G8" s="3331"/>
      <c r="H8" s="3331"/>
      <c r="I8" s="3331"/>
      <c r="J8" s="558"/>
      <c r="K8" s="559"/>
      <c r="L8" s="554"/>
    </row>
    <row r="9" spans="1:17">
      <c r="A9" s="215"/>
      <c r="B9" s="254" t="str">
        <f>[47]VALORIZACION!B14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2.75">
      <c r="A11" s="212"/>
      <c r="B11" s="217" t="str">
        <f>[47]VALORIZACION!B15</f>
        <v xml:space="preserve">  MOVILIZACIÓN Y DESMOVILIZACIÓN DE MAQUINARIA, EQUIPO Y H.</v>
      </c>
      <c r="C11" s="223"/>
      <c r="D11" s="259">
        <f>[47]VALORIZACION!J15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2.75">
      <c r="A13" s="212"/>
      <c r="B13" s="217" t="str">
        <f>[47]VALORIZACION!B16</f>
        <v xml:space="preserve"> ACCESO A CANTERAS, DME Y FUENTES DE AGUA</v>
      </c>
      <c r="C13" s="223"/>
      <c r="D13" s="259">
        <f>[47]VALORIZACION!J16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2.75">
      <c r="A15" s="215"/>
      <c r="B15" s="228" t="str">
        <f>[47]VALORIZACION!B17</f>
        <v xml:space="preserve">            CONSTRUCCIÓN PLATAFORMA DE VIA.</v>
      </c>
      <c r="C15" s="261"/>
      <c r="D15" s="259"/>
      <c r="E15" s="223"/>
      <c r="F15" s="223"/>
      <c r="G15" s="224"/>
      <c r="H15" s="224"/>
      <c r="I15" s="224"/>
      <c r="J15" s="205"/>
      <c r="K15" s="225"/>
      <c r="L15" s="222"/>
      <c r="M15" s="226"/>
      <c r="N15" s="226"/>
      <c r="O15" s="226"/>
      <c r="Q15" s="227"/>
    </row>
    <row r="16" spans="1:17" ht="12.75">
      <c r="A16" s="215"/>
      <c r="B16" s="229" t="str">
        <f>[47]VALORIZACION!B18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2.75">
      <c r="A18" s="212"/>
      <c r="B18" s="217" t="str">
        <f>[47]VALORIZACION!B19</f>
        <v>TOPOGRAFÍA Y GEOREFERENCIACIÓN</v>
      </c>
      <c r="C18" s="223"/>
      <c r="D18" s="259">
        <f>[47]VALORIZACION!L19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2.75">
      <c r="A19" s="215"/>
      <c r="B19" s="229" t="str">
        <f>[47]VALORIZACION!B20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2.75">
      <c r="A21" s="212"/>
      <c r="B21" s="217" t="str">
        <f>[47]VALORIZACION!B21</f>
        <v xml:space="preserve"> CORTE DE MATERIAL SUELTO</v>
      </c>
      <c r="C21" s="223"/>
      <c r="D21" s="259">
        <f>[47]VALORIZACION!L21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2.75">
      <c r="A23" s="212"/>
      <c r="B23" s="217" t="str">
        <f>[47]VALORIZACION!B22</f>
        <v xml:space="preserve"> EXCAVACIÓN EN EXPLANACIONES EN ROCA FIJA</v>
      </c>
      <c r="C23" s="223"/>
      <c r="D23" s="259">
        <f>[47]VALORIZACION!L22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2.75">
      <c r="A25" s="212"/>
      <c r="B25" s="217" t="str">
        <f>[47]VALORIZACION!B23</f>
        <v>EXCAVACIÓN EN EXPLANACIONES EN ROCA SUELTA</v>
      </c>
      <c r="C25" s="223">
        <f>[47]VALORIZACION!D23</f>
        <v>27759.46</v>
      </c>
      <c r="D25" s="259">
        <f>+[47]RESUMEN!G20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2.75">
      <c r="A27" s="212"/>
      <c r="B27" s="217" t="str">
        <f>[47]VALORIZACION!B24</f>
        <v>CONFORMACION DE TERRAPLENES</v>
      </c>
      <c r="C27" s="223">
        <f>[47]VALORIZACION!F24</f>
        <v>3112.5636</v>
      </c>
      <c r="D27" s="259">
        <f>+[47]RESUMEN!G22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2.75">
      <c r="A29" s="212"/>
      <c r="B29" s="231" t="str">
        <f>[47]VALORIZACION!B25</f>
        <v>PERFILADO Y COMPACTADO EN ZONA DE CORTE</v>
      </c>
      <c r="C29" s="223">
        <f>[47]VALORIZACION!F25</f>
        <v>79753.399999999994</v>
      </c>
      <c r="D29" s="259">
        <f>+[47]RESUMEN!G24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2.75">
      <c r="A31" s="215"/>
      <c r="B31" s="229" t="str">
        <f>[47]VALORIZACION!B26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2.75">
      <c r="A33" s="212"/>
      <c r="B33" s="217" t="str">
        <f>[47]VALORIZACION!B27</f>
        <v>TRANSPORTE DE ELIMINACIÓN DE MATERIAL A DME D&lt;=1 km</v>
      </c>
      <c r="C33" s="223"/>
      <c r="D33" s="259">
        <f>+[47]RESUMEN!G26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2.75">
      <c r="A35" s="212"/>
      <c r="B35" s="217" t="str">
        <f>[47]VALORIZACION!B28</f>
        <v xml:space="preserve"> TRANSPORTE DE ELIMINACIÓN DE MATERIAL A DME &gt;1 km</v>
      </c>
      <c r="C35" s="223"/>
      <c r="D35" s="259">
        <f>+[47]RESUMEN!G28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2.75">
      <c r="A37" s="215"/>
      <c r="B37" s="228" t="str">
        <f>[47]VALORIZACION!B29</f>
        <v xml:space="preserve">            OBRAS DE ARTE Y DRENAJE.</v>
      </c>
      <c r="C37" s="223"/>
      <c r="D37" s="259"/>
      <c r="E37" s="223"/>
      <c r="F37" s="223"/>
      <c r="G37" s="224"/>
      <c r="H37" s="224"/>
      <c r="I37" s="224"/>
      <c r="J37" s="205"/>
      <c r="K37" s="225"/>
      <c r="L37" s="222"/>
      <c r="M37" s="226"/>
      <c r="N37" s="226"/>
      <c r="O37" s="226"/>
      <c r="Q37" s="226"/>
    </row>
    <row r="38" spans="1:17" ht="12.75">
      <c r="A38" s="215"/>
      <c r="B38" s="229" t="str">
        <f>[47]VALORIZACION!B30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2.75">
      <c r="A40" s="212"/>
      <c r="B40" s="217" t="str">
        <f>[47]VALORIZACION!B31</f>
        <v>TRAZO, REPLANTEO Y CONTROL TOPOGRAFICO</v>
      </c>
      <c r="C40" s="223"/>
      <c r="D40" s="259">
        <f>+[47]RESUMEN!G30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2.75">
      <c r="A42" s="212"/>
      <c r="B42" s="217" t="str">
        <f>[47]VALORIZACION!B32</f>
        <v>EXCAVACIÓN NO CLASIFICADA PARA ESTRUCTURAS</v>
      </c>
      <c r="C42" s="223"/>
      <c r="D42" s="259">
        <f>+[47]RESUMEN!G12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2.75">
      <c r="A44" s="212"/>
      <c r="B44" s="217" t="str">
        <f>[47]VALORIZACION!B33</f>
        <v>CONCRETO CICLOPEO f'c=175 kg/cm2 + 30% PM</v>
      </c>
      <c r="C44" s="223"/>
      <c r="D44" s="259">
        <f>+[47]RESUMEN!G14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2.75">
      <c r="A46" s="212"/>
      <c r="B46" s="217" t="str">
        <f>[47]VALORIZACION!B34</f>
        <v>ACERO DE REFUERZO GRADO 60</v>
      </c>
      <c r="C46" s="223"/>
      <c r="D46" s="259">
        <f>+[47]RESUMEN!G16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2.75">
      <c r="A48" s="212"/>
      <c r="B48" s="217" t="str">
        <f>[47]VALORIZACION!B35</f>
        <v xml:space="preserve"> ENCOFRADO Y DESENCOFRADO PARA OBRAS DE ARTE</v>
      </c>
      <c r="C48" s="223"/>
      <c r="D48" s="259">
        <f>+[47]RESUMEN!G18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2.75">
      <c r="A50" s="212"/>
      <c r="B50" s="217" t="str">
        <f>[47]VALORIZACION!B36</f>
        <v xml:space="preserve"> CONCRETO f'c=210 kg/cm2</v>
      </c>
      <c r="C50" s="223"/>
      <c r="D50" s="259">
        <f>+[47]RESUMEN!G20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2.75">
      <c r="A52" s="212"/>
      <c r="B52" s="217" t="str">
        <f>[47]VALORIZACION!B37</f>
        <v>CONCRETO f'c=175 kg/cm2</v>
      </c>
      <c r="C52" s="223"/>
      <c r="D52" s="259">
        <f>+[47]RESUMEN!G22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2.75">
      <c r="A54" s="212"/>
      <c r="B54" s="217" t="str">
        <f>[47]VALORIZACION!B38</f>
        <v xml:space="preserve"> RELLENO PARA ESTRUCTURAS CON MATERIAL PROPIO</v>
      </c>
      <c r="C54" s="223"/>
      <c r="D54" s="259">
        <f>+[47]RESUMEN!G24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2.75">
      <c r="A56" s="215"/>
      <c r="B56" s="229" t="str">
        <f>[47]VALORIZACION!B39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2.75">
      <c r="A58" s="212"/>
      <c r="B58" s="217" t="str">
        <f>[47]VALORIZACION!B40</f>
        <v>TRAZO, REPLANTEO Y CONTROL TOPOGRAFICO</v>
      </c>
      <c r="C58" s="223"/>
      <c r="D58" s="259">
        <f>+[47]RESUMEN!G26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2.75">
      <c r="A60" s="212"/>
      <c r="B60" s="217" t="str">
        <f>[47]VALORIZACION!B41</f>
        <v xml:space="preserve"> EXCAVACIÓN NO CLASIFICADA PARA ESTRUCTURAS</v>
      </c>
      <c r="C60" s="223"/>
      <c r="D60" s="259">
        <f>+[47]RESUMEN!G28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2.75">
      <c r="A62" s="212"/>
      <c r="B62" s="217" t="str">
        <f>[47]VALORIZACION!B42</f>
        <v>ENCOFRADO Y DESENCOFRADO PARA OBRAS DE ARTE</v>
      </c>
      <c r="C62" s="223"/>
      <c r="D62" s="259">
        <f>+[47]RESUMEN!G30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2.75">
      <c r="A64" s="212"/>
      <c r="B64" s="217" t="str">
        <f>[47]VALORIZACION!B43</f>
        <v xml:space="preserve"> CONCRETO CICLOPEO f'c=175 kg/cm2 + 30% PM</v>
      </c>
      <c r="C64" s="223"/>
      <c r="D64" s="259">
        <f>+[47]RESUMEN!G32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2.75">
      <c r="A66" s="212"/>
      <c r="B66" s="217" t="str">
        <f>[47]VALORIZACION!B44</f>
        <v xml:space="preserve"> TUBERIA DE PVC 2" PARA DRENAJE</v>
      </c>
      <c r="C66" s="223"/>
      <c r="D66" s="259">
        <f>+[47]RESUMEN!G34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2.75">
      <c r="A68" s="212"/>
      <c r="B68" s="217" t="str">
        <f>[47]VALORIZACION!B45</f>
        <v>TUBERIA DE PVC 4" PARA DRENAJE</v>
      </c>
      <c r="C68" s="223"/>
      <c r="D68" s="259">
        <f>+[47]RESUMEN!G37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2.75">
      <c r="A70" s="212"/>
      <c r="B70" s="217" t="str">
        <f>[47]VALORIZACION!B46</f>
        <v xml:space="preserve"> JUNTAS DE DILATACIÓN CON TECKNOPORT EN MUROS DE C.</v>
      </c>
      <c r="C70" s="223"/>
      <c r="D70" s="259">
        <f>+[47]RESUMEN!G39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2.75">
      <c r="A72" s="212"/>
      <c r="B72" s="217" t="str">
        <f>[47]VALORIZACION!B47</f>
        <v xml:space="preserve"> RELLENO PARA ESTRUCTURAS CON MATERIAL PROPIO</v>
      </c>
      <c r="C72" s="223"/>
      <c r="D72" s="259">
        <f>+[47]RESUMEN!G41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2.75">
      <c r="A74" s="215"/>
      <c r="B74" s="229" t="str">
        <f>[47]VALORIZACION!B48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2.75">
      <c r="A76" s="212"/>
      <c r="B76" s="217" t="str">
        <f>[47]VALORIZACION!B49</f>
        <v xml:space="preserve"> CONFORMACIÓN Y PERFILADO DE CUNETAS (MATERIAL SUELTO)</v>
      </c>
      <c r="C76" s="223"/>
      <c r="D76" s="259">
        <f>+[47]RESUMEN!G43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2.75">
      <c r="A78" s="212"/>
      <c r="B78" s="217" t="str">
        <f>[47]VALORIZACION!B50</f>
        <v xml:space="preserve"> CONFORMACIÓN Y PERFILADO DE CUNETAS (ROCA SUELTA)</v>
      </c>
      <c r="C78" s="223"/>
      <c r="D78" s="259">
        <f>+[47]RESUMEN!G45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2.75">
      <c r="A80" s="212"/>
      <c r="B80" s="217" t="str">
        <f>[47]VALORIZACION!B51</f>
        <v>CONFORMACIÓN Y PERFILADO DE CUNETAS (ROCA FIJA)</v>
      </c>
      <c r="C80" s="223"/>
      <c r="D80" s="259">
        <f>+[47]RESUMEN!G47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[47]VALORIZACION!B52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[47]VALORIZACION!B53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[47]VALORIZACION!B54</f>
        <v xml:space="preserve"> LIMPIEZA MANUAL DE TERRENO</v>
      </c>
      <c r="C86" s="223"/>
      <c r="D86" s="259">
        <f>+[47]RESUMEN!G49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[47]VALORIZACION!B55</f>
        <v>TRAZO, REPLANTEO Y CONTROL TOPOGRAFICO</v>
      </c>
      <c r="C88" s="223"/>
      <c r="D88" s="259">
        <f>+[47]RESUMEN!G51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[47]VALORIZACION!B56</f>
        <v>FLETE TERRESTRE DE MATERIALES A OBRA (PUENTE)</v>
      </c>
      <c r="C90" s="223"/>
      <c r="D90" s="259">
        <f>+[47]RESUMEN!G53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[47]VALORIZACION!B57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[47]VALORIZACION!B58</f>
        <v xml:space="preserve"> EXCAVACIONES.</v>
      </c>
      <c r="C94" s="223"/>
      <c r="D94" s="259">
        <f>+[47]RESUMEN!G55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[47]VALORIZACION!B59</f>
        <v xml:space="preserve"> EXCAVACIÓN EN SECO CON MAQUINARIA</v>
      </c>
      <c r="C96" s="223"/>
      <c r="D96" s="259">
        <f>+[47]RESUMEN!G57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[47]VALORIZACION!B60</f>
        <v>EXCAVACIÓN BAJO AGUA CON MAQUINARIA</v>
      </c>
      <c r="C98" s="223"/>
      <c r="D98" s="259">
        <f>+[47]RESUMEN!G59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[47]VALORIZACION!B61</f>
        <v xml:space="preserve"> EXCAVACIÓN BAJO AGUA MANUAL</v>
      </c>
      <c r="C100" s="223"/>
      <c r="D100" s="259">
        <f>+[47]RESUMEN!G61</f>
        <v>0</v>
      </c>
      <c r="E100" s="223"/>
      <c r="F100" s="223"/>
      <c r="G100" s="224"/>
      <c r="H100" s="224"/>
      <c r="I100" s="224"/>
      <c r="J100" s="205"/>
      <c r="K100" s="225"/>
      <c r="L100" s="222"/>
      <c r="M100" s="226"/>
      <c r="N100" s="226"/>
      <c r="O100" s="226"/>
      <c r="Q100" s="226"/>
    </row>
    <row r="101" spans="1:17" ht="12.75" hidden="1" customHeight="1">
      <c r="A101" s="215"/>
      <c r="B101" s="232" t="str">
        <f>[47]VALORIZACION!B62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[47]VALORIZACION!B63</f>
        <v xml:space="preserve"> RELLENO PARA ESTRUCTURAS CON MATERIAL PROPIO</v>
      </c>
      <c r="C103" s="223"/>
      <c r="D103" s="259">
        <f>+[47]RESUMEN!G61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[47]VALORIZACION!B64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[47]VALORIZACION!B65</f>
        <v>TRANSPORTE DE ELIMINACIÓN DE MATERIAL A DME D&lt;=1 km</v>
      </c>
      <c r="C106" s="223"/>
      <c r="D106" s="259">
        <f>+[47]RESUMEN!G63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[47]VALORIZACION!B66</f>
        <v xml:space="preserve">                ENCOFRADO Y DESENCOFRADO.</v>
      </c>
      <c r="C108" s="223"/>
      <c r="D108" s="259">
        <f>+[47]RESUMEN!G65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[47]VALORIZACION!B67</f>
        <v xml:space="preserve"> ENCOFRADO Y DESENCOFRADO DE SUB ESTRUCTURA.</v>
      </c>
      <c r="C110" s="223"/>
      <c r="D110" s="259">
        <f>+[47]RESUMEN!G67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[47]VALORIZACION!B68</f>
        <v xml:space="preserve"> ENCOFRADO Y DESENCOFRADO NORMAL BAJO AGUA</v>
      </c>
      <c r="C112" s="223"/>
      <c r="D112" s="259">
        <f>+[47]RESUMEN!G69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[47]VALORIZACION!B69</f>
        <v xml:space="preserve"> ENCOFRADO Y DESENCOFRADO NORMAL DE ESTRIBOS</v>
      </c>
      <c r="C114" s="223"/>
      <c r="D114" s="259">
        <f>+[47]RESUMEN!G71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[47]VALORIZACION!B70</f>
        <v xml:space="preserve">  ENCOFRADO Y DESENCOFRADO CARAVISTA EN ESTRIBOS</v>
      </c>
      <c r="C116" s="223"/>
      <c r="D116" s="259">
        <f>+[47]RESUMEN!G73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[47]VALORIZACION!B71</f>
        <v>ENCOFRADO Y DESENCOFRADO DE SUPER ESTRUCTURA.</v>
      </c>
      <c r="C118" s="223"/>
      <c r="D118" s="259">
        <f>+[47]RESUMEN!G75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[47]VALORIZACION!B72</f>
        <v xml:space="preserve"> ENCOFRADO Y DESENCOFRADO CARAVISTA DE TABLERO</v>
      </c>
      <c r="C120" s="223"/>
      <c r="D120" s="259">
        <f>+[47]RESUMEN!G77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[47]VALORIZACION!B73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[47]VALORIZACION!B74</f>
        <v>CONCRETO CICLOPEO f'c=140 kg/cm2 + 30% PM</v>
      </c>
      <c r="C124" s="223"/>
      <c r="D124" s="259">
        <f>+[47]RESUMEN!G79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[47]VALORIZACION!B75</f>
        <v xml:space="preserve"> CONCRETO CICLOPEO f'c=175 kg/cm2 + 30% PG</v>
      </c>
      <c r="C126" s="223"/>
      <c r="D126" s="259">
        <f>+[47]RESUMEN!G81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[47]VALORIZACION!B76</f>
        <v xml:space="preserve">                    CONCRETO f'c=210 kg/cm2</v>
      </c>
      <c r="C128" s="223"/>
      <c r="D128" s="259">
        <f>+[47]RESUMEN!G83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[47]VALORIZACION!B77</f>
        <v xml:space="preserve">                    CONCRETO f'c=280 kg/cm2</v>
      </c>
      <c r="C130" s="223"/>
      <c r="D130" s="259">
        <f>+[47]RESUMEN!G85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[47]VALORIZACION!B78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[47]VALORIZACION!B79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[47]VALORIZACION!B80</f>
        <v xml:space="preserve">                        CONCRETO f'c=210 kg/cm2</v>
      </c>
      <c r="C135" s="223"/>
      <c r="D135" s="259">
        <f>+[47]RESUMEN!G87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[47]VALORIZACION!B81</f>
        <v xml:space="preserve">                        CONCRETO f'c=280 kg/cm2</v>
      </c>
      <c r="C137" s="223"/>
      <c r="D137" s="259">
        <f>+[47]RESUMEN!G89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[47]VALORIZACION!B82</f>
        <v xml:space="preserve">                        CURADO DE CONCRETO</v>
      </c>
      <c r="C139" s="223"/>
      <c r="D139" s="259">
        <f>+[47]RESUMEN!G91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[47]VALORIZACION!B83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[47]VALORIZACION!B84</f>
        <v xml:space="preserve"> ACERO DE REFUERZO GRADO 60 EN CIMENTACIÓN</v>
      </c>
      <c r="C142" s="223"/>
      <c r="D142" s="259">
        <f>+[47]RESUMEN!G94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[47]VALORIZACION!B85</f>
        <v xml:space="preserve"> ACERO DE REFUERZO GRADO 60 EN ESTRIBOS</v>
      </c>
      <c r="C144" s="223"/>
      <c r="D144" s="259">
        <f>+[47]RESUMEN!G96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[47]VALORIZACION!B86</f>
        <v>ACERO DE REFUERZO GRADO 60 EN LOSA DE TABLERO</v>
      </c>
      <c r="C146" s="223"/>
      <c r="D146" s="259">
        <f>+[47]RESUMEN!G98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[47]VALORIZACION!B87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[47]VALORIZACION!B88</f>
        <v xml:space="preserve"> FABRICACIÓN DE ESTRUCTURA METÁLICA (ACERO A-709)</v>
      </c>
      <c r="C149" s="223"/>
      <c r="D149" s="259">
        <f>+[47]RESUMEN!G100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[47]VALORIZACION!B89</f>
        <v>PINTURA DE ESTRUCTURAS METÁLICAS</v>
      </c>
      <c r="C151" s="223"/>
      <c r="D151" s="259">
        <f>+[47]RESUMEN!G102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[47]VALORIZACION!B90</f>
        <v xml:space="preserve"> TRANSPORTE DE ESTRUCTURA METÁLICA A OBRA</v>
      </c>
      <c r="C153" s="223"/>
      <c r="D153" s="259">
        <f>+[47]RESUMEN!G104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[47]VALORIZACION!B91</f>
        <v xml:space="preserve"> MONTAJE Y LANZAMIENTO DE ESTRUCTURA METÁLICA</v>
      </c>
      <c r="C155" s="223"/>
      <c r="D155" s="259">
        <f>+[47]RESUMEN!G106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[47]VALORIZACION!B92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[47]VALORIZACION!B93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[47]VALORIZACION!B94</f>
        <v xml:space="preserve"> TUBERIA DE PVC 3" PARA DRENAJE</v>
      </c>
      <c r="C159" s="223"/>
      <c r="D159" s="259">
        <f>+[47]RESUMEN!G108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[47]VALORIZACION!B95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[47]VALORIZACION!B96</f>
        <v>BARANDA METÁLICA, INC. PINTURA (SEGUN DISEÑO)</v>
      </c>
      <c r="C162" s="223"/>
      <c r="D162" s="259">
        <f>+[47]RESUMEN!G110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[47]VALORIZACION!B97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[47]VALORIZACION!B98</f>
        <v xml:space="preserve"> PINTURA EN SARDINELES</v>
      </c>
      <c r="C165" s="223"/>
      <c r="D165" s="259">
        <f>+[47]RESUMEN!G112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[47]VALORIZACION!B99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[47]VALORIZACION!B100</f>
        <v xml:space="preserve"> APOYO DE NEOPRENO FIJO</v>
      </c>
      <c r="C168" s="223"/>
      <c r="D168" s="259">
        <f>+[47]RESUMEN!G114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[47]VALORIZACION!B101</f>
        <v xml:space="preserve"> APOYO DE NEOPRENO MOVIL</v>
      </c>
      <c r="C170" s="223"/>
      <c r="D170" s="259">
        <f>+[47]RESUMEN!G116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[47]VALORIZACION!B102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[47]VALORIZACION!B103</f>
        <v>FABRICACIÓN DE ESTRUCTURA METÁLICA (UÑA)</v>
      </c>
      <c r="C173" s="223"/>
      <c r="D173" s="259">
        <f>+[47]RESUMEN!G118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[47]VALORIZACION!B104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[47]VALORIZACION!B105</f>
        <v xml:space="preserve"> DOWELLS DE ANCLAJE D=1"</v>
      </c>
      <c r="C176" s="223"/>
      <c r="D176" s="259">
        <f>+[47]RESUMEN!G120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[47]VALORIZACION!B106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[47]VALORIZACION!B107</f>
        <v xml:space="preserve"> ACERO DE REFUERZO GRADO 60</v>
      </c>
      <c r="C179" s="223"/>
      <c r="D179" s="259">
        <f>+[47]RESUMEN!G122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[47]VALORIZACION!B108</f>
        <v>ENCOFRADO Y DESENCOFRADO PARA OBRAS DE ARTE</v>
      </c>
      <c r="C181" s="223"/>
      <c r="D181" s="259">
        <f>+[47]RESUMEN!G124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[47]VALORIZACION!B109</f>
        <v xml:space="preserve"> CONCRETO f'c=210 kg/cm2</v>
      </c>
      <c r="C183" s="223"/>
      <c r="D183" s="259">
        <f>+[47]RESUMEN!G126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[47]VALORIZACION!B110</f>
        <v>CURADO DE CONCRETO</v>
      </c>
      <c r="C185" s="223"/>
      <c r="D185" s="259">
        <f>+[47]RESUMEN!G128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2.75">
      <c r="A186" s="215"/>
      <c r="B186" s="228" t="str">
        <f>[47]VALORIZACION!B111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2.75">
      <c r="A188" s="212"/>
      <c r="B188" s="217" t="str">
        <f>[47]VALORIZACION!B112</f>
        <v>DISEÑO DE MEZCLA (CONCRETO)</v>
      </c>
      <c r="C188" s="223"/>
      <c r="D188" s="259">
        <f>+[47]RESUMEN!G130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2.75">
      <c r="A190" s="212"/>
      <c r="B190" s="217" t="str">
        <f>[47]VALORIZACION!B113</f>
        <v xml:space="preserve"> TESTIGOS DE CONCRETO (BRIQUETAS) Y SLUMP TEST</v>
      </c>
      <c r="C190" s="223"/>
      <c r="D190" s="259">
        <f>+[47]RESUMEN!G132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2.75">
      <c r="A192" s="212"/>
      <c r="B192" s="217" t="str">
        <f>[47]VALORIZACION!B114</f>
        <v>PRUEBA DE CALIDAD DEL CONCRETO (PRUEBA A LA COMPRESION)</v>
      </c>
      <c r="C192" s="223"/>
      <c r="D192" s="259">
        <f>+[47]RESUMEN!G134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2.75">
      <c r="A194" s="212"/>
      <c r="B194" s="217" t="str">
        <f>[47]VALORIZACION!B115</f>
        <v xml:space="preserve"> PROCTOR DE CAMPO (COMPACTACIÓN)</v>
      </c>
      <c r="C194" s="223"/>
      <c r="D194" s="259">
        <f>+[47]RESUMEN!G36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2.75">
      <c r="A196" s="212"/>
      <c r="B196" s="217" t="str">
        <f>[47]VALORIZACION!B116</f>
        <v>DENSIDAD DE CAMPO</v>
      </c>
      <c r="C196" s="223"/>
      <c r="D196" s="259">
        <f>+[47]RESUMEN!G38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2.75">
      <c r="A198" s="212"/>
      <c r="B198" s="217" t="str">
        <f>[47]VALORIZACION!B117</f>
        <v xml:space="preserve"> PRUEBA DE CARGA DE SUPERESTRUCTURA (PUENTE)</v>
      </c>
      <c r="C198" s="223"/>
      <c r="D198" s="259">
        <f>+[47]RESUMEN!G40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2.75">
      <c r="A200" s="212"/>
      <c r="B200" s="217" t="str">
        <f>[47]VALORIZACION!B118</f>
        <v>PLACA RECORDATORIA DE BRONCE</v>
      </c>
      <c r="C200" s="223"/>
      <c r="D200" s="259">
        <f>+[47]RESUMEN!G42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2.75">
      <c r="A202" s="215"/>
      <c r="B202" s="228" t="str">
        <f>[47]VALORIZACION!B119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2.75">
      <c r="A204" s="212"/>
      <c r="B204" s="217" t="str">
        <f>[47]VALORIZACION!B120</f>
        <v xml:space="preserve">                SEÑAL PREVENTIVA (0.60x0.60 m)</v>
      </c>
      <c r="C204" s="223"/>
      <c r="D204" s="259">
        <f>+[47]RESUMEN!G44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2.75">
      <c r="A206" s="212"/>
      <c r="B206" s="217" t="str">
        <f>[47]VALORIZACION!B121</f>
        <v xml:space="preserve">                SEÑALES INFORMATIVAS</v>
      </c>
      <c r="C206" s="223"/>
      <c r="D206" s="259">
        <f>+[47]RESUMEN!G46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2.75">
      <c r="A208" s="212"/>
      <c r="B208" s="217" t="str">
        <f>[47]VALORIZACION!B122</f>
        <v xml:space="preserve">                POSTES DE SOPORTE DE SEÑALES</v>
      </c>
      <c r="C208" s="223"/>
      <c r="D208" s="259">
        <f>+[47]RESUMEN!G48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2.75">
      <c r="A210" s="212"/>
      <c r="B210" s="217" t="str">
        <f>[47]VALORIZACION!B123</f>
        <v xml:space="preserve">                POSTES DE KILOMETRAJE</v>
      </c>
      <c r="C210" s="223"/>
      <c r="D210" s="259">
        <f>+[47]RESUMEN!G50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2.75">
      <c r="A212" s="215"/>
      <c r="B212" s="228" t="str">
        <f>[47]VALORIZACION!B124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2.75">
      <c r="A214" s="212"/>
      <c r="B214" s="217" t="str">
        <f>[47]VALORIZACION!B125</f>
        <v xml:space="preserve">                FLETE TERRESTRE</v>
      </c>
      <c r="C214" s="223"/>
      <c r="D214" s="259">
        <f>+[47]RESUMEN!G52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2.75">
      <c r="A216" s="215"/>
      <c r="B216" s="228" t="str">
        <f>[47]VALORIZACION!B126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2.75">
      <c r="A217" s="215"/>
      <c r="B217" s="229" t="str">
        <f>[47]VALORIZACION!B127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2.75">
      <c r="A219" s="212"/>
      <c r="B219" s="217" t="str">
        <f>[47]VALORIZACION!B128</f>
        <v xml:space="preserve"> RETIRO Y ALMACENAMIENTO DE TOP SOIL</v>
      </c>
      <c r="C219" s="223"/>
      <c r="D219" s="259">
        <f>+[47]RESUMEN!G54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2.75">
      <c r="A221" s="212"/>
      <c r="B221" s="217" t="str">
        <f>[47]VALORIZACION!B129</f>
        <v xml:space="preserve"> REPOSICIÓN DE TOP SOIL</v>
      </c>
      <c r="C221" s="223"/>
      <c r="D221" s="259">
        <f>+[47]RESUMEN!G56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2.75">
      <c r="A223" s="212"/>
      <c r="B223" s="217" t="str">
        <f>[47]VALORIZACION!B130</f>
        <v>REVEGETACIÓN</v>
      </c>
      <c r="C223" s="223"/>
      <c r="D223" s="259">
        <f>+[47]RESUMEN!G58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2.75">
      <c r="A225" s="212"/>
      <c r="B225" s="217" t="str">
        <f>[47]VALORIZACION!B131</f>
        <v>READECUACIÓN DE DÉPOSITO DE MATERIALES EXCEDENTES</v>
      </c>
      <c r="C225" s="223"/>
      <c r="D225" s="259">
        <f>+[47]RESUMEN!G60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2.75">
      <c r="A227" s="212"/>
      <c r="B227" s="217" t="str">
        <f>[47]VALORIZACION!B132</f>
        <v>READECUACIÓN AMBIENTAL DE CAMPAMENTOS</v>
      </c>
      <c r="C227" s="223"/>
      <c r="D227" s="259">
        <f>+[47]RESUMEN!G62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2.75">
      <c r="A229" s="212"/>
      <c r="B229" s="217" t="str">
        <f>[47]VALORIZACION!B133</f>
        <v>READECUACIÓN AMBIENTAL DE ALMACENES Y PATIO DE MÁQUINAS</v>
      </c>
      <c r="C229" s="223"/>
      <c r="D229" s="259">
        <f>+[47]RESUMEN!G64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2.75">
      <c r="A230" s="215"/>
      <c r="B230" s="229" t="str">
        <f>[47]VALORIZACION!B134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2.75">
      <c r="A232" s="212"/>
      <c r="B232" s="217" t="str">
        <f>[47]VALORIZACION!B139</f>
        <v xml:space="preserve"> PROGRAMA DE MEDIDAS PREVENTIVAS, MITIGADORAS Y COR.</v>
      </c>
      <c r="C232" s="223"/>
      <c r="D232" s="259">
        <f>+[47]RESUMEN!G66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2.75">
      <c r="A234" s="212"/>
      <c r="B234" s="217" t="str">
        <f>[47]VALORIZACION!B140</f>
        <v xml:space="preserve"> PROGRAMA DE CAPACITACIÓN AMBIENTAL Y SEGURIDAD</v>
      </c>
      <c r="C234" s="223"/>
      <c r="D234" s="259">
        <f>+[47]RESUMEN!G68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2.75">
      <c r="A236" s="212"/>
      <c r="B236" s="217" t="str">
        <f>[47]VALORIZACION!B141</f>
        <v>PROGRAMA DE EDUCACIÓN AMBIENTAL Y SEGURIDAD VIAL</v>
      </c>
      <c r="C236" s="223"/>
      <c r="D236" s="259">
        <f>+[47]RESUMEN!G70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2.75">
      <c r="A238" s="212"/>
      <c r="B238" s="217" t="str">
        <f>[47]VALORIZACION!B142</f>
        <v>PROGRAMA DE PREVENCIÓN Y CONTINGENCIAS</v>
      </c>
      <c r="C238" s="223"/>
      <c r="D238" s="259">
        <f>+[47]RESUMEN!G72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2.75">
      <c r="A239" s="215"/>
      <c r="B239" s="228" t="str">
        <f>[47]VALORIZACION!B143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2.75">
      <c r="A241" s="212"/>
      <c r="B241" s="217" t="str">
        <f>[47]VALORIZACION!B144</f>
        <v xml:space="preserve">                EQUIPOS DE PROTECCIÓN INDIVIDUAL</v>
      </c>
      <c r="C241" s="223"/>
      <c r="D241" s="259">
        <f>+[47]RESUMEN!G74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2.75">
      <c r="A243" s="212"/>
      <c r="B243" s="217" t="str">
        <f>[47]VALORIZACION!B145</f>
        <v xml:space="preserve">                EQUIPOS DE PROTECCIÓN COLECTIVA</v>
      </c>
      <c r="C243" s="223"/>
      <c r="D243" s="259">
        <f>+[47]RESUMEN!G76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2.75">
      <c r="A245" s="212"/>
      <c r="B245" s="217" t="str">
        <f>[47]VALORIZACION!B146</f>
        <v xml:space="preserve">                SEÑALIZACIÓN TEMPORAL DE SEGURIDAD Y AMBIENTAL</v>
      </c>
      <c r="C245" s="223"/>
      <c r="D245" s="259">
        <f>+[47]RESUMEN!G78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2.75">
      <c r="A246" s="215"/>
      <c r="B246" s="228" t="str">
        <f>[47]VALORIZACION!B147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5" thickBot="1">
      <c r="A248" s="212"/>
      <c r="B248" s="263" t="str">
        <f>[47]VALORIZACION!B148</f>
        <v xml:space="preserve">                PLAN DE MONITOREO ARQUEÓLOGICO</v>
      </c>
      <c r="C248" s="264"/>
      <c r="D248" s="510">
        <f>+[47]RESUMEN!G80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5"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2.75">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42</vt:i4>
      </vt:variant>
    </vt:vector>
  </HeadingPairs>
  <TitlesOfParts>
    <vt:vector size="81" baseType="lpstr">
      <vt:lpstr>Hoja2</vt:lpstr>
      <vt:lpstr>CRONGRAMA JULIO</vt:lpstr>
      <vt:lpstr>FICHA 1</vt:lpstr>
      <vt:lpstr>Hoja5</vt:lpstr>
      <vt:lpstr>Hoja6</vt:lpstr>
      <vt:lpstr>Hoja7</vt:lpstr>
      <vt:lpstr>METRADOS PN</vt:lpstr>
      <vt:lpstr>FICHA 2 MAR</vt:lpstr>
      <vt:lpstr>PARTIDAS EJEC. dic</vt:lpstr>
      <vt:lpstr>P EJE MM</vt:lpstr>
      <vt:lpstr>P EJE PN</vt:lpstr>
      <vt:lpstr>DATOS GENERALES</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AMP 3 DEDUCTIVO</vt:lpstr>
      <vt:lpstr>VAL. PRINC</vt:lpstr>
      <vt:lpstr>VAL AMP4 MM</vt:lpstr>
      <vt:lpstr>VAL AMP 4 PN</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3 DEDUCTIVO'!Área_de_impresión</vt:lpstr>
      <vt:lpstr>'VAL AMP 4 PN'!Área_de_impresión</vt:lpstr>
      <vt:lpstr>'VAL AMP4 MM'!Área_de_impresión</vt:lpstr>
      <vt:lpstr>'VAL. AMP.2 COVID'!Área_de_impresión</vt:lpstr>
      <vt:lpstr>'VAL. PRINC'!Área_de_impresión</vt:lpstr>
      <vt:lpstr>CRON!Títulos_a_imprimir</vt:lpstr>
      <vt:lpstr>'FICHA 2 MAR'!Títulos_a_imprimir</vt:lpstr>
      <vt:lpstr>MET.ADIC!Títulos_a_imprimir</vt:lpstr>
      <vt:lpstr>MET.EXP!Títulos_a_imprimir</vt:lpstr>
      <vt:lpstr>'PARTIDAS EJEC. dic'!Títulos_a_imprimir</vt:lpstr>
      <vt:lpstr>'VAL AMP 3'!Títulos_a_imprimir</vt:lpstr>
      <vt:lpstr>'VAL AMP 3 DEDUCTIVO'!Títulos_a_imprimir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KEVIN</cp:lastModifiedBy>
  <cp:lastPrinted>2022-05-16T22:09:06Z</cp:lastPrinted>
  <dcterms:created xsi:type="dcterms:W3CDTF">2012-11-12T19:56:17Z</dcterms:created>
  <dcterms:modified xsi:type="dcterms:W3CDTF">2022-05-16T22:37:29Z</dcterms:modified>
</cp:coreProperties>
</file>