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esktop\Colegio Santa Rosa\Expediente Santa Rosa\2. Secundaria\4. Metrados  Secundaria\"/>
    </mc:Choice>
  </mc:AlternateContent>
  <xr:revisionPtr revIDLastSave="0" documentId="13_ncr:1_{9C0EAA3C-C974-46F3-A259-21F5540AA9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definedNames>
    <definedName name="_xlnm._FilterDatabase" localSheetId="1" hidden="1">Metrado!$D$14:$D$137</definedName>
    <definedName name="_xlnm._FilterDatabase" localSheetId="3" hidden="1">RESUMEN!$D$17:$D$53</definedName>
    <definedName name="_xlnm.Print_Area" localSheetId="0">Anexo!$B$1:$J$303</definedName>
    <definedName name="_xlnm.Print_Area" localSheetId="1">Metrado!$B$2:$Q$140</definedName>
    <definedName name="_xlnm.Print_Area" localSheetId="3">RESUMEN!$B$2:$G$64</definedName>
    <definedName name="_xlnm.Print_Titles" localSheetId="1">Metrado!$2:$15</definedName>
    <definedName name="_xlnm.Print_Titles" localSheetId="3">RESUMEN!$2:$16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F26" i="2"/>
  <c r="G26" i="2" s="1"/>
  <c r="F25" i="2"/>
  <c r="E26" i="2"/>
  <c r="E27" i="2"/>
  <c r="E25" i="2"/>
  <c r="E23" i="2"/>
  <c r="E22" i="2"/>
  <c r="D26" i="2"/>
  <c r="D27" i="2"/>
  <c r="D25" i="2"/>
  <c r="D24" i="2"/>
  <c r="D23" i="2"/>
  <c r="D22" i="2"/>
  <c r="D21" i="2"/>
  <c r="N29" i="1"/>
  <c r="N28" i="1"/>
  <c r="Q28" i="1" s="1"/>
  <c r="F27" i="2" s="1"/>
  <c r="G27" i="2" s="1"/>
  <c r="L27" i="1"/>
  <c r="Q27" i="1" s="1"/>
  <c r="L26" i="1"/>
  <c r="Q26" i="1" s="1"/>
  <c r="N24" i="1"/>
  <c r="N23" i="1"/>
  <c r="Q23" i="1" s="1"/>
  <c r="F23" i="2" s="1"/>
  <c r="G23" i="2" s="1"/>
  <c r="L22" i="1"/>
  <c r="Q22" i="1" s="1"/>
  <c r="F22" i="2" s="1"/>
  <c r="G22" i="2" s="1"/>
  <c r="D9" i="2" l="1"/>
  <c r="P140" i="1"/>
  <c r="P139" i="1"/>
  <c r="L138" i="1"/>
  <c r="J37" i="5"/>
  <c r="L43" i="1"/>
  <c r="P43" i="1" s="1"/>
  <c r="J33" i="5"/>
  <c r="P36" i="1"/>
  <c r="Q36" i="1" s="1"/>
  <c r="E33" i="5" s="1"/>
  <c r="I33" i="5" s="1"/>
  <c r="F274" i="4"/>
  <c r="G274" i="4" s="1"/>
  <c r="B270" i="4"/>
  <c r="B298" i="4" s="1"/>
  <c r="B274" i="4"/>
  <c r="F273" i="4"/>
  <c r="G273" i="4" s="1"/>
  <c r="B110" i="4"/>
  <c r="D79" i="4"/>
  <c r="F79" i="4" s="1"/>
  <c r="G79" i="4" s="1"/>
  <c r="B54" i="4"/>
  <c r="D23" i="4"/>
  <c r="F23" i="4" s="1"/>
  <c r="G23" i="4" s="1"/>
  <c r="K85" i="1"/>
  <c r="K89" i="1"/>
  <c r="K84" i="1"/>
  <c r="P84" i="1" s="1"/>
  <c r="J20" i="5"/>
  <c r="J21" i="5"/>
  <c r="J22" i="5"/>
  <c r="J23" i="5"/>
  <c r="D52" i="2"/>
  <c r="E42" i="2"/>
  <c r="D42" i="2"/>
  <c r="F107" i="1"/>
  <c r="E107" i="1"/>
  <c r="E52" i="2" s="1"/>
  <c r="O93" i="1"/>
  <c r="O92" i="1"/>
  <c r="K90" i="1"/>
  <c r="L91" i="1"/>
  <c r="K96" i="1"/>
  <c r="M96" i="1"/>
  <c r="K88" i="1"/>
  <c r="P88" i="1" s="1"/>
  <c r="K87" i="1"/>
  <c r="Q87" i="1" s="1"/>
  <c r="Q107" i="1" s="1"/>
  <c r="F52" i="2" s="1"/>
  <c r="G52" i="2" s="1"/>
  <c r="J32" i="5"/>
  <c r="J34" i="5"/>
  <c r="J35" i="5"/>
  <c r="J36" i="5"/>
  <c r="J31" i="5"/>
  <c r="J28" i="5"/>
  <c r="J27" i="5"/>
  <c r="J24" i="5"/>
  <c r="J19" i="5"/>
  <c r="D62" i="2"/>
  <c r="D61" i="2"/>
  <c r="D60" i="2"/>
  <c r="D59" i="2"/>
  <c r="D58" i="2"/>
  <c r="D53" i="2"/>
  <c r="D48" i="2"/>
  <c r="D47" i="2"/>
  <c r="E43" i="2"/>
  <c r="D43" i="2"/>
  <c r="E41" i="2"/>
  <c r="D41" i="2"/>
  <c r="E40" i="2"/>
  <c r="F40" i="2"/>
  <c r="G40" i="2" s="1"/>
  <c r="D40" i="2"/>
  <c r="E39" i="2"/>
  <c r="F39" i="2"/>
  <c r="D39" i="2"/>
  <c r="E38" i="2"/>
  <c r="F38" i="2"/>
  <c r="D38" i="2"/>
  <c r="D37" i="2"/>
  <c r="E33" i="2"/>
  <c r="E32" i="2"/>
  <c r="D33" i="2"/>
  <c r="D32" i="2"/>
  <c r="D31" i="2"/>
  <c r="C31" i="2"/>
  <c r="B269" i="4"/>
  <c r="B228" i="4"/>
  <c r="B252" i="4" s="1"/>
  <c r="B218" i="4"/>
  <c r="B251" i="4" s="1"/>
  <c r="B256" i="4"/>
  <c r="B255" i="4"/>
  <c r="C254" i="4"/>
  <c r="C255" i="4" s="1"/>
  <c r="C256" i="4" s="1"/>
  <c r="B254" i="4"/>
  <c r="C253" i="4"/>
  <c r="B253" i="4"/>
  <c r="G245" i="4"/>
  <c r="I238" i="4"/>
  <c r="F232" i="4"/>
  <c r="G232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F128" i="1"/>
  <c r="Q128" i="1" s="1"/>
  <c r="E128" i="1"/>
  <c r="E61" i="2" s="1"/>
  <c r="F116" i="1"/>
  <c r="Q116" i="1" s="1"/>
  <c r="E116" i="1"/>
  <c r="E58" i="2" s="1"/>
  <c r="E108" i="1"/>
  <c r="E53" i="2" s="1"/>
  <c r="F105" i="1"/>
  <c r="F50" i="2" s="1"/>
  <c r="E105" i="1"/>
  <c r="E50" i="2" s="1"/>
  <c r="F102" i="1"/>
  <c r="Q102" i="1" s="1"/>
  <c r="E102" i="1"/>
  <c r="B286" i="4" l="1"/>
  <c r="B289" i="4" s="1"/>
  <c r="F270" i="4"/>
  <c r="H270" i="4" s="1"/>
  <c r="F286" i="4"/>
  <c r="F289" i="4" s="1"/>
  <c r="P89" i="1"/>
  <c r="Q89" i="1" s="1"/>
  <c r="E11" i="5" s="1"/>
  <c r="I11" i="5" s="1"/>
  <c r="P90" i="1"/>
  <c r="Q90" i="1" s="1"/>
  <c r="E17" i="5" s="1"/>
  <c r="I17" i="5" s="1"/>
  <c r="P92" i="1"/>
  <c r="Q92" i="1" s="1"/>
  <c r="E20" i="5" s="1"/>
  <c r="I20" i="5" s="1"/>
  <c r="F42" i="2"/>
  <c r="G42" i="2" s="1"/>
  <c r="P93" i="1"/>
  <c r="Q93" i="1" s="1"/>
  <c r="E23" i="5" s="1"/>
  <c r="I23" i="5" s="1"/>
  <c r="Q88" i="1"/>
  <c r="E10" i="5" s="1"/>
  <c r="I10" i="5" s="1"/>
  <c r="P91" i="1"/>
  <c r="Q91" i="1" s="1"/>
  <c r="F61" i="2"/>
  <c r="B232" i="4"/>
  <c r="B242" i="4" s="1"/>
  <c r="B244" i="4" s="1"/>
  <c r="F58" i="2"/>
  <c r="F242" i="4"/>
  <c r="F244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I270" i="4" l="1"/>
  <c r="E286" i="4"/>
  <c r="E289" i="4" s="1"/>
  <c r="D298" i="4"/>
  <c r="L137" i="1"/>
  <c r="K81" i="1"/>
  <c r="P81" i="1" s="1"/>
  <c r="Q80" i="1"/>
  <c r="Q35" i="1"/>
  <c r="Q34" i="1"/>
  <c r="P31" i="1"/>
  <c r="O74" i="1"/>
  <c r="P74" i="1" s="1"/>
  <c r="L72" i="1"/>
  <c r="L61" i="1"/>
  <c r="P61" i="1" s="1"/>
  <c r="L60" i="1"/>
  <c r="L59" i="1"/>
  <c r="L58" i="1"/>
  <c r="L57" i="1"/>
  <c r="K55" i="1"/>
  <c r="P55" i="1" s="1"/>
  <c r="Q54" i="1"/>
  <c r="F37" i="2" s="1"/>
  <c r="P42" i="1"/>
  <c r="D57" i="2"/>
  <c r="D56" i="2"/>
  <c r="C56" i="2"/>
  <c r="G132" i="1"/>
  <c r="F132" i="1"/>
  <c r="E132" i="1"/>
  <c r="E62" i="2" s="1"/>
  <c r="F124" i="1"/>
  <c r="E124" i="1"/>
  <c r="E60" i="2" s="1"/>
  <c r="F120" i="1"/>
  <c r="E120" i="1"/>
  <c r="E59" i="2" s="1"/>
  <c r="F112" i="1"/>
  <c r="Q112" i="1" s="1"/>
  <c r="F57" i="2" s="1"/>
  <c r="G57" i="2" s="1"/>
  <c r="E112" i="1"/>
  <c r="E57" i="2" s="1"/>
  <c r="F108" i="1"/>
  <c r="H95" i="1"/>
  <c r="L95" i="1" s="1"/>
  <c r="P95" i="1" s="1"/>
  <c r="M94" i="1"/>
  <c r="Q137" i="1" l="1"/>
  <c r="P138" i="1"/>
  <c r="G286" i="4"/>
  <c r="G289" i="4" s="1"/>
  <c r="Q61" i="1"/>
  <c r="Q94" i="1"/>
  <c r="Q95" i="1" s="1"/>
  <c r="E8" i="5" s="1"/>
  <c r="I8" i="5" s="1"/>
  <c r="P96" i="1"/>
  <c r="G32" i="2"/>
  <c r="F32" i="2"/>
  <c r="E31" i="5"/>
  <c r="I31" i="5" s="1"/>
  <c r="E32" i="5"/>
  <c r="I32" i="5" s="1"/>
  <c r="G33" i="2"/>
  <c r="F33" i="2"/>
  <c r="F70" i="4"/>
  <c r="H70" i="4" s="1"/>
  <c r="E90" i="4" s="1"/>
  <c r="Q55" i="1"/>
  <c r="Q120" i="1"/>
  <c r="F59" i="2"/>
  <c r="G59" i="2" s="1"/>
  <c r="Q124" i="1"/>
  <c r="F60" i="2"/>
  <c r="G60" i="2" s="1"/>
  <c r="F228" i="4"/>
  <c r="H228" i="4" s="1"/>
  <c r="E242" i="4" s="1"/>
  <c r="G242" i="4" s="1"/>
  <c r="H241" i="4" s="1"/>
  <c r="Q81" i="1"/>
  <c r="K132" i="1"/>
  <c r="Q132" i="1" s="1"/>
  <c r="F62" i="2" s="1"/>
  <c r="G62" i="2" s="1"/>
  <c r="P56" i="1"/>
  <c r="Q56" i="1" s="1"/>
  <c r="G58" i="2"/>
  <c r="G61" i="2"/>
  <c r="P97" i="1"/>
  <c r="P98" i="1"/>
  <c r="Q138" i="1" l="1"/>
  <c r="Q96" i="1"/>
  <c r="E9" i="5" s="1"/>
  <c r="I9" i="5" s="1"/>
  <c r="Q97" i="1"/>
  <c r="E27" i="5" s="1"/>
  <c r="I27" i="5" s="1"/>
  <c r="F43" i="2"/>
  <c r="Q108" i="1"/>
  <c r="F53" i="2" s="1"/>
  <c r="Q98" i="1"/>
  <c r="E28" i="5" s="1"/>
  <c r="I28" i="5" s="1"/>
  <c r="D108" i="4"/>
  <c r="I70" i="4"/>
  <c r="D252" i="4"/>
  <c r="E244" i="4"/>
  <c r="G244" i="4" s="1"/>
  <c r="H243" i="4" s="1"/>
  <c r="D255" i="4" s="1"/>
  <c r="P130" i="1" s="1"/>
  <c r="Q130" i="1" s="1"/>
  <c r="I228" i="4"/>
  <c r="D254" i="4"/>
  <c r="P129" i="1" s="1"/>
  <c r="Q129" i="1" s="1"/>
  <c r="G90" i="4"/>
  <c r="H89" i="4" s="1"/>
  <c r="E96" i="4"/>
  <c r="G96" i="4" s="1"/>
  <c r="H95" i="4" s="1"/>
  <c r="D112" i="4" s="1"/>
  <c r="P118" i="1" s="1"/>
  <c r="Q118" i="1" s="1"/>
  <c r="C30" i="2"/>
  <c r="C29" i="2"/>
  <c r="D20" i="2"/>
  <c r="C20" i="2"/>
  <c r="E30" i="2"/>
  <c r="E29" i="2"/>
  <c r="D30" i="2"/>
  <c r="D29" i="2"/>
  <c r="D28" i="2"/>
  <c r="C28" i="2"/>
  <c r="D64" i="2"/>
  <c r="D51" i="2"/>
  <c r="D50" i="2"/>
  <c r="D49" i="2"/>
  <c r="D45" i="2"/>
  <c r="E37" i="2"/>
  <c r="P32" i="1"/>
  <c r="Q32" i="1" s="1"/>
  <c r="Q31" i="1"/>
  <c r="E29" i="5" s="1"/>
  <c r="I29" i="5" s="1"/>
  <c r="I280" i="4"/>
  <c r="I197" i="4"/>
  <c r="B187" i="4"/>
  <c r="B149" i="4"/>
  <c r="P29" i="4"/>
  <c r="Q29" i="4" s="1"/>
  <c r="P28" i="4"/>
  <c r="Q28" i="4" s="1"/>
  <c r="Q27" i="4"/>
  <c r="P25" i="4"/>
  <c r="Q25" i="4" s="1"/>
  <c r="P24" i="4"/>
  <c r="Q24" i="4" s="1"/>
  <c r="Q21" i="4"/>
  <c r="E38" i="5" l="1"/>
  <c r="Q139" i="1"/>
  <c r="E39" i="5" s="1"/>
  <c r="I39" i="5" s="1"/>
  <c r="Q140" i="1"/>
  <c r="E40" i="5" s="1"/>
  <c r="I40" i="5" s="1"/>
  <c r="H245" i="4"/>
  <c r="D256" i="4" s="1"/>
  <c r="P131" i="1" s="1"/>
  <c r="Q131" i="1" s="1"/>
  <c r="G30" i="2"/>
  <c r="E30" i="5"/>
  <c r="I30" i="5" s="1"/>
  <c r="H101" i="4"/>
  <c r="D113" i="4" s="1"/>
  <c r="P119" i="1" s="1"/>
  <c r="Q119" i="1" s="1"/>
  <c r="D111" i="4"/>
  <c r="P117" i="1" s="1"/>
  <c r="Q117" i="1" s="1"/>
  <c r="F30" i="2"/>
  <c r="F29" i="2"/>
  <c r="G29" i="2"/>
  <c r="F131" i="4"/>
  <c r="F149" i="4" s="1"/>
  <c r="B21" i="4"/>
  <c r="B38" i="4" s="1"/>
  <c r="B20" i="4"/>
  <c r="B19" i="4"/>
  <c r="F104" i="1"/>
  <c r="F49" i="2" s="1"/>
  <c r="E104" i="1"/>
  <c r="E49" i="2" s="1"/>
  <c r="L69" i="1"/>
  <c r="L68" i="1"/>
  <c r="L49" i="1"/>
  <c r="L48" i="1"/>
  <c r="G39" i="1"/>
  <c r="E36" i="2"/>
  <c r="E35" i="2"/>
  <c r="E19" i="2"/>
  <c r="E64" i="2"/>
  <c r="E55" i="2"/>
  <c r="G38" i="4" l="1"/>
  <c r="F21" i="4"/>
  <c r="G21" i="4" s="1"/>
  <c r="P67" i="1"/>
  <c r="Q105" i="1"/>
  <c r="D12" i="2" l="1"/>
  <c r="D17" i="2"/>
  <c r="C17" i="2"/>
  <c r="C54" i="2" l="1"/>
  <c r="C63" i="2"/>
  <c r="C44" i="2"/>
  <c r="C34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103" i="1"/>
  <c r="E101" i="1"/>
  <c r="E100" i="1"/>
  <c r="E47" i="2" l="1"/>
  <c r="E48" i="2"/>
  <c r="E43" i="4"/>
  <c r="G37" i="4"/>
  <c r="B169" i="4"/>
  <c r="F157" i="4" l="1"/>
  <c r="G150" i="4"/>
  <c r="L71" i="1"/>
  <c r="P70" i="1" s="1"/>
  <c r="K66" i="1"/>
  <c r="P66" i="1" s="1"/>
  <c r="F127" i="4" l="1"/>
  <c r="H127" i="4" s="1"/>
  <c r="I127" i="4" l="1"/>
  <c r="D169" i="4"/>
  <c r="E149" i="4"/>
  <c r="E156" i="4" s="1"/>
  <c r="L51" i="1"/>
  <c r="P51" i="1" s="1"/>
  <c r="L50" i="1"/>
  <c r="L47" i="1"/>
  <c r="P46" i="1" l="1"/>
  <c r="H39" i="1"/>
  <c r="L39" i="1" l="1"/>
  <c r="F101" i="1" l="1"/>
  <c r="K83" i="1"/>
  <c r="P85" i="1" s="1"/>
  <c r="F64" i="2" l="1"/>
  <c r="I38" i="5"/>
  <c r="Q83" i="1"/>
  <c r="Q106" i="1" s="1"/>
  <c r="Q85" i="1" l="1"/>
  <c r="F269" i="4"/>
  <c r="H269" i="4" s="1"/>
  <c r="F41" i="2"/>
  <c r="F288" i="4"/>
  <c r="Q84" i="1"/>
  <c r="G159" i="4"/>
  <c r="G158" i="4"/>
  <c r="G157" i="4"/>
  <c r="G132" i="4"/>
  <c r="G131" i="4"/>
  <c r="F130" i="4"/>
  <c r="O73" i="1"/>
  <c r="P73" i="1" s="1"/>
  <c r="E16" i="5" l="1"/>
  <c r="I16" i="5" s="1"/>
  <c r="G130" i="4"/>
  <c r="F148" i="4"/>
  <c r="F155" i="4" s="1"/>
  <c r="G44" i="4"/>
  <c r="G43" i="4"/>
  <c r="G42" i="4"/>
  <c r="G41" i="4"/>
  <c r="B18" i="4"/>
  <c r="B23" i="4" s="1"/>
  <c r="B14" i="4"/>
  <c r="K45" i="1"/>
  <c r="P45" i="1" s="1"/>
  <c r="D54" i="2" l="1"/>
  <c r="G43" i="2"/>
  <c r="B297" i="4"/>
  <c r="B259" i="4"/>
  <c r="B296" i="4" s="1"/>
  <c r="B302" i="4"/>
  <c r="B301" i="4"/>
  <c r="C300" i="4"/>
  <c r="C301" i="4" s="1"/>
  <c r="C302" i="4" s="1"/>
  <c r="B300" i="4"/>
  <c r="C299" i="4"/>
  <c r="B299" i="4"/>
  <c r="G290" i="4"/>
  <c r="B116" i="4"/>
  <c r="B53" i="4"/>
  <c r="G18" i="4"/>
  <c r="F106" i="1"/>
  <c r="F51" i="2" s="1"/>
  <c r="E106" i="1"/>
  <c r="E51" i="2" s="1"/>
  <c r="F103" i="1"/>
  <c r="F100" i="1"/>
  <c r="Q103" i="1" l="1"/>
  <c r="F47" i="2" s="1"/>
  <c r="F48" i="2"/>
  <c r="E288" i="4"/>
  <c r="G288" i="4" s="1"/>
  <c r="H287" i="4" s="1"/>
  <c r="G41" i="2"/>
  <c r="B273" i="4"/>
  <c r="B285" i="4" s="1"/>
  <c r="B288" i="4" s="1"/>
  <c r="F14" i="4"/>
  <c r="E285" i="4" l="1"/>
  <c r="G285" i="4" s="1"/>
  <c r="H284" i="4" s="1"/>
  <c r="D297" i="4"/>
  <c r="I269" i="4"/>
  <c r="K40" i="1"/>
  <c r="P40" i="1" s="1"/>
  <c r="P41" i="1"/>
  <c r="B168" i="4" l="1"/>
  <c r="B167" i="4"/>
  <c r="B174" i="4"/>
  <c r="B173" i="4"/>
  <c r="C172" i="4"/>
  <c r="C173" i="4" s="1"/>
  <c r="C174" i="4" s="1"/>
  <c r="B172" i="4"/>
  <c r="G161" i="4"/>
  <c r="Q104" i="1"/>
  <c r="G47" i="2"/>
  <c r="G50" i="2" l="1"/>
  <c r="G133" i="4"/>
  <c r="P39" i="1"/>
  <c r="F156" i="4" l="1"/>
  <c r="G156" i="4" s="1"/>
  <c r="G149" i="4"/>
  <c r="D36" i="2" l="1"/>
  <c r="D35" i="2"/>
  <c r="C19" i="2"/>
  <c r="D19" i="2"/>
  <c r="D18" i="2"/>
  <c r="Q77" i="1" l="1"/>
  <c r="K78" i="1"/>
  <c r="P78" i="1" s="1"/>
  <c r="F187" i="4" l="1"/>
  <c r="Q78" i="1"/>
  <c r="G49" i="2"/>
  <c r="Q19" i="1"/>
  <c r="F19" i="2" s="1"/>
  <c r="L19" i="1"/>
  <c r="G19" i="2" l="1"/>
  <c r="D55" i="2"/>
  <c r="D46" i="2"/>
  <c r="D44" i="2"/>
  <c r="G39" i="2" l="1"/>
  <c r="B34" i="4" l="1"/>
  <c r="B40" i="4" s="1"/>
  <c r="Q64" i="1" l="1"/>
  <c r="G37" i="2" l="1"/>
  <c r="Q74" i="1"/>
  <c r="E22" i="5" s="1"/>
  <c r="I22" i="5" s="1"/>
  <c r="Q67" i="1"/>
  <c r="Q70" i="1"/>
  <c r="E6" i="5" s="1"/>
  <c r="I6" i="5" s="1"/>
  <c r="Q66" i="1"/>
  <c r="Q73" i="1"/>
  <c r="E24" i="5" s="1"/>
  <c r="I24" i="5" s="1"/>
  <c r="G48" i="2"/>
  <c r="D6" i="2"/>
  <c r="E15" i="5" l="1"/>
  <c r="I15" i="5" s="1"/>
  <c r="F191" i="4"/>
  <c r="B191" i="4"/>
  <c r="B201" i="4" s="1"/>
  <c r="B203" i="4" s="1"/>
  <c r="G191" i="4" l="1"/>
  <c r="F201" i="4"/>
  <c r="F203" i="4" s="1"/>
  <c r="G36" i="4"/>
  <c r="K65" i="1" l="1"/>
  <c r="P65" i="1" s="1"/>
  <c r="Q65" i="1" l="1"/>
  <c r="E14" i="5" s="1"/>
  <c r="I14" i="5" s="1"/>
  <c r="F126" i="4"/>
  <c r="H126" i="4" s="1"/>
  <c r="B210" i="4"/>
  <c r="B215" i="4"/>
  <c r="B214" i="4"/>
  <c r="C213" i="4"/>
  <c r="C214" i="4" s="1"/>
  <c r="C215" i="4" s="1"/>
  <c r="B213" i="4"/>
  <c r="C212" i="4"/>
  <c r="B212" i="4"/>
  <c r="G204" i="4"/>
  <c r="Q110" i="1"/>
  <c r="F55" i="2" s="1"/>
  <c r="G55" i="2" s="1"/>
  <c r="G53" i="2"/>
  <c r="Q100" i="1"/>
  <c r="F45" i="2" s="1"/>
  <c r="G45" i="2" s="1"/>
  <c r="G51" i="2"/>
  <c r="Q101" i="1"/>
  <c r="F46" i="2" s="1"/>
  <c r="G46" i="2" s="1"/>
  <c r="D168" i="4" l="1"/>
  <c r="I126" i="4"/>
  <c r="E148" i="4"/>
  <c r="E155" i="4" s="1"/>
  <c r="G155" i="4" s="1"/>
  <c r="H154" i="4" s="1"/>
  <c r="G64" i="2"/>
  <c r="B211" i="4"/>
  <c r="G148" i="4" l="1"/>
  <c r="H147" i="4" s="1"/>
  <c r="D172" i="4" s="1"/>
  <c r="P121" i="1" s="1"/>
  <c r="Q121" i="1" s="1"/>
  <c r="G38" i="2"/>
  <c r="H187" i="4" l="1"/>
  <c r="E201" i="4" l="1"/>
  <c r="G201" i="4" s="1"/>
  <c r="E203" i="4"/>
  <c r="G203" i="4" s="1"/>
  <c r="D211" i="4"/>
  <c r="I187" i="4"/>
  <c r="G9" i="2" l="1"/>
  <c r="L14" i="4" l="1"/>
  <c r="L11" i="4"/>
  <c r="M15" i="4" l="1"/>
  <c r="L3" i="4" s="1"/>
  <c r="G45" i="4"/>
  <c r="B57" i="4"/>
  <c r="B56" i="4"/>
  <c r="C55" i="4"/>
  <c r="C56" i="4" s="1"/>
  <c r="C57" i="4" s="1"/>
  <c r="B55" i="4"/>
  <c r="B52" i="4"/>
  <c r="B51" i="4"/>
  <c r="E63" i="4" l="1"/>
  <c r="E221" i="4"/>
  <c r="H231" i="4" s="1"/>
  <c r="D253" i="4" s="1"/>
  <c r="P82" i="1" s="1"/>
  <c r="Q82" i="1" s="1"/>
  <c r="E262" i="4"/>
  <c r="H272" i="4" s="1"/>
  <c r="E119" i="4"/>
  <c r="E180" i="4"/>
  <c r="H190" i="4" s="1"/>
  <c r="E7" i="4"/>
  <c r="H78" i="4" s="1"/>
  <c r="D110" i="4" s="1"/>
  <c r="P63" i="1" s="1"/>
  <c r="H73" i="4" l="1"/>
  <c r="D109" i="4" s="1"/>
  <c r="P62" i="1" s="1"/>
  <c r="Q62" i="1" s="1"/>
  <c r="H22" i="4"/>
  <c r="D54" i="4" s="1"/>
  <c r="P53" i="1" s="1"/>
  <c r="H134" i="4"/>
  <c r="D171" i="4" s="1"/>
  <c r="P76" i="1" s="1"/>
  <c r="Q76" i="1" s="1"/>
  <c r="H129" i="4"/>
  <c r="D170" i="4" s="1"/>
  <c r="P75" i="1" s="1"/>
  <c r="Q75" i="1" s="1"/>
  <c r="H17" i="4"/>
  <c r="D53" i="4" s="1"/>
  <c r="P52" i="1" s="1"/>
  <c r="H290" i="4"/>
  <c r="D302" i="4" s="1"/>
  <c r="P135" i="1" s="1"/>
  <c r="Q135" i="1" s="1"/>
  <c r="H161" i="4"/>
  <c r="D300" i="4"/>
  <c r="P133" i="1" s="1"/>
  <c r="Q133" i="1" s="1"/>
  <c r="D173" i="4"/>
  <c r="P122" i="1" s="1"/>
  <c r="Q122" i="1" s="1"/>
  <c r="D212" i="4"/>
  <c r="P79" i="1" s="1"/>
  <c r="Q79" i="1" s="1"/>
  <c r="H202" i="4"/>
  <c r="H200" i="4"/>
  <c r="D301" i="4" l="1"/>
  <c r="P134" i="1" s="1"/>
  <c r="Q134" i="1" s="1"/>
  <c r="D299" i="4"/>
  <c r="P86" i="1" s="1"/>
  <c r="Q86" i="1" s="1"/>
  <c r="D174" i="4"/>
  <c r="P123" i="1" s="1"/>
  <c r="Q123" i="1" s="1"/>
  <c r="D214" i="4"/>
  <c r="P126" i="1" s="1"/>
  <c r="Q126" i="1" s="1"/>
  <c r="D213" i="4"/>
  <c r="P125" i="1" s="1"/>
  <c r="Q125" i="1" s="1"/>
  <c r="H204" i="4" l="1"/>
  <c r="D215" i="4" s="1"/>
  <c r="P127" i="1" l="1"/>
  <c r="Q127" i="1" s="1"/>
  <c r="Q38" i="1"/>
  <c r="Q43" i="1" s="1"/>
  <c r="E37" i="5" s="1"/>
  <c r="I37" i="5" s="1"/>
  <c r="Q42" i="1" l="1"/>
  <c r="E21" i="5" s="1"/>
  <c r="I21" i="5" s="1"/>
  <c r="Q40" i="1"/>
  <c r="E18" i="5" s="1"/>
  <c r="I18" i="5" s="1"/>
  <c r="Q41" i="1"/>
  <c r="E19" i="5" s="1"/>
  <c r="I19" i="5" s="1"/>
  <c r="Q39" i="1"/>
  <c r="E5" i="5" s="1"/>
  <c r="F35" i="2"/>
  <c r="G35" i="2" s="1"/>
  <c r="G11" i="2"/>
  <c r="D11" i="2"/>
  <c r="G10" i="2"/>
  <c r="D10" i="2"/>
  <c r="D8" i="2"/>
  <c r="C3" i="2"/>
  <c r="Q44" i="1"/>
  <c r="Q63" i="1" s="1"/>
  <c r="X1" i="1"/>
  <c r="F36" i="2" l="1"/>
  <c r="G36" i="2" s="1"/>
  <c r="Q51" i="1"/>
  <c r="E12" i="5" s="1"/>
  <c r="Q46" i="1"/>
  <c r="E7" i="5" s="1"/>
  <c r="Q45" i="1"/>
  <c r="E13" i="5" s="1"/>
  <c r="Q52" i="1"/>
  <c r="E26" i="5" s="1"/>
  <c r="I26" i="5" s="1"/>
  <c r="H14" i="4"/>
  <c r="E34" i="4" s="1"/>
  <c r="E40" i="4" s="1"/>
  <c r="G40" i="4" s="1"/>
  <c r="H39" i="4" s="1"/>
  <c r="G34" i="4" l="1"/>
  <c r="I14" i="4"/>
  <c r="D52" i="4"/>
  <c r="G35" i="4"/>
  <c r="H33" i="4" l="1"/>
  <c r="H45" i="4" s="1"/>
  <c r="D56" i="4"/>
  <c r="P114" i="1" s="1"/>
  <c r="Q114" i="1" s="1"/>
  <c r="E35" i="5" s="1"/>
  <c r="I35" i="5" s="1"/>
  <c r="D55" i="4" l="1"/>
  <c r="D57" i="4"/>
  <c r="P115" i="1" s="1"/>
  <c r="Q115" i="1" s="1"/>
  <c r="E36" i="5" s="1"/>
  <c r="I36" i="5" s="1"/>
  <c r="P113" i="1" l="1"/>
  <c r="Q113" i="1" s="1"/>
  <c r="E34" i="5" s="1"/>
  <c r="I34" i="5" s="1"/>
  <c r="Q53" i="1"/>
  <c r="E25" i="5" s="1"/>
  <c r="I25" i="5" s="1"/>
</calcChain>
</file>

<file path=xl/sharedStrings.xml><?xml version="1.0" encoding="utf-8"?>
<sst xmlns="http://schemas.openxmlformats.org/spreadsheetml/2006/main" count="909" uniqueCount="296">
  <si>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</si>
  <si>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</si>
  <si>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</si>
  <si>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</si>
  <si>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</si>
  <si>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</si>
  <si>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</si>
  <si>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</si>
  <si>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</si>
  <si>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</si>
  <si>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</si>
  <si>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</si>
  <si>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</si>
  <si>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</si>
  <si>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</si>
  <si>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</si>
  <si>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</si>
  <si>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</si>
  <si>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</si>
  <si>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</si>
  <si>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</si>
  <si>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</si>
  <si>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</si>
  <si>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</si>
  <si>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</si>
  <si>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</si>
  <si>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</si>
  <si>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</si>
  <si>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</si>
  <si>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</si>
  <si>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</si>
  <si>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</si>
  <si>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</si>
  <si>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</si>
  <si>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</si>
  <si>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</si>
  <si>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METRADOS DE ESTRUCTURA METALICA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</si>
  <si>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</si>
  <si>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</si>
  <si>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</si>
  <si>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</si>
  <si>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</si>
  <si>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</si>
  <si>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</si>
  <si>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</si>
  <si>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</si>
  <si>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</si>
  <si>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</si>
  <si>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</si>
  <si>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</si>
  <si>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</si>
  <si>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</si>
  <si>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</si>
  <si>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</si>
  <si>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</si>
  <si>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</si>
  <si>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</si>
  <si>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</si>
  <si>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</si>
  <si>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</si>
  <si>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</si>
  <si>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</si>
  <si>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</si>
  <si>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</si>
  <si>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</si>
  <si>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</si>
  <si>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</si>
  <si>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</si>
  <si>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</si>
  <si>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</si>
  <si>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</si>
  <si>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</si>
  <si>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</si>
  <si>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</si>
  <si>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</si>
  <si>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</si>
  <si>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</si>
  <si>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</si>
  <si>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</si>
  <si>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</si>
  <si>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</si>
  <si>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</si>
  <si>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</si>
  <si>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</si>
  <si>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</si>
  <si>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PRUEBAS DE LABORATORIO</t>
  </si>
  <si>
    <t>ENSAYOS NO DESTRUCTIVOS</t>
  </si>
  <si>
    <t>Fecha         :</t>
  </si>
  <si>
    <t>Modulo       :</t>
  </si>
  <si>
    <t>FACTOR DE DESPERDICIO DE COBERTURA POLICARBONATO</t>
  </si>
  <si>
    <t>ACEROS Y ELECTRODOS</t>
  </si>
  <si>
    <t>GENERAL</t>
  </si>
  <si>
    <t>RAC</t>
  </si>
  <si>
    <t>und.</t>
  </si>
  <si>
    <t>Diametro/Alto</t>
  </si>
  <si>
    <t>H(m)  Perimetro/Ancho</t>
  </si>
  <si>
    <t>INSTALACION Y MONTAJE</t>
  </si>
  <si>
    <t xml:space="preserve">COBERTURA </t>
  </si>
  <si>
    <t xml:space="preserve">ANEXO METRADO DE ESTRUCTURAS METALICAS </t>
  </si>
  <si>
    <t>TRABAJOS PRELIMINARES</t>
  </si>
  <si>
    <t>TRAZO Y REPLANTEO DE ESTRUCTURAS METALICAS</t>
  </si>
  <si>
    <t>FABRICACION DE ANCLAJE DE COLUMNAS</t>
  </si>
  <si>
    <t>Electrodo E7018</t>
  </si>
  <si>
    <t>INSTALACION DE ANCLAJE DE COLUMNAS</t>
  </si>
  <si>
    <t>ELECTRODOS E7018</t>
  </si>
  <si>
    <t>r</t>
  </si>
  <si>
    <t>TUBOS ASTM A-53</t>
  </si>
  <si>
    <t>01</t>
  </si>
  <si>
    <t>01.01</t>
  </si>
  <si>
    <t>01.01.01</t>
  </si>
  <si>
    <t>01.02</t>
  </si>
  <si>
    <t>01.02.01</t>
  </si>
  <si>
    <t>01.02.02</t>
  </si>
  <si>
    <t>01.03</t>
  </si>
  <si>
    <t>01.03.01</t>
  </si>
  <si>
    <t>01.03.02</t>
  </si>
  <si>
    <t>01.04</t>
  </si>
  <si>
    <t>01.04.01</t>
  </si>
  <si>
    <t>01.05</t>
  </si>
  <si>
    <t>01.05.01</t>
  </si>
  <si>
    <t>Plancha metálica e=6 mm</t>
  </si>
  <si>
    <t>Rigidizador tipo 1</t>
  </si>
  <si>
    <t>Rigidizador tipo 2</t>
  </si>
  <si>
    <t>ELECTRODOS E6011</t>
  </si>
  <si>
    <t>Electrodo E6011</t>
  </si>
  <si>
    <t>CUBIERTA METALICA DE LOSA DEPORTIVA</t>
  </si>
  <si>
    <r>
      <t xml:space="preserve">Fierro corrugado </t>
    </r>
    <r>
      <rPr>
        <sz val="10"/>
        <color indexed="8"/>
        <rFont val="Calibri"/>
        <family val="2"/>
      </rPr>
      <t>Ø=3/4"</t>
    </r>
  </si>
  <si>
    <r>
      <t xml:space="preserve">Tubo circular schedule 40, </t>
    </r>
    <r>
      <rPr>
        <sz val="10"/>
        <color rgb="FF000000"/>
        <rFont val="Calibri"/>
        <family val="2"/>
      </rPr>
      <t>Ø=8"</t>
    </r>
  </si>
  <si>
    <t>Plancha inferior de union cercha columna</t>
  </si>
  <si>
    <t>Plancha metálica e=3/8 plg</t>
  </si>
  <si>
    <t>Rigidizador de anclaje</t>
  </si>
  <si>
    <t>Rigidizador tipo 3</t>
  </si>
  <si>
    <t>Plancha superior de union cercha columna</t>
  </si>
  <si>
    <t>Electrodo  E6011</t>
  </si>
  <si>
    <t>01.04.02</t>
  </si>
  <si>
    <t>Glb</t>
  </si>
  <si>
    <t>ELECTRODOS  E6011</t>
  </si>
  <si>
    <t xml:space="preserve">DETERGENTE </t>
  </si>
  <si>
    <t>01.05.02</t>
  </si>
  <si>
    <t>01.06</t>
  </si>
  <si>
    <t>01.06.01</t>
  </si>
  <si>
    <t>OBRAS DE CONCRETO ARMADO</t>
  </si>
  <si>
    <t>ZAPATAS</t>
  </si>
  <si>
    <t>ZAPATAS - CONCRETO F´c=210 Kg/cm2</t>
  </si>
  <si>
    <t>m3</t>
  </si>
  <si>
    <t>ZAPATAS - ACERO f'y=4200 Kg/cm2</t>
  </si>
  <si>
    <t>COLUMNAS</t>
  </si>
  <si>
    <t>COLUMNAS - CONCRETO f'c=210 Kg/cm2</t>
  </si>
  <si>
    <t>COLUMNAS - ENCOFRADO Y DESENCOFRADO</t>
  </si>
  <si>
    <t>COLUMNAS - ACERO f'y=4200 Kg/cm2</t>
  </si>
  <si>
    <t>Área / volumen</t>
  </si>
  <si>
    <t xml:space="preserve">LIMPIEZA DE TUBOS </t>
  </si>
  <si>
    <t>01.06.02</t>
  </si>
  <si>
    <t>01.07</t>
  </si>
  <si>
    <t>01.07.01</t>
  </si>
  <si>
    <t>Obra   :</t>
  </si>
  <si>
    <t xml:space="preserve">  ESTRUCTURAS METALICAS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</si>
  <si>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</si>
  <si>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</si>
  <si>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</si>
  <si>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</si>
  <si>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</si>
  <si>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</si>
  <si>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</si>
  <si>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</si>
  <si>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 xml:space="preserve">CANALETA </t>
  </si>
  <si>
    <t>Plancha metálica galvanizada e=1/27"</t>
  </si>
  <si>
    <t xml:space="preserve">Platina 1" , e=3/16" </t>
  </si>
  <si>
    <t>Sellador</t>
  </si>
  <si>
    <t>MONTAJE DE CANALETA</t>
  </si>
  <si>
    <t>PINTURAS</t>
  </si>
  <si>
    <t>01.08</t>
  </si>
  <si>
    <t>01.08.01</t>
  </si>
  <si>
    <t>01.08.02</t>
  </si>
  <si>
    <t>Plancha metálica e=12 mm,  Ø=0.40m</t>
  </si>
  <si>
    <t>Tuerca M18 grado 8</t>
  </si>
  <si>
    <t>COLUMNA METÁLICA CIRCULAR TIPO 2 -  L=5.50 m</t>
  </si>
  <si>
    <t>COLUMNA METÁLICA CIRCULAR TIPO 1 - L=9.00 m</t>
  </si>
  <si>
    <t>CERCHA PRINCIPAL</t>
  </si>
  <si>
    <t>Tubo LAC 50x50x2.5 mm</t>
  </si>
  <si>
    <t>Cartela tipo 1</t>
  </si>
  <si>
    <t>Cartela tipo 2</t>
  </si>
  <si>
    <t>CERCHA LATERAL TIPO 1</t>
  </si>
  <si>
    <t xml:space="preserve">CORTE DE TUBOS </t>
  </si>
  <si>
    <t>DISCO DE CORTE 14" PARA TRONZADORA</t>
  </si>
  <si>
    <t>DISCO DE CORTE 4.5" PARA AMOLADORA</t>
  </si>
  <si>
    <t>CERCHA LATERAL TIPO 2</t>
  </si>
  <si>
    <t xml:space="preserve">CORREAS METALICAS </t>
  </si>
  <si>
    <t>Neopreno e=12 mm</t>
  </si>
  <si>
    <t>MONTAJE DE COLUMNA METÁLICA CIRCULAR TIPO 1 - L=9.00 m</t>
  </si>
  <si>
    <t>MONTAJE DE COLUMNA METÁLICA CIRCULAR TIPO 2 -  L=5.50 m</t>
  </si>
  <si>
    <t>MONTAJE DE CERCHA PRINCIPAL</t>
  </si>
  <si>
    <t>MONTAJE DE CERCHA LATERAL TIPO 1</t>
  </si>
  <si>
    <t>MONTAJE DE CERCHA LATERAL TIPO 2</t>
  </si>
  <si>
    <t xml:space="preserve">MONTAJE DE CORREAS METALICAS </t>
  </si>
  <si>
    <t>PINTURA - COLUMNA METÁLICA CIRCULAR TIPO 1 - L=9.00 m</t>
  </si>
  <si>
    <t>PINTURA -COLUMNA METÁLICA CIRCULAR TIPO 2 -  L=5.50 m</t>
  </si>
  <si>
    <t>PINTURA - CERCHA PRINCIPAL</t>
  </si>
  <si>
    <t>PINTURA - CERCHA LATERAL TIPO 1</t>
  </si>
  <si>
    <t>PINTURA - CERCHA LATERAL TIPO 2</t>
  </si>
  <si>
    <t xml:space="preserve">PINTURA - CORREAS METALICAS 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</si>
  <si>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</si>
  <si>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</si>
  <si>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</si>
  <si>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</si>
  <si>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</si>
  <si>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</si>
  <si>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</si>
  <si>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</si>
  <si>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</si>
  <si>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</si>
  <si>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</t>
  </si>
  <si>
    <t>01.09.01</t>
  </si>
  <si>
    <t>ELECTRODOS  E7018</t>
  </si>
  <si>
    <t>Electrodo  E7018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</si>
  <si>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</si>
  <si>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</si>
  <si>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</si>
  <si>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</si>
  <si>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</si>
  <si>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</si>
  <si>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</si>
  <si>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</si>
  <si>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</si>
  <si>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</si>
  <si>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</si>
  <si>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</si>
  <si>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</si>
  <si>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</si>
  <si>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</si>
  <si>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Panel termoacustico e=2 mm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</si>
  <si>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</si>
  <si>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</si>
  <si>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</si>
  <si>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</si>
  <si>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</si>
  <si>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</si>
  <si>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</si>
  <si>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6.0 m</t>
  </si>
  <si>
    <t>ASTM A36</t>
  </si>
  <si>
    <t>_</t>
  </si>
  <si>
    <t>2.5 plg</t>
  </si>
  <si>
    <t>Autoperforante No 8x1/2"</t>
  </si>
  <si>
    <t>Autoperforante No 8 x1/2"</t>
  </si>
  <si>
    <t xml:space="preserve">A solicitud </t>
  </si>
  <si>
    <t>piezas</t>
  </si>
  <si>
    <t>tubos</t>
  </si>
  <si>
    <t>planchas</t>
  </si>
  <si>
    <t>ARRIOSTRAMIENTO</t>
  </si>
  <si>
    <t>Varilla lisa 3/8"</t>
  </si>
  <si>
    <t>Angular 4", e=1/4"</t>
  </si>
  <si>
    <t>plancha met. e=6 mm</t>
  </si>
  <si>
    <t>Tuerca Ø=3/8"  grado 8</t>
  </si>
  <si>
    <t>Arandela de presion Ø=3/8"</t>
  </si>
  <si>
    <t>01.06.09</t>
  </si>
  <si>
    <t>MONTAJE DE ARRIOSTRAMIENTO</t>
  </si>
  <si>
    <t>Plancha metálica e=3/8"</t>
  </si>
  <si>
    <t>Angular 4" , e=1/4"</t>
  </si>
  <si>
    <t>ASTM A706</t>
  </si>
  <si>
    <t>soldable</t>
  </si>
  <si>
    <t>ASTM A709 LAC grado 50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</si>
  <si>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</si>
  <si>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</si>
  <si>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</si>
  <si>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</si>
  <si>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</si>
  <si>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</si>
  <si>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</si>
  <si>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>ASTM F436</t>
  </si>
  <si>
    <t>Tubo LAC 100X100X4 mm</t>
  </si>
  <si>
    <t>Canal C de alas atiesadas 6"x2"x 3mm</t>
  </si>
  <si>
    <t>Amarre de correas: tubo 50x50x2.5mm</t>
  </si>
  <si>
    <t>9.0 m</t>
  </si>
  <si>
    <t>canales</t>
  </si>
  <si>
    <t>Tuerca Ø=3/8" para esparrago roscado</t>
  </si>
  <si>
    <t>Esparrago roscado 3/8"</t>
  </si>
  <si>
    <t xml:space="preserve">Perno y tuerca de alta resistencia grado 8 de Ø=5/8" L=2.5" </t>
  </si>
  <si>
    <t>Perno y tuerca de alta resistencia grado 8 Ø=5/8" L=2.5"</t>
  </si>
  <si>
    <t>GRADO 8</t>
  </si>
  <si>
    <t>TRAPO INDUSTRIAL</t>
  </si>
  <si>
    <t>CEPILLO DE ALAMBRE TIPO COPA DE 4"</t>
  </si>
  <si>
    <t>01.04.03</t>
  </si>
  <si>
    <t>Trapo industrial</t>
  </si>
  <si>
    <t>cepillo de alambre tipo copa de 4"</t>
  </si>
  <si>
    <t>Grout de nivelacion</t>
  </si>
  <si>
    <t xml:space="preserve">Esparrago roscado 3/8" </t>
  </si>
  <si>
    <t xml:space="preserve">SUMINISTRO E INSTALACION DE COBERTURA </t>
  </si>
  <si>
    <t>Panel termoacustico e=2.0 mm</t>
  </si>
  <si>
    <t>Fijacion / autoperforantes</t>
  </si>
  <si>
    <t>Cinta butilo de doble contacto para techos +15m</t>
  </si>
  <si>
    <t>1.07 m</t>
  </si>
  <si>
    <t>"CONSTRUCCION DE COBERTURA EN LA I.E.S SANTA ROSA - ABANCAY EN LA LOCALIDAD DE ABANCAY, DISTRITO DE ABANCAY, PROVINCIA DE ABANCAY, DEPARTAMENTO APURIMAC"</t>
  </si>
  <si>
    <t>PATIO SECUNDARIA</t>
  </si>
  <si>
    <t>01.02.02.01</t>
  </si>
  <si>
    <t>01.02.02.02</t>
  </si>
  <si>
    <t>01.02.02.03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</si>
</sst>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0"/>
      <color rgb="FF005A9E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703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2" fontId="22" fillId="0" borderId="18" xfId="1" applyNumberFormat="1" applyFont="1" applyFill="1" applyBorder="1" applyAlignment="1" applyProtection="1">
      <alignment horizontal="right" vertical="top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0" fontId="25" fillId="0" borderId="0" xfId="1" applyFont="1" applyFill="1" applyBorder="1" applyAlignment="1">
      <alignment vertical="center"/>
    </xf>
    <xf numFmtId="0" fontId="27" fillId="0" borderId="0" xfId="1" applyFont="1" applyFill="1" applyBorder="1" applyAlignment="1"/>
    <xf numFmtId="0" fontId="27" fillId="0" borderId="0" xfId="2" applyFont="1" applyFill="1" applyBorder="1" applyAlignment="1">
      <alignment horizontal="left" vertical="top"/>
    </xf>
    <xf numFmtId="1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7" fillId="0" borderId="0" xfId="1" applyFont="1" applyFill="1" applyBorder="1" applyAlignment="1">
      <alignment vertical="center"/>
    </xf>
    <xf numFmtId="0" fontId="22" fillId="0" borderId="0" xfId="1" applyFont="1" applyFill="1" applyBorder="1" applyAlignment="1"/>
    <xf numFmtId="0" fontId="22" fillId="0" borderId="0" xfId="2" applyFont="1" applyFill="1" applyBorder="1" applyAlignment="1">
      <alignment horizontal="lef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1" fontId="22" fillId="0" borderId="18" xfId="1" applyNumberFormat="1" applyFont="1" applyFill="1" applyBorder="1" applyAlignment="1" applyProtection="1">
      <alignment horizontal="right" vertical="top"/>
    </xf>
    <xf numFmtId="2" fontId="22" fillId="0" borderId="18" xfId="2" applyNumberFormat="1" applyFont="1" applyFill="1" applyBorder="1" applyAlignment="1">
      <alignment horizontal="right" vertical="top"/>
    </xf>
    <xf numFmtId="0" fontId="22" fillId="0" borderId="18" xfId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top"/>
    </xf>
    <xf numFmtId="2" fontId="25" fillId="0" borderId="18" xfId="1" applyNumberFormat="1" applyFont="1" applyFill="1" applyBorder="1" applyAlignment="1" applyProtection="1">
      <alignment horizontal="right" vertical="top"/>
    </xf>
    <xf numFmtId="0" fontId="25" fillId="0" borderId="0" xfId="1" applyFont="1" applyFill="1" applyBorder="1" applyAlignment="1"/>
    <xf numFmtId="0" fontId="25" fillId="0" borderId="0" xfId="2" applyFont="1" applyFill="1" applyBorder="1" applyAlignment="1">
      <alignment horizontal="left" vertical="top"/>
    </xf>
    <xf numFmtId="1" fontId="25" fillId="0" borderId="18" xfId="1" applyNumberFormat="1" applyFont="1" applyFill="1" applyBorder="1" applyAlignment="1" applyProtection="1">
      <alignment horizontal="right" vertical="top"/>
    </xf>
    <xf numFmtId="0" fontId="25" fillId="0" borderId="18" xfId="1" applyFont="1" applyFill="1" applyBorder="1" applyAlignment="1">
      <alignment vertical="center"/>
    </xf>
    <xf numFmtId="1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2" applyNumberFormat="1" applyFont="1" applyFill="1" applyBorder="1" applyAlignment="1">
      <alignment horizontal="right" vertical="top"/>
    </xf>
    <xf numFmtId="0" fontId="30" fillId="0" borderId="18" xfId="0" applyFont="1" applyFill="1" applyBorder="1" applyAlignment="1">
      <alignment horizontal="center" vertical="top"/>
    </xf>
    <xf numFmtId="2" fontId="24" fillId="0" borderId="18" xfId="1" applyNumberFormat="1" applyFont="1" applyFill="1" applyBorder="1" applyAlignment="1" applyProtection="1">
      <alignment horizontal="right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2" fontId="5" fillId="0" borderId="18" xfId="1" applyNumberFormat="1" applyFont="1" applyFill="1" applyBorder="1" applyAlignment="1" applyProtection="1">
      <alignment horizontal="right" vertical="top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30" fillId="0" borderId="18" xfId="0" applyFont="1" applyBorder="1" applyAlignment="1">
      <alignment horizontal="center" vertical="top"/>
    </xf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7" fillId="0" borderId="37" xfId="4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7" fillId="0" borderId="39" xfId="4" applyFont="1" applyFill="1" applyBorder="1" applyAlignment="1">
      <alignment horizontal="center" vertical="top" wrapText="1"/>
    </xf>
    <xf numFmtId="0" fontId="35" fillId="5" borderId="0" xfId="0" applyFont="1" applyFill="1"/>
    <xf numFmtId="0" fontId="34" fillId="5" borderId="0" xfId="0" applyFont="1" applyFill="1"/>
    <xf numFmtId="0" fontId="34" fillId="5" borderId="0" xfId="0" applyFont="1" applyFill="1" applyAlignment="1">
      <alignment horizontal="right"/>
    </xf>
    <xf numFmtId="0" fontId="35" fillId="5" borderId="24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/>
    </xf>
    <xf numFmtId="0" fontId="37" fillId="0" borderId="40" xfId="4" applyFont="1" applyFill="1" applyBorder="1" applyAlignment="1">
      <alignment horizontal="center" vertical="top" wrapText="1"/>
    </xf>
    <xf numFmtId="0" fontId="34" fillId="0" borderId="35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5" borderId="33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center" vertical="center"/>
    </xf>
    <xf numFmtId="2" fontId="34" fillId="5" borderId="34" xfId="0" applyNumberFormat="1" applyFont="1" applyFill="1" applyBorder="1" applyAlignment="1">
      <alignment horizontal="center" vertical="center"/>
    </xf>
    <xf numFmtId="166" fontId="34" fillId="5" borderId="35" xfId="0" applyNumberFormat="1" applyFont="1" applyFill="1" applyBorder="1" applyAlignment="1">
      <alignment horizontal="right" vertical="center"/>
    </xf>
    <xf numFmtId="0" fontId="34" fillId="5" borderId="36" xfId="0" applyFont="1" applyFill="1" applyBorder="1"/>
    <xf numFmtId="0" fontId="34" fillId="5" borderId="0" xfId="0" applyFont="1" applyFill="1" applyAlignment="1">
      <alignment vertical="center"/>
    </xf>
    <xf numFmtId="2" fontId="34" fillId="5" borderId="0" xfId="0" applyNumberFormat="1" applyFont="1" applyFill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right" vertical="center"/>
    </xf>
    <xf numFmtId="0" fontId="38" fillId="5" borderId="0" xfId="4" applyFont="1" applyFill="1" applyBorder="1" applyAlignment="1">
      <alignment vertical="top" wrapText="1"/>
    </xf>
    <xf numFmtId="0" fontId="38" fillId="5" borderId="0" xfId="4" applyFont="1" applyFill="1" applyBorder="1" applyAlignment="1">
      <alignment horizontal="left" vertical="top" wrapText="1"/>
    </xf>
    <xf numFmtId="0" fontId="38" fillId="5" borderId="0" xfId="4" applyFont="1" applyFill="1" applyBorder="1" applyAlignment="1">
      <alignment horizontal="right" vertical="top" wrapText="1"/>
    </xf>
    <xf numFmtId="0" fontId="34" fillId="0" borderId="23" xfId="0" applyFont="1" applyBorder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right"/>
    </xf>
    <xf numFmtId="0" fontId="35" fillId="0" borderId="28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5" fillId="0" borderId="41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/>
    </xf>
    <xf numFmtId="0" fontId="35" fillId="0" borderId="62" xfId="0" applyFont="1" applyBorder="1" applyAlignment="1">
      <alignment horizontal="left"/>
    </xf>
    <xf numFmtId="0" fontId="35" fillId="0" borderId="55" xfId="0" applyFont="1" applyBorder="1" applyAlignment="1">
      <alignment horizontal="center"/>
    </xf>
    <xf numFmtId="0" fontId="35" fillId="0" borderId="5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/>
    </xf>
    <xf numFmtId="0" fontId="39" fillId="0" borderId="63" xfId="0" applyFont="1" applyBorder="1" applyAlignment="1">
      <alignment vertical="top"/>
    </xf>
    <xf numFmtId="0" fontId="34" fillId="0" borderId="18" xfId="0" applyFont="1" applyBorder="1" applyAlignment="1">
      <alignment horizontal="center"/>
    </xf>
    <xf numFmtId="2" fontId="34" fillId="0" borderId="18" xfId="0" applyNumberFormat="1" applyFont="1" applyBorder="1" applyAlignment="1">
      <alignment horizontal="center"/>
    </xf>
    <xf numFmtId="0" fontId="34" fillId="0" borderId="18" xfId="0" applyFont="1" applyBorder="1" applyAlignment="1">
      <alignment horizontal="right"/>
    </xf>
    <xf numFmtId="0" fontId="34" fillId="0" borderId="18" xfId="0" applyFont="1" applyBorder="1"/>
    <xf numFmtId="167" fontId="35" fillId="0" borderId="18" xfId="5" applyFont="1" applyBorder="1" applyAlignment="1">
      <alignment horizontal="right"/>
    </xf>
    <xf numFmtId="167" fontId="35" fillId="0" borderId="64" xfId="5" applyFont="1" applyBorder="1" applyAlignment="1">
      <alignment horizontal="right"/>
    </xf>
    <xf numFmtId="0" fontId="34" fillId="0" borderId="0" xfId="0" applyFont="1" applyBorder="1"/>
    <xf numFmtId="0" fontId="34" fillId="0" borderId="18" xfId="0" applyFont="1" applyFill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0" borderId="42" xfId="4" applyFont="1" applyFill="1" applyBorder="1" applyAlignment="1">
      <alignment vertical="top" wrapText="1"/>
    </xf>
    <xf numFmtId="0" fontId="39" fillId="0" borderId="62" xfId="0" applyFont="1" applyBorder="1" applyAlignment="1">
      <alignment vertical="top"/>
    </xf>
    <xf numFmtId="167" fontId="34" fillId="0" borderId="46" xfId="5" applyFont="1" applyFill="1" applyBorder="1" applyAlignment="1">
      <alignment horizontal="center"/>
    </xf>
    <xf numFmtId="167" fontId="34" fillId="0" borderId="46" xfId="5" applyFont="1" applyBorder="1" applyAlignment="1">
      <alignment horizontal="center"/>
    </xf>
    <xf numFmtId="164" fontId="34" fillId="0" borderId="46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67" fontId="34" fillId="0" borderId="0" xfId="5" applyFont="1" applyFill="1" applyBorder="1" applyAlignment="1">
      <alignment horizontal="center"/>
    </xf>
    <xf numFmtId="164" fontId="34" fillId="0" borderId="0" xfId="0" applyNumberFormat="1" applyFont="1" applyBorder="1"/>
    <xf numFmtId="166" fontId="35" fillId="0" borderId="0" xfId="0" applyNumberFormat="1" applyFont="1" applyFill="1" applyBorder="1" applyAlignment="1">
      <alignment horizontal="right"/>
    </xf>
    <xf numFmtId="166" fontId="35" fillId="0" borderId="38" xfId="0" applyNumberFormat="1" applyFont="1" applyFill="1" applyBorder="1" applyAlignment="1">
      <alignment horizontal="right"/>
    </xf>
    <xf numFmtId="0" fontId="35" fillId="5" borderId="28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 wrapText="1"/>
    </xf>
    <xf numFmtId="0" fontId="35" fillId="5" borderId="4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34" fillId="5" borderId="42" xfId="0" applyFont="1" applyFill="1" applyBorder="1"/>
    <xf numFmtId="0" fontId="34" fillId="5" borderId="43" xfId="0" applyFont="1" applyFill="1" applyBorder="1" applyAlignment="1">
      <alignment horizontal="center"/>
    </xf>
    <xf numFmtId="2" fontId="34" fillId="5" borderId="43" xfId="0" applyNumberFormat="1" applyFont="1" applyFill="1" applyBorder="1"/>
    <xf numFmtId="166" fontId="34" fillId="5" borderId="44" xfId="0" applyNumberFormat="1" applyFont="1" applyFill="1" applyBorder="1" applyAlignment="1">
      <alignment horizontal="right"/>
    </xf>
    <xf numFmtId="166" fontId="34" fillId="5" borderId="0" xfId="0" applyNumberFormat="1" applyFont="1" applyFill="1" applyBorder="1"/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3" xfId="0" applyFont="1" applyBorder="1"/>
    <xf numFmtId="166" fontId="34" fillId="0" borderId="44" xfId="0" applyNumberFormat="1" applyFont="1" applyBorder="1"/>
    <xf numFmtId="0" fontId="34" fillId="5" borderId="34" xfId="0" applyFont="1" applyFill="1" applyBorder="1"/>
    <xf numFmtId="0" fontId="34" fillId="5" borderId="48" xfId="0" applyFont="1" applyFill="1" applyBorder="1" applyAlignment="1">
      <alignment horizontal="center"/>
    </xf>
    <xf numFmtId="2" fontId="34" fillId="5" borderId="48" xfId="0" applyNumberFormat="1" applyFont="1" applyFill="1" applyBorder="1"/>
    <xf numFmtId="166" fontId="34" fillId="5" borderId="49" xfId="0" applyNumberFormat="1" applyFont="1" applyFill="1" applyBorder="1" applyAlignment="1">
      <alignment horizontal="right"/>
    </xf>
    <xf numFmtId="0" fontId="35" fillId="5" borderId="0" xfId="0" applyFont="1" applyFill="1" applyAlignment="1">
      <alignment horizontal="center"/>
    </xf>
    <xf numFmtId="166" fontId="34" fillId="0" borderId="34" xfId="0" applyNumberFormat="1" applyFont="1" applyBorder="1"/>
    <xf numFmtId="9" fontId="34" fillId="0" borderId="49" xfId="3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5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 applyBorder="1"/>
    <xf numFmtId="168" fontId="34" fillId="5" borderId="0" xfId="0" applyNumberFormat="1" applyFont="1" applyFill="1" applyBorder="1" applyAlignment="1">
      <alignment horizontal="right"/>
    </xf>
    <xf numFmtId="166" fontId="34" fillId="5" borderId="34" xfId="0" applyNumberFormat="1" applyFont="1" applyFill="1" applyBorder="1"/>
    <xf numFmtId="9" fontId="34" fillId="5" borderId="49" xfId="3" applyFont="1" applyFill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/>
    <xf numFmtId="166" fontId="34" fillId="0" borderId="51" xfId="0" applyNumberFormat="1" applyFont="1" applyBorder="1"/>
    <xf numFmtId="166" fontId="34" fillId="5" borderId="0" xfId="0" applyNumberFormat="1" applyFont="1" applyFill="1"/>
    <xf numFmtId="0" fontId="35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right" vertical="center"/>
    </xf>
    <xf numFmtId="0" fontId="35" fillId="0" borderId="53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25" xfId="0" applyFont="1" applyBorder="1"/>
    <xf numFmtId="0" fontId="34" fillId="0" borderId="53" xfId="0" applyFont="1" applyBorder="1"/>
    <xf numFmtId="166" fontId="35" fillId="0" borderId="53" xfId="0" applyNumberFormat="1" applyFont="1" applyBorder="1"/>
    <xf numFmtId="166" fontId="35" fillId="0" borderId="27" xfId="0" applyNumberFormat="1" applyFont="1" applyBorder="1"/>
    <xf numFmtId="169" fontId="34" fillId="0" borderId="50" xfId="0" applyNumberFormat="1" applyFont="1" applyBorder="1"/>
    <xf numFmtId="0" fontId="34" fillId="0" borderId="72" xfId="0" applyFont="1" applyBorder="1" applyAlignment="1">
      <alignment horizontal="center"/>
    </xf>
    <xf numFmtId="2" fontId="34" fillId="0" borderId="72" xfId="0" applyNumberFormat="1" applyFont="1" applyBorder="1" applyAlignment="1">
      <alignment horizontal="right" vertical="center"/>
    </xf>
    <xf numFmtId="2" fontId="34" fillId="0" borderId="72" xfId="0" applyNumberFormat="1" applyFont="1" applyBorder="1" applyAlignment="1">
      <alignment horizontal="center" vertical="center"/>
    </xf>
    <xf numFmtId="167" fontId="34" fillId="0" borderId="72" xfId="5" applyFont="1" applyBorder="1" applyAlignment="1">
      <alignment horizontal="center" vertical="center"/>
    </xf>
    <xf numFmtId="166" fontId="35" fillId="0" borderId="73" xfId="0" applyNumberFormat="1" applyFont="1" applyBorder="1"/>
    <xf numFmtId="166" fontId="35" fillId="0" borderId="47" xfId="0" applyNumberFormat="1" applyFont="1" applyBorder="1"/>
    <xf numFmtId="166" fontId="35" fillId="0" borderId="61" xfId="0" applyNumberFormat="1" applyFont="1" applyBorder="1"/>
    <xf numFmtId="2" fontId="34" fillId="0" borderId="0" xfId="0" applyNumberFormat="1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35" fillId="0" borderId="45" xfId="0" applyFont="1" applyBorder="1"/>
    <xf numFmtId="0" fontId="34" fillId="0" borderId="46" xfId="0" applyFont="1" applyBorder="1"/>
    <xf numFmtId="166" fontId="35" fillId="0" borderId="46" xfId="0" applyNumberFormat="1" applyFont="1" applyBorder="1"/>
    <xf numFmtId="2" fontId="34" fillId="0" borderId="46" xfId="0" applyNumberFormat="1" applyFont="1" applyBorder="1" applyAlignment="1">
      <alignment horizontal="right" vertical="center"/>
    </xf>
    <xf numFmtId="2" fontId="34" fillId="0" borderId="46" xfId="0" applyNumberFormat="1" applyFont="1" applyBorder="1" applyAlignment="1">
      <alignment horizontal="center" vertical="center"/>
    </xf>
    <xf numFmtId="166" fontId="34" fillId="0" borderId="46" xfId="0" applyNumberFormat="1" applyFont="1" applyBorder="1" applyAlignment="1">
      <alignment horizontal="center"/>
    </xf>
    <xf numFmtId="0" fontId="34" fillId="0" borderId="34" xfId="0" applyFont="1" applyBorder="1"/>
    <xf numFmtId="0" fontId="34" fillId="0" borderId="48" xfId="0" applyFont="1" applyBorder="1"/>
    <xf numFmtId="0" fontId="34" fillId="0" borderId="48" xfId="0" applyFont="1" applyBorder="1" applyAlignment="1">
      <alignment horizontal="right"/>
    </xf>
    <xf numFmtId="0" fontId="34" fillId="0" borderId="49" xfId="0" applyFont="1" applyBorder="1"/>
    <xf numFmtId="0" fontId="35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5" fillId="0" borderId="49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5" fillId="0" borderId="42" xfId="0" applyFont="1" applyFill="1" applyBorder="1" applyAlignment="1">
      <alignment horizontal="left"/>
    </xf>
    <xf numFmtId="0" fontId="35" fillId="0" borderId="43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/>
    <xf numFmtId="0" fontId="34" fillId="0" borderId="45" xfId="0" applyFont="1" applyFill="1" applyBorder="1"/>
    <xf numFmtId="0" fontId="34" fillId="0" borderId="46" xfId="0" applyFont="1" applyFill="1" applyBorder="1" applyAlignment="1">
      <alignment horizontal="center"/>
    </xf>
    <xf numFmtId="166" fontId="34" fillId="0" borderId="47" xfId="0" applyNumberFormat="1" applyFont="1" applyFill="1" applyBorder="1"/>
    <xf numFmtId="166" fontId="34" fillId="0" borderId="0" xfId="0" applyNumberFormat="1" applyFont="1" applyFill="1" applyBorder="1" applyAlignment="1">
      <alignment horizontal="right"/>
    </xf>
    <xf numFmtId="0" fontId="34" fillId="0" borderId="37" xfId="0" applyFont="1" applyFill="1" applyBorder="1"/>
    <xf numFmtId="0" fontId="34" fillId="0" borderId="57" xfId="0" applyFont="1" applyFill="1" applyBorder="1" applyAlignment="1">
      <alignment horizontal="center"/>
    </xf>
    <xf numFmtId="166" fontId="34" fillId="0" borderId="58" xfId="0" applyNumberFormat="1" applyFont="1" applyFill="1" applyBorder="1"/>
    <xf numFmtId="166" fontId="34" fillId="0" borderId="49" xfId="0" applyNumberFormat="1" applyFont="1" applyBorder="1"/>
    <xf numFmtId="166" fontId="34" fillId="0" borderId="0" xfId="0" applyNumberFormat="1" applyFont="1" applyBorder="1" applyAlignment="1">
      <alignment horizontal="right"/>
    </xf>
    <xf numFmtId="166" fontId="35" fillId="0" borderId="43" xfId="0" applyNumberFormat="1" applyFont="1" applyBorder="1"/>
    <xf numFmtId="166" fontId="35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/>
    <xf numFmtId="0" fontId="35" fillId="0" borderId="42" xfId="0" applyFont="1" applyBorder="1"/>
    <xf numFmtId="166" fontId="34" fillId="0" borderId="4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top"/>
    </xf>
    <xf numFmtId="2" fontId="27" fillId="0" borderId="18" xfId="1" applyNumberFormat="1" applyFont="1" applyBorder="1" applyAlignment="1">
      <alignment horizontal="right" vertical="top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9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4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/>
    </xf>
    <xf numFmtId="0" fontId="39" fillId="0" borderId="62" xfId="4" applyFont="1" applyFill="1" applyBorder="1" applyAlignment="1">
      <alignment vertical="top" wrapText="1"/>
    </xf>
    <xf numFmtId="0" fontId="34" fillId="0" borderId="0" xfId="0" applyFont="1" applyBorder="1" applyAlignment="1">
      <alignment horizontal="center"/>
    </xf>
    <xf numFmtId="167" fontId="34" fillId="0" borderId="0" xfId="5" applyFont="1" applyBorder="1" applyAlignment="1">
      <alignment horizontal="center"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9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9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2" fontId="41" fillId="0" borderId="0" xfId="2" applyNumberFormat="1" applyFont="1" applyFill="1" applyBorder="1" applyAlignment="1">
      <alignment horizontal="right" vertical="top"/>
    </xf>
    <xf numFmtId="2" fontId="42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1" fillId="0" borderId="0" xfId="0" applyFont="1" applyFill="1" applyBorder="1" applyAlignment="1">
      <alignment vertical="top" wrapText="1"/>
    </xf>
    <xf numFmtId="0" fontId="42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43" fillId="0" borderId="18" xfId="1" quotePrefix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vertical="top"/>
    </xf>
    <xf numFmtId="0" fontId="45" fillId="0" borderId="18" xfId="0" applyFont="1" applyFill="1" applyBorder="1" applyAlignment="1">
      <alignment vertical="top"/>
    </xf>
    <xf numFmtId="0" fontId="34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27" fillId="0" borderId="18" xfId="0" applyFont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166" fontId="34" fillId="0" borderId="0" xfId="0" applyNumberFormat="1" applyFont="1" applyBorder="1"/>
    <xf numFmtId="0" fontId="28" fillId="0" borderId="18" xfId="0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0" fontId="39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4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22" fillId="0" borderId="18" xfId="0" applyFont="1" applyFill="1" applyBorder="1" applyAlignment="1">
      <alignment horizontal="left" vertical="top" wrapText="1" indent="2"/>
    </xf>
    <xf numFmtId="0" fontId="27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center" indent="3"/>
    </xf>
    <xf numFmtId="0" fontId="25" fillId="0" borderId="18" xfId="0" applyFont="1" applyFill="1" applyBorder="1" applyAlignment="1">
      <alignment horizontal="left" vertical="top" indent="2"/>
    </xf>
    <xf numFmtId="0" fontId="25" fillId="0" borderId="18" xfId="0" applyFont="1" applyFill="1" applyBorder="1" applyAlignment="1">
      <alignment horizontal="left" vertical="top" wrapText="1" indent="2"/>
    </xf>
    <xf numFmtId="0" fontId="27" fillId="0" borderId="18" xfId="0" applyFont="1" applyBorder="1" applyAlignment="1">
      <alignment horizontal="left" vertical="top" indent="3"/>
    </xf>
    <xf numFmtId="164" fontId="45" fillId="0" borderId="18" xfId="0" quotePrefix="1" applyNumberFormat="1" applyFont="1" applyFill="1" applyBorder="1" applyAlignment="1">
      <alignment horizontal="right" vertical="center"/>
    </xf>
    <xf numFmtId="164" fontId="44" fillId="0" borderId="18" xfId="0" quotePrefix="1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Fill="1" applyBorder="1" applyAlignment="1">
      <alignment horizontal="right" vertical="center"/>
    </xf>
    <xf numFmtId="0" fontId="25" fillId="0" borderId="18" xfId="1" quotePrefix="1" applyFont="1" applyFill="1" applyBorder="1" applyAlignment="1">
      <alignment horizontal="right" vertical="top"/>
    </xf>
    <xf numFmtId="0" fontId="25" fillId="0" borderId="18" xfId="1" quotePrefix="1" applyFont="1" applyFill="1" applyBorder="1" applyAlignment="1">
      <alignment horizontal="right" vertical="center"/>
    </xf>
    <xf numFmtId="0" fontId="22" fillId="0" borderId="18" xfId="0" quotePrefix="1" applyFont="1" applyBorder="1" applyAlignment="1">
      <alignment horizontal="right" vertical="top"/>
    </xf>
    <xf numFmtId="164" fontId="26" fillId="0" borderId="18" xfId="0" quotePrefix="1" applyNumberFormat="1" applyFont="1" applyBorder="1" applyAlignment="1">
      <alignment horizontal="right" vertical="center"/>
    </xf>
    <xf numFmtId="0" fontId="18" fillId="0" borderId="0" xfId="1" applyFont="1" applyFill="1" applyAlignment="1">
      <alignment horizontal="right" vertical="center"/>
    </xf>
    <xf numFmtId="0" fontId="27" fillId="0" borderId="18" xfId="0" applyFont="1" applyFill="1" applyBorder="1" applyAlignment="1">
      <alignment horizontal="left" vertical="top" indent="4"/>
    </xf>
    <xf numFmtId="0" fontId="27" fillId="0" borderId="18" xfId="0" applyFont="1" applyBorder="1" applyAlignment="1">
      <alignment horizontal="center" vertical="center"/>
    </xf>
    <xf numFmtId="1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2" applyNumberFormat="1" applyFont="1" applyFill="1" applyBorder="1" applyAlignment="1">
      <alignment horizontal="right" vertical="center"/>
    </xf>
    <xf numFmtId="2" fontId="25" fillId="0" borderId="18" xfId="1" applyNumberFormat="1" applyFont="1" applyFill="1" applyBorder="1" applyAlignment="1" applyProtection="1">
      <alignment horizontal="right" vertical="center"/>
    </xf>
    <xf numFmtId="0" fontId="27" fillId="0" borderId="18" xfId="0" applyFont="1" applyFill="1" applyBorder="1" applyAlignment="1">
      <alignment horizontal="left" vertical="center" wrapText="1" indent="3"/>
    </xf>
    <xf numFmtId="0" fontId="27" fillId="0" borderId="0" xfId="2" applyFont="1" applyFill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8" fillId="0" borderId="18" xfId="0" quotePrefix="1" applyNumberFormat="1" applyFont="1" applyFill="1" applyBorder="1" applyAlignment="1">
      <alignment horizontal="right" vertical="center"/>
    </xf>
    <xf numFmtId="0" fontId="48" fillId="0" borderId="76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left" vertical="top" indent="2"/>
    </xf>
    <xf numFmtId="0" fontId="25" fillId="7" borderId="18" xfId="0" applyFont="1" applyFill="1" applyBorder="1" applyAlignment="1">
      <alignment horizontal="center" vertical="top"/>
    </xf>
    <xf numFmtId="1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2" applyNumberFormat="1" applyFont="1" applyFill="1" applyBorder="1" applyAlignment="1">
      <alignment horizontal="right" vertical="top"/>
    </xf>
    <xf numFmtId="0" fontId="27" fillId="7" borderId="18" xfId="0" applyFont="1" applyFill="1" applyBorder="1" applyAlignment="1">
      <alignment horizontal="left" vertical="top" indent="3"/>
    </xf>
    <xf numFmtId="1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2" applyNumberFormat="1" applyFont="1" applyFill="1" applyBorder="1" applyAlignment="1">
      <alignment horizontal="right" vertical="top"/>
    </xf>
    <xf numFmtId="164" fontId="26" fillId="7" borderId="18" xfId="0" quotePrefix="1" applyNumberFormat="1" applyFont="1" applyFill="1" applyBorder="1" applyAlignment="1">
      <alignment horizontal="right" vertical="center"/>
    </xf>
    <xf numFmtId="0" fontId="25" fillId="7" borderId="18" xfId="1" applyFont="1" applyFill="1" applyBorder="1" applyAlignment="1">
      <alignment vertical="center"/>
    </xf>
    <xf numFmtId="0" fontId="28" fillId="7" borderId="18" xfId="0" applyFont="1" applyFill="1" applyBorder="1" applyAlignment="1">
      <alignment horizontal="center" vertical="top"/>
    </xf>
    <xf numFmtId="0" fontId="27" fillId="7" borderId="0" xfId="1" applyFont="1" applyFill="1" applyBorder="1" applyAlignment="1"/>
    <xf numFmtId="0" fontId="27" fillId="7" borderId="0" xfId="2" applyFont="1" applyFill="1" applyBorder="1" applyAlignment="1">
      <alignment horizontal="left" vertical="top"/>
    </xf>
    <xf numFmtId="0" fontId="27" fillId="7" borderId="0" xfId="1" applyFont="1" applyFill="1" applyBorder="1" applyAlignment="1">
      <alignment vertical="center"/>
    </xf>
    <xf numFmtId="2" fontId="5" fillId="7" borderId="18" xfId="1" applyNumberFormat="1" applyFont="1" applyFill="1" applyBorder="1" applyAlignment="1" applyProtection="1">
      <alignment horizontal="right" vertical="top"/>
    </xf>
    <xf numFmtId="1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2" applyNumberFormat="1" applyFont="1" applyFill="1" applyBorder="1" applyAlignment="1">
      <alignment horizontal="right" vertical="top"/>
    </xf>
    <xf numFmtId="0" fontId="22" fillId="7" borderId="18" xfId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center" wrapText="1" indent="2"/>
    </xf>
    <xf numFmtId="0" fontId="25" fillId="7" borderId="18" xfId="0" applyFont="1" applyFill="1" applyBorder="1" applyAlignment="1">
      <alignment horizontal="center" vertical="center"/>
    </xf>
    <xf numFmtId="1" fontId="25" fillId="7" borderId="18" xfId="1" applyNumberFormat="1" applyFont="1" applyFill="1" applyBorder="1" applyAlignment="1" applyProtection="1">
      <alignment horizontal="right" vertical="center"/>
      <protection locked="0"/>
    </xf>
    <xf numFmtId="2" fontId="27" fillId="7" borderId="18" xfId="1" applyNumberFormat="1" applyFont="1" applyFill="1" applyBorder="1" applyAlignment="1" applyProtection="1">
      <alignment horizontal="right" vertical="center"/>
      <protection locked="0"/>
    </xf>
    <xf numFmtId="1" fontId="27" fillId="7" borderId="18" xfId="1" applyNumberFormat="1" applyFont="1" applyFill="1" applyBorder="1" applyAlignment="1">
      <alignment horizontal="right" vertical="center"/>
    </xf>
    <xf numFmtId="2" fontId="27" fillId="7" borderId="18" xfId="1" applyNumberFormat="1" applyFont="1" applyFill="1" applyBorder="1" applyAlignment="1">
      <alignment horizontal="right" vertical="center"/>
    </xf>
    <xf numFmtId="2" fontId="27" fillId="7" borderId="18" xfId="2" applyNumberFormat="1" applyFont="1" applyFill="1" applyBorder="1" applyAlignment="1">
      <alignment horizontal="right" vertical="center"/>
    </xf>
    <xf numFmtId="2" fontId="25" fillId="7" borderId="18" xfId="1" applyNumberFormat="1" applyFont="1" applyFill="1" applyBorder="1" applyAlignment="1">
      <alignment horizontal="right" vertical="center"/>
    </xf>
    <xf numFmtId="2" fontId="25" fillId="7" borderId="18" xfId="2" applyNumberFormat="1" applyFont="1" applyFill="1" applyBorder="1" applyAlignment="1">
      <alignment horizontal="right" vertical="center"/>
    </xf>
    <xf numFmtId="164" fontId="44" fillId="7" borderId="76" xfId="0" quotePrefix="1" applyNumberFormat="1" applyFont="1" applyFill="1" applyBorder="1" applyAlignment="1">
      <alignment horizontal="right" vertical="center"/>
    </xf>
    <xf numFmtId="0" fontId="44" fillId="7" borderId="76" xfId="0" applyFont="1" applyFill="1" applyBorder="1" applyAlignment="1">
      <alignment horizontal="left" vertical="top" indent="1"/>
    </xf>
    <xf numFmtId="0" fontId="30" fillId="7" borderId="76" xfId="0" applyFont="1" applyFill="1" applyBorder="1" applyAlignment="1">
      <alignment horizontal="center" vertical="top"/>
    </xf>
    <xf numFmtId="1" fontId="29" fillId="7" borderId="76" xfId="1" applyNumberFormat="1" applyFont="1" applyFill="1" applyBorder="1" applyAlignment="1">
      <alignment horizontal="right" vertical="top"/>
    </xf>
    <xf numFmtId="2" fontId="29" fillId="7" borderId="76" xfId="1" applyNumberFormat="1" applyFont="1" applyFill="1" applyBorder="1" applyAlignment="1">
      <alignment horizontal="right" vertical="top"/>
    </xf>
    <xf numFmtId="2" fontId="29" fillId="7" borderId="76" xfId="2" applyNumberFormat="1" applyFont="1" applyFill="1" applyBorder="1" applyAlignment="1">
      <alignment horizontal="right" vertical="top"/>
    </xf>
    <xf numFmtId="2" fontId="24" fillId="7" borderId="76" xfId="1" applyNumberFormat="1" applyFont="1" applyFill="1" applyBorder="1" applyAlignment="1">
      <alignment horizontal="right" vertical="top"/>
    </xf>
    <xf numFmtId="0" fontId="35" fillId="0" borderId="80" xfId="0" applyFont="1" applyBorder="1" applyAlignment="1">
      <alignment horizontal="center"/>
    </xf>
    <xf numFmtId="0" fontId="35" fillId="0" borderId="81" xfId="0" applyFont="1" applyBorder="1" applyAlignment="1">
      <alignment horizontal="center"/>
    </xf>
    <xf numFmtId="164" fontId="44" fillId="0" borderId="79" xfId="0" quotePrefix="1" applyNumberFormat="1" applyFont="1" applyFill="1" applyBorder="1" applyAlignment="1">
      <alignment horizontal="right" vertical="center"/>
    </xf>
    <xf numFmtId="0" fontId="44" fillId="0" borderId="79" xfId="0" applyFont="1" applyFill="1" applyBorder="1" applyAlignment="1">
      <alignment horizontal="left" vertical="top" indent="1"/>
    </xf>
    <xf numFmtId="0" fontId="29" fillId="0" borderId="79" xfId="0" applyFont="1" applyBorder="1" applyAlignment="1">
      <alignment horizontal="center" vertical="top"/>
    </xf>
    <xf numFmtId="1" fontId="24" fillId="0" borderId="79" xfId="1" applyNumberFormat="1" applyFont="1" applyBorder="1" applyAlignment="1" applyProtection="1">
      <alignment horizontal="right" vertical="top"/>
      <protection locked="0"/>
    </xf>
    <xf numFmtId="2" fontId="29" fillId="0" borderId="79" xfId="1" applyNumberFormat="1" applyFont="1" applyBorder="1" applyAlignment="1" applyProtection="1">
      <alignment horizontal="right" vertical="top"/>
      <protection locked="0"/>
    </xf>
    <xf numFmtId="1" fontId="24" fillId="0" borderId="79" xfId="1" applyNumberFormat="1" applyFont="1" applyBorder="1" applyAlignment="1">
      <alignment horizontal="right" vertical="top"/>
    </xf>
    <xf numFmtId="2" fontId="24" fillId="0" borderId="79" xfId="1" applyNumberFormat="1" applyFont="1" applyBorder="1" applyAlignment="1">
      <alignment horizontal="right" vertical="top"/>
    </xf>
    <xf numFmtId="2" fontId="24" fillId="0" borderId="79" xfId="2" applyNumberFormat="1" applyFont="1" applyBorder="1" applyAlignment="1">
      <alignment horizontal="right" vertical="top"/>
    </xf>
    <xf numFmtId="0" fontId="27" fillId="7" borderId="18" xfId="1" applyFont="1" applyFill="1" applyBorder="1" applyAlignment="1">
      <alignment vertic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5" fillId="0" borderId="76" xfId="0" applyFont="1" applyFill="1" applyBorder="1" applyAlignment="1">
      <alignment horizontal="center" vertical="top"/>
    </xf>
    <xf numFmtId="1" fontId="25" fillId="0" borderId="76" xfId="1" applyNumberFormat="1" applyFont="1" applyFill="1" applyBorder="1" applyAlignment="1" applyProtection="1">
      <alignment horizontal="right" vertical="top"/>
    </xf>
    <xf numFmtId="2" fontId="27" fillId="0" borderId="76" xfId="1" applyNumberFormat="1" applyFont="1" applyFill="1" applyBorder="1" applyAlignment="1" applyProtection="1">
      <alignment horizontal="right" vertical="top"/>
    </xf>
    <xf numFmtId="2" fontId="25" fillId="0" borderId="76" xfId="1" applyNumberFormat="1" applyFont="1" applyFill="1" applyBorder="1" applyAlignment="1" applyProtection="1">
      <alignment horizontal="right" vertical="top"/>
    </xf>
    <xf numFmtId="2" fontId="25" fillId="0" borderId="76" xfId="2" applyNumberFormat="1" applyFont="1" applyFill="1" applyBorder="1" applyAlignment="1">
      <alignment horizontal="right" vertical="top"/>
    </xf>
    <xf numFmtId="0" fontId="25" fillId="0" borderId="76" xfId="1" applyFont="1" applyFill="1" applyBorder="1" applyAlignment="1">
      <alignment vertical="center"/>
    </xf>
    <xf numFmtId="0" fontId="25" fillId="0" borderId="18" xfId="1" quotePrefix="1" applyFont="1" applyBorder="1" applyAlignment="1">
      <alignment horizontal="left" vertical="top"/>
    </xf>
    <xf numFmtId="0" fontId="28" fillId="0" borderId="18" xfId="0" applyFont="1" applyBorder="1" applyAlignment="1">
      <alignment horizontal="left" vertical="center" indent="3"/>
    </xf>
    <xf numFmtId="0" fontId="25" fillId="0" borderId="79" xfId="0" applyFont="1" applyFill="1" applyBorder="1" applyAlignment="1">
      <alignment horizontal="left" vertical="top" wrapText="1" indent="2"/>
    </xf>
    <xf numFmtId="0" fontId="25" fillId="0" borderId="79" xfId="0" applyFont="1" applyFill="1" applyBorder="1" applyAlignment="1">
      <alignment horizontal="center" vertical="top"/>
    </xf>
    <xf numFmtId="1" fontId="25" fillId="0" borderId="79" xfId="1" applyNumberFormat="1" applyFont="1" applyFill="1" applyBorder="1" applyAlignment="1" applyProtection="1">
      <alignment horizontal="right" vertical="top"/>
    </xf>
    <xf numFmtId="2" fontId="27" fillId="0" borderId="79" xfId="1" applyNumberFormat="1" applyFont="1" applyFill="1" applyBorder="1" applyAlignment="1" applyProtection="1">
      <alignment horizontal="right" vertical="top"/>
    </xf>
    <xf numFmtId="2" fontId="25" fillId="0" borderId="79" xfId="1" applyNumberFormat="1" applyFont="1" applyFill="1" applyBorder="1" applyAlignment="1" applyProtection="1">
      <alignment horizontal="right" vertical="top"/>
    </xf>
    <xf numFmtId="2" fontId="25" fillId="0" borderId="79" xfId="2" applyNumberFormat="1" applyFont="1" applyFill="1" applyBorder="1" applyAlignment="1">
      <alignment horizontal="right" vertical="top"/>
    </xf>
    <xf numFmtId="2" fontId="25" fillId="0" borderId="79" xfId="1" applyNumberFormat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top" wrapText="1" indent="2"/>
    </xf>
    <xf numFmtId="164" fontId="44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" fontId="25" fillId="0" borderId="76" xfId="0" applyNumberFormat="1" applyFont="1" applyFill="1" applyBorder="1" applyAlignment="1">
      <alignment horizontal="center" vertical="top"/>
    </xf>
    <xf numFmtId="167" fontId="34" fillId="0" borderId="0" xfId="5" applyFont="1" applyBorder="1" applyAlignment="1">
      <alignment horizontal="center"/>
    </xf>
    <xf numFmtId="0" fontId="34" fillId="0" borderId="59" xfId="0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2" fontId="34" fillId="0" borderId="60" xfId="0" applyNumberFormat="1" applyFont="1" applyBorder="1" applyAlignment="1">
      <alignment horizontal="center" vertical="center"/>
    </xf>
    <xf numFmtId="2" fontId="51" fillId="0" borderId="18" xfId="1" applyNumberFormat="1" applyFont="1" applyFill="1" applyBorder="1" applyAlignment="1" applyProtection="1">
      <alignment horizontal="right" vertical="top"/>
    </xf>
    <xf numFmtId="2" fontId="51" fillId="0" borderId="18" xfId="2" applyNumberFormat="1" applyFont="1" applyFill="1" applyBorder="1" applyAlignment="1">
      <alignment horizontal="right" vertical="top"/>
    </xf>
    <xf numFmtId="2" fontId="51" fillId="0" borderId="18" xfId="1" applyNumberFormat="1" applyFont="1" applyBorder="1" applyAlignment="1">
      <alignment horizontal="right" vertical="top"/>
    </xf>
    <xf numFmtId="2" fontId="51" fillId="0" borderId="76" xfId="2" applyNumberFormat="1" applyFont="1" applyFill="1" applyBorder="1" applyAlignment="1">
      <alignment horizontal="right" vertical="top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9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36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left"/>
    </xf>
    <xf numFmtId="0" fontId="36" fillId="0" borderId="23" xfId="0" applyFont="1" applyBorder="1"/>
    <xf numFmtId="0" fontId="52" fillId="0" borderId="23" xfId="0" applyFont="1" applyFill="1" applyBorder="1" applyAlignment="1">
      <alignment horizontal="left" vertical="top"/>
    </xf>
    <xf numFmtId="0" fontId="52" fillId="0" borderId="23" xfId="0" applyFont="1" applyBorder="1" applyAlignment="1">
      <alignment horizontal="left" vertical="top"/>
    </xf>
    <xf numFmtId="0" fontId="54" fillId="0" borderId="23" xfId="0" applyFont="1" applyFill="1" applyBorder="1" applyAlignment="1">
      <alignment horizontal="left" vertical="top"/>
    </xf>
    <xf numFmtId="2" fontId="36" fillId="0" borderId="23" xfId="0" applyNumberFormat="1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2" fontId="52" fillId="7" borderId="23" xfId="0" applyNumberFormat="1" applyFont="1" applyFill="1" applyBorder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/>
    </xf>
    <xf numFmtId="0" fontId="40" fillId="0" borderId="23" xfId="0" applyFont="1" applyBorder="1"/>
    <xf numFmtId="0" fontId="40" fillId="0" borderId="23" xfId="0" applyFont="1" applyBorder="1" applyAlignment="1">
      <alignment horizontal="center"/>
    </xf>
    <xf numFmtId="168" fontId="25" fillId="7" borderId="18" xfId="1" applyNumberFormat="1" applyFont="1" applyFill="1" applyBorder="1" applyAlignment="1" applyProtection="1">
      <alignment horizontal="right" vertical="top"/>
    </xf>
    <xf numFmtId="0" fontId="25" fillId="0" borderId="79" xfId="0" applyFont="1" applyFill="1" applyBorder="1" applyAlignment="1">
      <alignment horizontal="left" vertical="top" indent="2"/>
    </xf>
    <xf numFmtId="0" fontId="25" fillId="0" borderId="79" xfId="1" applyFont="1" applyFill="1" applyBorder="1" applyAlignment="1">
      <alignment vertical="center"/>
    </xf>
    <xf numFmtId="1" fontId="25" fillId="0" borderId="18" xfId="1" applyNumberFormat="1" applyFont="1" applyFill="1" applyBorder="1" applyAlignment="1" applyProtection="1">
      <alignment vertical="top"/>
    </xf>
    <xf numFmtId="1" fontId="25" fillId="7" borderId="18" xfId="1" applyNumberFormat="1" applyFont="1" applyFill="1" applyBorder="1" applyAlignment="1" applyProtection="1">
      <alignment vertical="top"/>
    </xf>
    <xf numFmtId="0" fontId="25" fillId="0" borderId="79" xfId="0" applyFont="1" applyFill="1" applyBorder="1" applyAlignment="1">
      <alignment vertical="top"/>
    </xf>
    <xf numFmtId="1" fontId="25" fillId="0" borderId="79" xfId="1" applyNumberFormat="1" applyFont="1" applyFill="1" applyBorder="1" applyAlignment="1" applyProtection="1">
      <alignment vertical="top"/>
    </xf>
    <xf numFmtId="0" fontId="52" fillId="7" borderId="23" xfId="0" applyFont="1" applyFill="1" applyBorder="1" applyAlignment="1">
      <alignment horizontal="left" vertical="top"/>
    </xf>
    <xf numFmtId="0" fontId="52" fillId="0" borderId="23" xfId="0" applyFont="1" applyFill="1" applyBorder="1" applyAlignment="1">
      <alignment horizontal="left" vertical="center" wrapText="1"/>
    </xf>
    <xf numFmtId="0" fontId="54" fillId="0" borderId="23" xfId="0" applyFont="1" applyFill="1" applyBorder="1" applyAlignment="1">
      <alignment horizontal="left" vertical="center"/>
    </xf>
    <xf numFmtId="0" fontId="54" fillId="0" borderId="23" xfId="0" applyFont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27" fillId="0" borderId="18" xfId="0" applyFont="1" applyBorder="1" applyAlignment="1">
      <alignment horizontal="left" vertical="center" wrapText="1" indent="3"/>
    </xf>
    <xf numFmtId="0" fontId="52" fillId="0" borderId="23" xfId="0" applyFont="1" applyBorder="1" applyAlignment="1">
      <alignment horizontal="left" vertical="center" wrapText="1"/>
    </xf>
    <xf numFmtId="0" fontId="36" fillId="0" borderId="0" xfId="0" applyFont="1" applyAlignment="1">
      <alignment vertical="center"/>
    </xf>
    <xf numFmtId="0" fontId="36" fillId="0" borderId="23" xfId="0" applyFont="1" applyBorder="1" applyAlignment="1">
      <alignment vertical="center"/>
    </xf>
    <xf numFmtId="2" fontId="36" fillId="0" borderId="23" xfId="0" applyNumberFormat="1" applyFont="1" applyBorder="1" applyAlignment="1">
      <alignment horizontal="center" vertical="center"/>
    </xf>
    <xf numFmtId="1" fontId="40" fillId="0" borderId="23" xfId="0" applyNumberFormat="1" applyFont="1" applyBorder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1" fontId="51" fillId="0" borderId="76" xfId="2" applyNumberFormat="1" applyFont="1" applyFill="1" applyBorder="1" applyAlignment="1">
      <alignment horizontal="right" vertical="top"/>
    </xf>
    <xf numFmtId="0" fontId="54" fillId="0" borderId="23" xfId="0" applyFont="1" applyFill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/>
    </xf>
    <xf numFmtId="1" fontId="25" fillId="0" borderId="18" xfId="1" applyNumberFormat="1" applyFont="1" applyFill="1" applyBorder="1" applyAlignment="1" applyProtection="1">
      <alignment horizontal="right" vertical="top"/>
      <protection locked="0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1" fontId="25" fillId="0" borderId="18" xfId="1" applyNumberFormat="1" applyFont="1" applyFill="1" applyBorder="1" applyAlignment="1">
      <alignment horizontal="right" vertical="top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1" fontId="27" fillId="0" borderId="18" xfId="1" applyNumberFormat="1" applyFont="1" applyFill="1" applyBorder="1" applyAlignment="1">
      <alignment horizontal="right" vertical="top"/>
    </xf>
    <xf numFmtId="43" fontId="50" fillId="0" borderId="82" xfId="0" applyNumberFormat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horizontal="left" vertical="top"/>
    </xf>
    <xf numFmtId="0" fontId="25" fillId="0" borderId="18" xfId="0" applyFont="1" applyFill="1" applyBorder="1" applyAlignment="1">
      <alignment horizontal="left" vertical="top"/>
    </xf>
    <xf numFmtId="164" fontId="26" fillId="0" borderId="18" xfId="0" quotePrefix="1" applyNumberFormat="1" applyFont="1" applyBorder="1" applyAlignment="1">
      <alignment horizontal="left" vertical="center"/>
    </xf>
    <xf numFmtId="0" fontId="22" fillId="0" borderId="18" xfId="0" applyFont="1" applyBorder="1" applyAlignment="1">
      <alignment horizontal="left" vertical="top"/>
    </xf>
    <xf numFmtId="0" fontId="2" fillId="0" borderId="0" xfId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/>
    </xf>
    <xf numFmtId="0" fontId="41" fillId="0" borderId="0" xfId="0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left" vertical="center"/>
    </xf>
    <xf numFmtId="0" fontId="34" fillId="0" borderId="74" xfId="0" applyFont="1" applyBorder="1" applyAlignment="1">
      <alignment horizontal="right"/>
    </xf>
    <xf numFmtId="0" fontId="34" fillId="0" borderId="75" xfId="0" applyFont="1" applyBorder="1" applyAlignment="1">
      <alignment horizontal="right"/>
    </xf>
    <xf numFmtId="0" fontId="34" fillId="0" borderId="73" xfId="0" applyFont="1" applyBorder="1" applyAlignment="1">
      <alignment horizontal="right"/>
    </xf>
    <xf numFmtId="0" fontId="35" fillId="6" borderId="66" xfId="0" applyFont="1" applyFill="1" applyBorder="1" applyAlignment="1">
      <alignment horizontal="center"/>
    </xf>
    <xf numFmtId="0" fontId="35" fillId="6" borderId="67" xfId="0" applyFont="1" applyFill="1" applyBorder="1" applyAlignment="1">
      <alignment horizontal="center"/>
    </xf>
    <xf numFmtId="0" fontId="35" fillId="6" borderId="68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4" borderId="69" xfId="0" applyFont="1" applyFill="1" applyBorder="1" applyAlignment="1">
      <alignment horizontal="center"/>
    </xf>
    <xf numFmtId="0" fontId="35" fillId="4" borderId="70" xfId="0" applyFont="1" applyFill="1" applyBorder="1" applyAlignment="1">
      <alignment horizontal="center"/>
    </xf>
    <xf numFmtId="0" fontId="35" fillId="4" borderId="71" xfId="0" applyFont="1" applyFill="1" applyBorder="1" applyAlignment="1">
      <alignment horizontal="center"/>
    </xf>
    <xf numFmtId="0" fontId="35" fillId="4" borderId="6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/>
    </xf>
    <xf numFmtId="0" fontId="35" fillId="4" borderId="36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5" fillId="5" borderId="27" xfId="0" applyFont="1" applyFill="1" applyBorder="1" applyAlignment="1">
      <alignment horizontal="center"/>
    </xf>
    <xf numFmtId="0" fontId="34" fillId="0" borderId="59" xfId="0" applyFont="1" applyBorder="1" applyAlignment="1">
      <alignment horizontal="right"/>
    </xf>
    <xf numFmtId="0" fontId="34" fillId="0" borderId="60" xfId="0" applyFont="1" applyBorder="1" applyAlignment="1">
      <alignment horizontal="right"/>
    </xf>
    <xf numFmtId="0" fontId="34" fillId="0" borderId="61" xfId="0" applyFont="1" applyBorder="1" applyAlignment="1">
      <alignment horizontal="right"/>
    </xf>
    <xf numFmtId="0" fontId="35" fillId="0" borderId="30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wrapText="1"/>
    </xf>
    <xf numFmtId="0" fontId="53" fillId="8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horizontal="left" vertical="center"/>
    </xf>
    <xf numFmtId="0" fontId="4" fillId="3" borderId="15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  <xf numFmtId="0" fontId="27" fillId="0" borderId="83" xfId="1" applyFont="1" applyFill="1" applyBorder="1" applyAlignment="1">
      <alignment vertical="center"/>
    </xf>
    <xf numFmtId="0" fontId="27" fillId="0" borderId="84" xfId="1" applyFont="1" applyFill="1" applyBorder="1" applyAlignment="1">
      <alignment vertical="center"/>
    </xf>
    <xf numFmtId="0" fontId="19" fillId="0" borderId="84" xfId="1" applyNumberFormat="1" applyFont="1" applyFill="1" applyBorder="1" applyAlignment="1">
      <alignment horizontal="center" vertical="center"/>
    </xf>
    <xf numFmtId="0" fontId="19" fillId="0" borderId="85" xfId="1" applyNumberFormat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 vertical="center"/>
    </xf>
    <xf numFmtId="2" fontId="25" fillId="7" borderId="79" xfId="1" applyNumberFormat="1" applyFont="1" applyFill="1" applyBorder="1" applyAlignment="1">
      <alignment horizontal="right" vertical="center"/>
    </xf>
    <xf numFmtId="0" fontId="18" fillId="0" borderId="84" xfId="1" applyFont="1" applyFill="1" applyBorder="1" applyAlignment="1">
      <alignment horizontal="center" vertical="center"/>
    </xf>
    <xf numFmtId="1" fontId="27" fillId="0" borderId="85" xfId="1" applyNumberFormat="1" applyFont="1" applyBorder="1" applyAlignment="1">
      <alignment horizontal="right" vertical="top"/>
    </xf>
    <xf numFmtId="0" fontId="27" fillId="0" borderId="18" xfId="1" applyFont="1" applyFill="1" applyBorder="1" applyAlignment="1">
      <alignment vertical="center"/>
    </xf>
    <xf numFmtId="0" fontId="18" fillId="0" borderId="82" xfId="1" applyFont="1" applyFill="1" applyBorder="1" applyAlignment="1">
      <alignment horizontal="center" vertical="center"/>
    </xf>
    <xf numFmtId="0" fontId="27" fillId="0" borderId="82" xfId="1" applyFont="1" applyFill="1" applyBorder="1" applyAlignment="1">
      <alignment vertical="center"/>
    </xf>
    <xf numFmtId="0" fontId="18" fillId="0" borderId="82" xfId="1" applyFont="1" applyBorder="1" applyAlignment="1">
      <alignment horizontal="center" vertical="center"/>
    </xf>
    <xf numFmtId="1" fontId="27" fillId="0" borderId="84" xfId="1" applyNumberFormat="1" applyFont="1" applyFill="1" applyBorder="1" applyAlignment="1" applyProtection="1">
      <alignment horizontal="right" vertical="top"/>
    </xf>
    <xf numFmtId="1" fontId="22" fillId="0" borderId="84" xfId="1" applyNumberFormat="1" applyFont="1" applyFill="1" applyBorder="1" applyAlignment="1" applyProtection="1">
      <alignment horizontal="right" vertical="top"/>
    </xf>
    <xf numFmtId="2" fontId="27" fillId="0" borderId="85" xfId="1" applyNumberFormat="1" applyFont="1" applyFill="1" applyBorder="1" applyAlignment="1" applyProtection="1">
      <alignment horizontal="right" vertical="top"/>
    </xf>
    <xf numFmtId="2" fontId="19" fillId="0" borderId="18" xfId="1" applyNumberFormat="1" applyFont="1" applyFill="1" applyBorder="1" applyAlignment="1">
      <alignment horizontal="right" vertical="center"/>
    </xf>
    <xf numFmtId="2" fontId="19" fillId="0" borderId="82" xfId="1" applyNumberFormat="1" applyFont="1" applyBorder="1" applyAlignment="1">
      <alignment horizontal="right" vertical="center"/>
    </xf>
    <xf numFmtId="2" fontId="27" fillId="0" borderId="85" xfId="1" applyNumberFormat="1" applyFont="1" applyBorder="1" applyAlignment="1">
      <alignment horizontal="right" vertical="top"/>
    </xf>
    <xf numFmtId="1" fontId="27" fillId="0" borderId="84" xfId="1" applyNumberFormat="1" applyFont="1" applyBorder="1" applyAlignment="1">
      <alignment horizontal="right" vertical="top"/>
    </xf>
    <xf numFmtId="2" fontId="27" fillId="0" borderId="85" xfId="2" applyNumberFormat="1" applyFont="1" applyFill="1" applyBorder="1" applyAlignment="1">
      <alignment horizontal="right" vertical="top"/>
    </xf>
    <xf numFmtId="2" fontId="27" fillId="0" borderId="85" xfId="2" applyNumberFormat="1" applyFont="1" applyBorder="1" applyAlignment="1">
      <alignment horizontal="right" vertical="top"/>
    </xf>
    <xf numFmtId="2" fontId="19" fillId="0" borderId="18" xfId="1" applyNumberFormat="1" applyFont="1" applyFill="1" applyBorder="1" applyAlignment="1">
      <alignment horizontal="center" vertical="center"/>
    </xf>
    <xf numFmtId="2" fontId="19" fillId="0" borderId="82" xfId="1" applyNumberFormat="1" applyFont="1" applyBorder="1" applyAlignment="1">
      <alignment horizontal="center" vertical="center"/>
    </xf>
    <xf numFmtId="2" fontId="22" fillId="0" borderId="85" xfId="1" applyNumberFormat="1" applyFont="1" applyFill="1" applyBorder="1" applyAlignment="1" applyProtection="1">
      <alignment horizontal="right" vertical="top"/>
    </xf>
    <xf numFmtId="0" fontId="27" fillId="0" borderId="85" xfId="1" applyFont="1" applyFill="1" applyBorder="1" applyAlignment="1">
      <alignment vertical="center"/>
    </xf>
    <xf numFmtId="0" fontId="27" fillId="0" borderId="87" xfId="1" applyFont="1" applyFill="1" applyBorder="1" applyAlignment="1">
      <alignment vertical="center"/>
    </xf>
    <xf numFmtId="2" fontId="19" fillId="0" borderId="85" xfId="1" applyNumberFormat="1" applyFont="1" applyFill="1" applyBorder="1" applyAlignment="1">
      <alignment horizontal="right" vertical="center"/>
    </xf>
    <xf numFmtId="2" fontId="19" fillId="0" borderId="87" xfId="1" applyNumberFormat="1" applyFont="1" applyBorder="1" applyAlignment="1">
      <alignment horizontal="right" vertical="center"/>
    </xf>
    <xf numFmtId="2" fontId="25" fillId="0" borderId="85" xfId="1" applyNumberFormat="1" applyFont="1" applyFill="1" applyBorder="1" applyAlignment="1">
      <alignment horizontal="right" vertical="top"/>
    </xf>
    <xf numFmtId="0" fontId="22" fillId="0" borderId="85" xfId="1" applyFont="1" applyFill="1" applyBorder="1" applyAlignment="1">
      <alignment vertical="center"/>
    </xf>
    <xf numFmtId="1" fontId="19" fillId="0" borderId="18" xfId="1" applyNumberFormat="1" applyFont="1" applyFill="1" applyBorder="1" applyAlignment="1">
      <alignment horizontal="right" vertical="center"/>
    </xf>
    <xf numFmtId="1" fontId="19" fillId="0" borderId="82" xfId="1" applyNumberFormat="1" applyFont="1" applyBorder="1" applyAlignment="1">
      <alignment horizontal="right" vertical="center"/>
    </xf>
    <xf numFmtId="0" fontId="25" fillId="0" borderId="85" xfId="1" quotePrefix="1" applyFont="1" applyFill="1" applyBorder="1" applyAlignment="1">
      <alignment horizontal="right" vertical="top"/>
    </xf>
    <xf numFmtId="0" fontId="27" fillId="0" borderId="87" xfId="2" applyFont="1" applyFill="1" applyBorder="1" applyAlignment="1">
      <alignment horizontal="left" vertical="top"/>
    </xf>
    <xf numFmtId="0" fontId="19" fillId="0" borderId="86" xfId="1" applyFont="1" applyFill="1" applyBorder="1" applyAlignment="1">
      <alignment horizontal="right" vertical="center"/>
    </xf>
    <xf numFmtId="0" fontId="19" fillId="0" borderId="88" xfId="1" applyFont="1" applyFill="1" applyBorder="1" applyAlignment="1">
      <alignment horizontal="center" vertical="center"/>
    </xf>
    <xf numFmtId="2" fontId="19" fillId="0" borderId="88" xfId="1" applyNumberFormat="1" applyFont="1" applyFill="1" applyBorder="1" applyAlignment="1">
      <alignment horizontal="right" vertical="center"/>
    </xf>
    <xf numFmtId="168" fontId="19" fillId="0" borderId="89" xfId="1" applyNumberFormat="1" applyFont="1" applyFill="1" applyBorder="1" applyAlignment="1">
      <alignment vertical="center"/>
    </xf>
    <xf numFmtId="0" fontId="19" fillId="0" borderId="79" xfId="1" applyFont="1" applyFill="1" applyBorder="1" applyAlignment="1">
      <alignment horizontal="left" vertical="center" indent="3"/>
    </xf>
    <xf numFmtId="168" fontId="19" fillId="0" borderId="79" xfId="1" applyNumberFormat="1" applyFont="1" applyFill="1" applyBorder="1" applyAlignment="1">
      <alignment horizontal="right"/>
    </xf>
    <xf numFmtId="2" fontId="19" fillId="0" borderId="79" xfId="1" applyNumberFormat="1" applyFont="1" applyFill="1" applyBorder="1" applyAlignment="1">
      <alignment horizontal="right" vertical="center"/>
    </xf>
    <xf numFmtId="0" fontId="19" fillId="0" borderId="79" xfId="1" applyNumberFormat="1" applyFont="1" applyFill="1" applyBorder="1" applyAlignment="1">
      <alignment horizontal="center" vertical="center"/>
    </xf>
    <xf numFmtId="2" fontId="19" fillId="0" borderId="79" xfId="1" applyNumberFormat="1" applyFont="1" applyFill="1" applyBorder="1" applyAlignment="1">
      <alignment horizontal="center" vertical="center"/>
    </xf>
    <xf numFmtId="0" fontId="19" fillId="0" borderId="89" xfId="1" applyNumberFormat="1" applyFont="1" applyFill="1" applyBorder="1" applyAlignment="1">
      <alignment vertical="center"/>
    </xf>
    <xf numFmtId="0" fontId="19" fillId="0" borderId="87" xfId="1" applyNumberFormat="1" applyFont="1" applyFill="1" applyBorder="1" applyAlignment="1">
      <alignment vertical="center"/>
    </xf>
    <xf numFmtId="0" fontId="5" fillId="0" borderId="83" xfId="1" applyFont="1" applyFill="1" applyBorder="1" applyAlignment="1">
      <alignment vertical="center"/>
    </xf>
    <xf numFmtId="0" fontId="5" fillId="0" borderId="18" xfId="1" applyFont="1" applyFill="1" applyBorder="1" applyAlignment="1">
      <alignment horizontal="left" vertical="center" indent="3"/>
    </xf>
    <xf numFmtId="0" fontId="5" fillId="0" borderId="84" xfId="1" applyFont="1" applyFill="1" applyBorder="1" applyAlignment="1">
      <alignment horizontal="left" vertical="center" indent="1"/>
    </xf>
    <xf numFmtId="0" fontId="5" fillId="0" borderId="18" xfId="1" applyFont="1" applyFill="1" applyBorder="1" applyAlignment="1">
      <alignment vertical="center"/>
    </xf>
    <xf numFmtId="0" fontId="5" fillId="0" borderId="84" xfId="1" applyFont="1" applyFill="1" applyBorder="1" applyAlignment="1">
      <alignment vertical="center"/>
    </xf>
    <xf numFmtId="2" fontId="5" fillId="0" borderId="18" xfId="1" applyNumberFormat="1" applyFont="1" applyFill="1" applyBorder="1" applyAlignment="1">
      <alignment vertical="center"/>
    </xf>
    <xf numFmtId="0" fontId="5" fillId="0" borderId="85" xfId="1" applyFont="1" applyFill="1" applyBorder="1" applyAlignment="1">
      <alignment vertical="center"/>
    </xf>
    <xf numFmtId="2" fontId="5" fillId="0" borderId="85" xfId="1" applyNumberFormat="1" applyFont="1" applyFill="1" applyBorder="1" applyAlignment="1">
      <alignment vertical="center"/>
    </xf>
    <xf numFmtId="0" fontId="27" fillId="0" borderId="76" xfId="1" applyFont="1" applyFill="1" applyBorder="1" applyAlignment="1">
      <alignment vertical="center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02"/>
  <sheetViews>
    <sheetView view="pageBreakPreview" topLeftCell="B1" zoomScale="130" zoomScaleNormal="70" zoomScaleSheetLayoutView="130" workbookViewId="0">
      <selection activeCell="H272" sqref="H272"/>
    </sheetView>
  </sheetViews>
  <sheetFormatPr baseColWidth="10" defaultColWidth="11.5703125" defaultRowHeight="15" x14ac:dyDescent="0.25"/>
  <cols>
    <col min="1" max="1" width="7" style="160" hidden="1" customWidth="1"/>
    <col min="2" max="2" width="41.28515625" style="157" customWidth="1"/>
    <col min="3" max="3" width="8.5703125" style="157" customWidth="1"/>
    <col min="4" max="4" width="11.28515625" style="157" customWidth="1"/>
    <col min="5" max="5" width="11.28515625" style="189" customWidth="1"/>
    <col min="6" max="6" width="11.5703125" style="157" customWidth="1"/>
    <col min="7" max="7" width="11.28515625" style="157" customWidth="1"/>
    <col min="8" max="9" width="10.7109375" style="157" customWidth="1"/>
    <col min="10" max="10" width="7.5703125" style="157" customWidth="1"/>
    <col min="11" max="11" width="16.85546875" style="158" customWidth="1"/>
    <col min="12" max="12" width="13.140625" style="158" customWidth="1"/>
    <col min="13" max="13" width="15" style="158" customWidth="1"/>
    <col min="14" max="14" width="18.85546875" style="158" customWidth="1"/>
    <col min="15" max="15" width="8.7109375" style="159" customWidth="1"/>
    <col min="16" max="17" width="8.7109375" style="160" customWidth="1"/>
    <col min="18" max="16384" width="11.5703125" style="160"/>
  </cols>
  <sheetData>
    <row r="1" spans="2:15" ht="15.75" thickBot="1" x14ac:dyDescent="0.3">
      <c r="K1" s="325"/>
      <c r="L1" s="325"/>
      <c r="M1" s="325"/>
      <c r="N1" s="325"/>
    </row>
    <row r="2" spans="2:15" ht="23.25" customHeight="1" thickBot="1" x14ac:dyDescent="0.35">
      <c r="B2" s="606" t="s">
        <v>98</v>
      </c>
      <c r="C2" s="607"/>
      <c r="D2" s="607"/>
      <c r="E2" s="607"/>
      <c r="F2" s="607"/>
      <c r="G2" s="607"/>
      <c r="H2" s="607"/>
      <c r="I2" s="608"/>
      <c r="K2" s="601" t="s">
        <v>43</v>
      </c>
      <c r="L2" s="602"/>
      <c r="M2" s="603"/>
    </row>
    <row r="3" spans="2:15" s="157" customFormat="1" ht="12.75" x14ac:dyDescent="0.2">
      <c r="B3" s="586" t="s">
        <v>42</v>
      </c>
      <c r="C3" s="587"/>
      <c r="D3" s="587"/>
      <c r="E3" s="587"/>
      <c r="F3" s="587"/>
      <c r="G3" s="587"/>
      <c r="H3" s="587"/>
      <c r="I3" s="588"/>
      <c r="K3" s="161" t="s">
        <v>45</v>
      </c>
      <c r="L3" s="162">
        <f>+M15</f>
        <v>0.22321428571428573</v>
      </c>
      <c r="M3" s="163" t="s">
        <v>20</v>
      </c>
      <c r="N3" s="158"/>
      <c r="O3" s="158"/>
    </row>
    <row r="4" spans="2:15" s="157" customFormat="1" ht="13.5" thickBot="1" x14ac:dyDescent="0.25">
      <c r="B4" s="589" t="str">
        <f>Metrado!D44</f>
        <v>COLUMNA METÁLICA CIRCULAR TIPO 1 - L=9.00 m</v>
      </c>
      <c r="C4" s="590"/>
      <c r="D4" s="590"/>
      <c r="E4" s="590"/>
      <c r="F4" s="590"/>
      <c r="G4" s="590"/>
      <c r="H4" s="590"/>
      <c r="I4" s="591"/>
      <c r="K4" s="164" t="s">
        <v>46</v>
      </c>
      <c r="L4" s="162">
        <v>0.1191</v>
      </c>
      <c r="M4" s="163" t="s">
        <v>20</v>
      </c>
      <c r="N4" s="158"/>
      <c r="O4" s="158"/>
    </row>
    <row r="5" spans="2:15" s="157" customFormat="1" ht="15" customHeight="1" thickBot="1" x14ac:dyDescent="0.25">
      <c r="B5" s="165"/>
      <c r="C5" s="166"/>
      <c r="D5" s="166"/>
      <c r="E5" s="167"/>
      <c r="F5" s="166"/>
      <c r="G5" s="166"/>
      <c r="H5" s="166"/>
      <c r="I5" s="166"/>
      <c r="K5" s="164" t="s">
        <v>47</v>
      </c>
      <c r="L5" s="162">
        <v>0.1588</v>
      </c>
      <c r="M5" s="163" t="s">
        <v>20</v>
      </c>
      <c r="N5" s="158"/>
      <c r="O5" s="158"/>
    </row>
    <row r="6" spans="2:15" s="157" customFormat="1" ht="15" customHeight="1" thickBot="1" x14ac:dyDescent="0.25">
      <c r="B6" s="168" t="s">
        <v>59</v>
      </c>
      <c r="C6" s="169"/>
      <c r="D6" s="592" t="s">
        <v>43</v>
      </c>
      <c r="E6" s="593"/>
      <c r="F6" s="594"/>
      <c r="G6" s="166"/>
      <c r="H6" s="170" t="s">
        <v>44</v>
      </c>
      <c r="I6" s="171">
        <v>1.05</v>
      </c>
      <c r="K6" s="172" t="s">
        <v>48</v>
      </c>
      <c r="L6" s="173">
        <v>0.2382</v>
      </c>
      <c r="M6" s="174" t="s">
        <v>20</v>
      </c>
      <c r="N6" s="158"/>
      <c r="O6" s="158"/>
    </row>
    <row r="7" spans="2:15" s="157" customFormat="1" ht="15" customHeight="1" thickBot="1" x14ac:dyDescent="0.25">
      <c r="B7" s="175" t="s">
        <v>91</v>
      </c>
      <c r="C7" s="176"/>
      <c r="D7" s="177" t="s">
        <v>45</v>
      </c>
      <c r="E7" s="178">
        <f>IF(D$7=K$3,L$3,(IF(D$7=K$4,L$4,(IF(D$7=K$5,L$5,(IF(D$7=K$6,L$6,"")))))))</f>
        <v>0.22321428571428573</v>
      </c>
      <c r="F7" s="179" t="s">
        <v>20</v>
      </c>
      <c r="G7" s="166"/>
      <c r="H7" s="180"/>
      <c r="I7" s="181"/>
      <c r="L7" s="158"/>
      <c r="M7" s="158"/>
      <c r="N7" s="158"/>
      <c r="O7" s="158"/>
    </row>
    <row r="8" spans="2:15" s="157" customFormat="1" ht="15" customHeight="1" x14ac:dyDescent="0.2">
      <c r="B8" s="182"/>
      <c r="C8" s="176"/>
      <c r="D8" s="176"/>
      <c r="E8" s="183"/>
      <c r="F8" s="166"/>
      <c r="G8" s="184"/>
      <c r="H8" s="184"/>
      <c r="I8" s="185"/>
      <c r="L8" s="158"/>
      <c r="M8" s="158"/>
      <c r="N8" s="158"/>
      <c r="O8" s="158"/>
    </row>
    <row r="9" spans="2:15" s="157" customFormat="1" ht="15" customHeight="1" thickBot="1" x14ac:dyDescent="0.25">
      <c r="B9" s="182"/>
      <c r="C9" s="176"/>
      <c r="D9" s="176"/>
      <c r="E9" s="183"/>
      <c r="F9" s="166"/>
      <c r="G9" s="186"/>
      <c r="H9" s="186"/>
      <c r="I9" s="185"/>
      <c r="L9" s="158"/>
      <c r="M9" s="158"/>
      <c r="N9" s="158"/>
      <c r="O9" s="158"/>
    </row>
    <row r="10" spans="2:15" s="157" customFormat="1" ht="15" customHeight="1" thickBot="1" x14ac:dyDescent="0.25">
      <c r="B10" s="579" t="s">
        <v>90</v>
      </c>
      <c r="C10" s="580"/>
      <c r="D10" s="580"/>
      <c r="E10" s="580"/>
      <c r="F10" s="580"/>
      <c r="G10" s="580"/>
      <c r="H10" s="580"/>
      <c r="I10" s="581"/>
      <c r="L10" s="187">
        <v>1</v>
      </c>
      <c r="M10" s="187" t="s">
        <v>78</v>
      </c>
      <c r="N10" s="187">
        <v>14</v>
      </c>
      <c r="O10" s="187" t="s">
        <v>77</v>
      </c>
    </row>
    <row r="11" spans="2:15" s="157" customFormat="1" ht="15" customHeight="1" thickBot="1" x14ac:dyDescent="0.25">
      <c r="B11" s="188"/>
      <c r="E11" s="189"/>
      <c r="H11" s="595"/>
      <c r="I11" s="595"/>
      <c r="K11" s="158"/>
      <c r="L11" s="187">
        <f>+N11/N10</f>
        <v>7.1428571428571432</v>
      </c>
      <c r="M11" s="187" t="s">
        <v>78</v>
      </c>
      <c r="N11" s="187">
        <v>100</v>
      </c>
      <c r="O11" s="187" t="s">
        <v>77</v>
      </c>
    </row>
    <row r="12" spans="2:15" s="157" customFormat="1" ht="13.5" thickBot="1" x14ac:dyDescent="0.25">
      <c r="B12" s="190" t="s">
        <v>49</v>
      </c>
      <c r="C12" s="191" t="s">
        <v>50</v>
      </c>
      <c r="D12" s="191" t="s">
        <v>51</v>
      </c>
      <c r="E12" s="192" t="s">
        <v>52</v>
      </c>
      <c r="F12" s="192" t="s">
        <v>53</v>
      </c>
      <c r="G12" s="191" t="s">
        <v>54</v>
      </c>
      <c r="H12" s="191" t="s">
        <v>21</v>
      </c>
      <c r="I12" s="193" t="s">
        <v>22</v>
      </c>
      <c r="K12" s="158"/>
      <c r="L12" s="187"/>
      <c r="M12" s="187"/>
      <c r="N12" s="187"/>
      <c r="O12" s="187"/>
    </row>
    <row r="13" spans="2:15" s="157" customFormat="1" ht="12.75" x14ac:dyDescent="0.2">
      <c r="B13" s="194" t="s">
        <v>106</v>
      </c>
      <c r="C13" s="195"/>
      <c r="D13" s="195"/>
      <c r="E13" s="196"/>
      <c r="F13" s="196"/>
      <c r="G13" s="195"/>
      <c r="H13" s="195"/>
      <c r="I13" s="197"/>
      <c r="K13" s="158"/>
      <c r="L13" s="187">
        <v>1</v>
      </c>
      <c r="M13" s="187" t="s">
        <v>81</v>
      </c>
      <c r="N13" s="187">
        <v>32</v>
      </c>
      <c r="O13" s="187" t="s">
        <v>79</v>
      </c>
    </row>
    <row r="14" spans="2:15" s="157" customFormat="1" ht="13.5" thickBot="1" x14ac:dyDescent="0.25">
      <c r="B14" s="198" t="str">
        <f>+Metrado!D45</f>
        <v>Tubo circular schedule 40, Ø=8"</v>
      </c>
      <c r="C14" s="199">
        <v>6</v>
      </c>
      <c r="D14" s="200"/>
      <c r="E14" s="201"/>
      <c r="F14" s="200">
        <f>+Metrado!P45</f>
        <v>9.4500000000000011</v>
      </c>
      <c r="G14" s="202"/>
      <c r="H14" s="203">
        <f>SUM(F14)*I$6</f>
        <v>9.9225000000000012</v>
      </c>
      <c r="I14" s="204">
        <f>H14/C14</f>
        <v>1.6537500000000003</v>
      </c>
      <c r="J14" s="205"/>
      <c r="K14" s="158"/>
      <c r="L14" s="187">
        <f>+N14/N13</f>
        <v>3.125E-2</v>
      </c>
      <c r="M14" s="187" t="s">
        <v>82</v>
      </c>
      <c r="N14" s="187">
        <v>1</v>
      </c>
      <c r="O14" s="187" t="s">
        <v>80</v>
      </c>
    </row>
    <row r="15" spans="2:15" s="157" customFormat="1" ht="13.5" thickBot="1" x14ac:dyDescent="0.25">
      <c r="B15" s="198"/>
      <c r="C15" s="199"/>
      <c r="D15" s="200"/>
      <c r="E15" s="201"/>
      <c r="F15" s="200"/>
      <c r="G15" s="202"/>
      <c r="H15" s="203"/>
      <c r="I15" s="204"/>
      <c r="K15" s="158"/>
      <c r="L15" s="207" t="s">
        <v>83</v>
      </c>
      <c r="M15" s="208">
        <f>+L11*L14</f>
        <v>0.22321428571428573</v>
      </c>
      <c r="N15" s="209" t="s">
        <v>84</v>
      </c>
      <c r="O15" s="158"/>
    </row>
    <row r="16" spans="2:15" s="157" customFormat="1" ht="13.5" thickBot="1" x14ac:dyDescent="0.25">
      <c r="B16" s="190" t="s">
        <v>49</v>
      </c>
      <c r="C16" s="191" t="s">
        <v>55</v>
      </c>
      <c r="D16" s="191" t="s">
        <v>50</v>
      </c>
      <c r="E16" s="191" t="s">
        <v>56</v>
      </c>
      <c r="F16" s="191" t="s">
        <v>57</v>
      </c>
      <c r="G16" s="191" t="s">
        <v>54</v>
      </c>
      <c r="H16" s="191" t="s">
        <v>19</v>
      </c>
      <c r="I16" s="193"/>
      <c r="K16" s="158"/>
      <c r="L16" s="158"/>
      <c r="M16" s="158"/>
      <c r="N16" s="158"/>
      <c r="O16" s="158"/>
    </row>
    <row r="17" spans="2:17" s="157" customFormat="1" ht="12.75" x14ac:dyDescent="0.2">
      <c r="B17" s="210" t="s">
        <v>104</v>
      </c>
      <c r="C17" s="372"/>
      <c r="D17" s="372"/>
      <c r="E17" s="372"/>
      <c r="F17" s="372"/>
      <c r="G17" s="372"/>
      <c r="H17" s="218">
        <f>+SUM(G18:G21)*$E$7*$I$6</f>
        <v>2.8932150000000001</v>
      </c>
      <c r="I17" s="373"/>
      <c r="K17" s="327"/>
      <c r="L17" s="327"/>
      <c r="M17" s="327"/>
      <c r="N17" s="327"/>
      <c r="O17" s="327"/>
    </row>
    <row r="18" spans="2:17" s="157" customFormat="1" ht="12.75" x14ac:dyDescent="0.2">
      <c r="B18" s="211" t="str">
        <f>+Metrado!D45</f>
        <v>Tubo circular schedule 40, Ø=8"</v>
      </c>
      <c r="C18" s="215">
        <v>8</v>
      </c>
      <c r="D18" s="216">
        <f>8*25.4/1000</f>
        <v>0.20319999999999999</v>
      </c>
      <c r="E18" s="216">
        <v>3.14</v>
      </c>
      <c r="F18" s="213">
        <f>+PRODUCT(D18:E18)</f>
        <v>0.63804799999999995</v>
      </c>
      <c r="G18" s="217">
        <f>+C18*F18</f>
        <v>5.1043839999999996</v>
      </c>
      <c r="H18" s="372"/>
      <c r="I18" s="373"/>
      <c r="K18" s="327"/>
      <c r="L18" s="327"/>
      <c r="M18" s="327"/>
      <c r="N18" s="327"/>
      <c r="O18" s="327"/>
    </row>
    <row r="19" spans="2:17" s="157" customFormat="1" ht="13.5" thickBot="1" x14ac:dyDescent="0.25">
      <c r="B19" s="211" t="str">
        <f>Metrado!D48</f>
        <v>Rigidizador de anclaje</v>
      </c>
      <c r="C19" s="377">
        <v>6</v>
      </c>
      <c r="D19" s="216">
        <v>0.15</v>
      </c>
      <c r="E19" s="216">
        <v>0.09</v>
      </c>
      <c r="F19" s="216">
        <f>+(E19+D19)*2</f>
        <v>0.48</v>
      </c>
      <c r="G19" s="217">
        <f>+C19*F19</f>
        <v>2.88</v>
      </c>
      <c r="H19" s="372"/>
      <c r="I19" s="373"/>
      <c r="K19" s="158"/>
      <c r="L19" s="158"/>
      <c r="M19" s="158"/>
      <c r="N19" s="158"/>
      <c r="O19" s="158"/>
    </row>
    <row r="20" spans="2:17" s="157" customFormat="1" ht="13.5" thickBot="1" x14ac:dyDescent="0.25">
      <c r="B20" s="211" t="str">
        <f>Metrado!D49</f>
        <v>Rigidizador tipo 2</v>
      </c>
      <c r="C20" s="377">
        <v>4</v>
      </c>
      <c r="D20" s="216">
        <v>0.2</v>
      </c>
      <c r="E20" s="216">
        <v>0.2</v>
      </c>
      <c r="F20" s="216">
        <f t="shared" ref="F20" si="0">+(E20+D20)*2</f>
        <v>0.8</v>
      </c>
      <c r="G20" s="217">
        <f t="shared" ref="G20" si="1">+C20*F20</f>
        <v>3.2</v>
      </c>
      <c r="H20" s="372"/>
      <c r="I20" s="373"/>
      <c r="K20" s="604" t="s">
        <v>63</v>
      </c>
      <c r="L20" s="605"/>
      <c r="M20" s="158"/>
      <c r="N20" s="223" t="s">
        <v>59</v>
      </c>
      <c r="O20" s="224" t="s">
        <v>60</v>
      </c>
      <c r="P20" s="192" t="s">
        <v>61</v>
      </c>
      <c r="Q20" s="225" t="s">
        <v>62</v>
      </c>
    </row>
    <row r="21" spans="2:17" s="157" customFormat="1" ht="12.75" x14ac:dyDescent="0.2">
      <c r="B21" s="211" t="str">
        <f>Metrado!D50</f>
        <v>Rigidizador tipo 3</v>
      </c>
      <c r="C21" s="417">
        <v>2</v>
      </c>
      <c r="D21" s="216">
        <v>0.2</v>
      </c>
      <c r="E21" s="216">
        <v>0.09</v>
      </c>
      <c r="F21" s="216">
        <f t="shared" ref="F21" si="2">+(E21+D21)*2</f>
        <v>0.58000000000000007</v>
      </c>
      <c r="G21" s="217">
        <f t="shared" ref="G21" si="3">+C21*F21</f>
        <v>1.1600000000000001</v>
      </c>
      <c r="H21" s="372"/>
      <c r="I21" s="373"/>
      <c r="K21" s="454"/>
      <c r="L21" s="455"/>
      <c r="M21" s="327"/>
      <c r="N21" s="231" t="s">
        <v>64</v>
      </c>
      <c r="O21" s="232">
        <v>1</v>
      </c>
      <c r="P21" s="233">
        <v>45</v>
      </c>
      <c r="Q21" s="234">
        <f>1/P21</f>
        <v>2.2222222222222223E-2</v>
      </c>
    </row>
    <row r="22" spans="2:17" s="157" customFormat="1" ht="12.75" x14ac:dyDescent="0.2">
      <c r="B22" s="210" t="s">
        <v>123</v>
      </c>
      <c r="C22" s="372"/>
      <c r="D22" s="372"/>
      <c r="E22" s="372"/>
      <c r="F22" s="372"/>
      <c r="G22" s="372"/>
      <c r="H22" s="218">
        <f>+SUM(G23)*$E$7*$I$6</f>
        <v>0.44862750000000001</v>
      </c>
      <c r="I22" s="373"/>
      <c r="K22" s="533"/>
      <c r="L22" s="373"/>
      <c r="M22" s="327"/>
      <c r="N22" s="231"/>
      <c r="O22" s="232"/>
      <c r="P22" s="233"/>
      <c r="Q22" s="234"/>
    </row>
    <row r="23" spans="2:17" s="157" customFormat="1" ht="13.5" thickBot="1" x14ac:dyDescent="0.25">
      <c r="B23" s="211" t="str">
        <f>B18</f>
        <v>Tubo circular schedule 40, Ø=8"</v>
      </c>
      <c r="C23" s="215">
        <v>3</v>
      </c>
      <c r="D23" s="216">
        <f>8*25.4/1000</f>
        <v>0.20319999999999999</v>
      </c>
      <c r="E23" s="216">
        <v>3.14</v>
      </c>
      <c r="F23" s="213">
        <f>+PRODUCT(D23:E23)</f>
        <v>0.63804799999999995</v>
      </c>
      <c r="G23" s="217">
        <f>+C23*F23</f>
        <v>1.9141439999999998</v>
      </c>
      <c r="H23" s="372"/>
      <c r="I23" s="373"/>
      <c r="K23" s="533"/>
      <c r="L23" s="373"/>
      <c r="M23" s="327"/>
      <c r="N23" s="231"/>
      <c r="O23" s="232"/>
      <c r="P23" s="233"/>
      <c r="Q23" s="234"/>
    </row>
    <row r="24" spans="2:17" s="157" customFormat="1" ht="13.5" thickBot="1" x14ac:dyDescent="0.25">
      <c r="B24" s="579" t="s">
        <v>58</v>
      </c>
      <c r="C24" s="580"/>
      <c r="D24" s="580"/>
      <c r="E24" s="580"/>
      <c r="F24" s="580"/>
      <c r="G24" s="580"/>
      <c r="H24" s="580"/>
      <c r="I24" s="581"/>
      <c r="K24" s="240" t="s">
        <v>66</v>
      </c>
      <c r="L24" s="241">
        <v>0.25</v>
      </c>
      <c r="M24" s="158"/>
      <c r="N24" s="242"/>
      <c r="O24" s="243">
        <v>2</v>
      </c>
      <c r="P24" s="233">
        <f>P21/O24</f>
        <v>22.5</v>
      </c>
      <c r="Q24" s="234">
        <f>1/P24</f>
        <v>4.4444444444444446E-2</v>
      </c>
    </row>
    <row r="25" spans="2:17" s="157" customFormat="1" ht="13.5" thickBot="1" x14ac:dyDescent="0.25">
      <c r="B25" s="165"/>
      <c r="C25" s="166"/>
      <c r="D25" s="166"/>
      <c r="E25" s="167"/>
      <c r="F25" s="166"/>
      <c r="G25" s="166"/>
      <c r="H25" s="166"/>
      <c r="I25" s="166"/>
      <c r="K25" s="158"/>
      <c r="L25" s="158"/>
      <c r="M25" s="158"/>
      <c r="N25" s="250"/>
      <c r="O25" s="251">
        <v>3</v>
      </c>
      <c r="P25" s="252">
        <f>P21/O25</f>
        <v>15</v>
      </c>
      <c r="Q25" s="253">
        <f>1/P25</f>
        <v>6.6666666666666666E-2</v>
      </c>
    </row>
    <row r="26" spans="2:17" s="157" customFormat="1" ht="13.5" thickBot="1" x14ac:dyDescent="0.25">
      <c r="B26" s="220" t="s">
        <v>59</v>
      </c>
      <c r="C26" s="221" t="s">
        <v>60</v>
      </c>
      <c r="D26" s="222" t="s">
        <v>61</v>
      </c>
      <c r="E26" s="171" t="s">
        <v>62</v>
      </c>
      <c r="F26" s="169"/>
      <c r="G26" s="166"/>
      <c r="H26" s="170" t="s">
        <v>44</v>
      </c>
      <c r="I26" s="171">
        <v>1.2</v>
      </c>
      <c r="K26" s="158"/>
      <c r="L26" s="158"/>
      <c r="M26" s="158"/>
      <c r="N26" s="223" t="s">
        <v>59</v>
      </c>
      <c r="O26" s="224" t="s">
        <v>60</v>
      </c>
      <c r="P26" s="192" t="s">
        <v>61</v>
      </c>
      <c r="Q26" s="225" t="s">
        <v>62</v>
      </c>
    </row>
    <row r="27" spans="2:17" s="157" customFormat="1" ht="13.5" thickBot="1" x14ac:dyDescent="0.25">
      <c r="B27" s="226" t="s">
        <v>64</v>
      </c>
      <c r="C27" s="227">
        <v>2</v>
      </c>
      <c r="D27" s="228">
        <v>22.5</v>
      </c>
      <c r="E27" s="229">
        <v>4.4444444444444446E-2</v>
      </c>
      <c r="F27" s="230"/>
      <c r="G27" s="166"/>
      <c r="H27" s="166"/>
      <c r="I27" s="166"/>
      <c r="K27" s="158"/>
      <c r="L27" s="158"/>
      <c r="M27" s="158"/>
      <c r="N27" s="231" t="s">
        <v>65</v>
      </c>
      <c r="O27" s="232">
        <v>1</v>
      </c>
      <c r="P27" s="233">
        <v>35</v>
      </c>
      <c r="Q27" s="234">
        <f>1/P27</f>
        <v>2.8571428571428571E-2</v>
      </c>
    </row>
    <row r="28" spans="2:17" s="157" customFormat="1" ht="15" customHeight="1" thickBot="1" x14ac:dyDescent="0.25">
      <c r="B28" s="235" t="s">
        <v>65</v>
      </c>
      <c r="C28" s="236">
        <v>2</v>
      </c>
      <c r="D28" s="237">
        <v>17.5</v>
      </c>
      <c r="E28" s="238">
        <v>5.7142857142857141E-2</v>
      </c>
      <c r="F28" s="230"/>
      <c r="G28" s="239"/>
      <c r="H28" s="596" t="s">
        <v>63</v>
      </c>
      <c r="I28" s="597"/>
      <c r="K28" s="158"/>
      <c r="L28" s="158"/>
      <c r="M28" s="158"/>
      <c r="N28" s="242"/>
      <c r="O28" s="243">
        <v>2</v>
      </c>
      <c r="P28" s="233">
        <f>P27/O28</f>
        <v>17.5</v>
      </c>
      <c r="Q28" s="234">
        <f>1/P28</f>
        <v>5.7142857142857141E-2</v>
      </c>
    </row>
    <row r="29" spans="2:17" s="157" customFormat="1" ht="13.5" thickBot="1" x14ac:dyDescent="0.25">
      <c r="B29" s="244"/>
      <c r="C29" s="245"/>
      <c r="D29" s="246"/>
      <c r="E29" s="247"/>
      <c r="F29" s="230"/>
      <c r="G29" s="166"/>
      <c r="H29" s="248" t="s">
        <v>66</v>
      </c>
      <c r="I29" s="249">
        <v>0.25</v>
      </c>
      <c r="K29" s="158"/>
      <c r="L29" s="158"/>
      <c r="M29" s="158"/>
      <c r="N29" s="250"/>
      <c r="O29" s="251">
        <v>3</v>
      </c>
      <c r="P29" s="264">
        <f>P27/O29</f>
        <v>11.666666666666666</v>
      </c>
      <c r="Q29" s="253">
        <f>1/P29</f>
        <v>8.5714285714285715E-2</v>
      </c>
    </row>
    <row r="30" spans="2:17" s="157" customFormat="1" ht="12.75" x14ac:dyDescent="0.2">
      <c r="B30" s="166"/>
      <c r="C30" s="166"/>
      <c r="D30" s="166"/>
      <c r="E30" s="166"/>
      <c r="F30" s="166"/>
      <c r="G30" s="166"/>
      <c r="H30" s="254"/>
      <c r="I30" s="166"/>
      <c r="K30" s="158"/>
      <c r="L30" s="158"/>
      <c r="M30" s="158"/>
      <c r="N30" s="158"/>
      <c r="O30" s="158"/>
    </row>
    <row r="31" spans="2:17" s="157" customFormat="1" ht="13.5" thickBot="1" x14ac:dyDescent="0.25">
      <c r="B31" s="188"/>
      <c r="E31" s="189"/>
      <c r="K31" s="158"/>
      <c r="L31" s="158"/>
      <c r="M31" s="158"/>
      <c r="N31" s="158"/>
      <c r="O31" s="158"/>
    </row>
    <row r="32" spans="2:17" s="157" customFormat="1" ht="39" thickBot="1" x14ac:dyDescent="0.25">
      <c r="B32" s="255" t="s">
        <v>49</v>
      </c>
      <c r="C32" s="256" t="s">
        <v>51</v>
      </c>
      <c r="D32" s="256" t="s">
        <v>67</v>
      </c>
      <c r="E32" s="257" t="s">
        <v>53</v>
      </c>
      <c r="F32" s="256" t="s">
        <v>95</v>
      </c>
      <c r="G32" s="256" t="s">
        <v>68</v>
      </c>
      <c r="H32" s="258" t="s">
        <v>37</v>
      </c>
      <c r="I32" s="259"/>
      <c r="K32" s="327"/>
      <c r="L32" s="327"/>
      <c r="M32" s="327"/>
      <c r="N32" s="327"/>
      <c r="O32" s="327"/>
    </row>
    <row r="33" spans="2:15" s="157" customFormat="1" ht="12.75" x14ac:dyDescent="0.2">
      <c r="B33" s="260" t="s">
        <v>69</v>
      </c>
      <c r="C33" s="261"/>
      <c r="D33" s="261"/>
      <c r="E33" s="261"/>
      <c r="F33" s="261"/>
      <c r="G33" s="261"/>
      <c r="H33" s="262">
        <f>SUM(G34:G38)*E$27*I$26</f>
        <v>0.38132433493333334</v>
      </c>
      <c r="I33" s="263"/>
      <c r="K33" s="327"/>
      <c r="L33" s="327"/>
      <c r="M33" s="327"/>
      <c r="N33" s="327"/>
      <c r="O33" s="327"/>
    </row>
    <row r="34" spans="2:15" s="157" customFormat="1" ht="12.75" x14ac:dyDescent="0.2">
      <c r="B34" s="211" t="str">
        <f>+B14</f>
        <v>Tubo circular schedule 40, Ø=8"</v>
      </c>
      <c r="C34" s="265">
        <v>1</v>
      </c>
      <c r="D34" s="265">
        <v>1</v>
      </c>
      <c r="E34" s="266">
        <f>+H14</f>
        <v>9.9225000000000012</v>
      </c>
      <c r="F34" s="267">
        <f>+F18</f>
        <v>0.63804799999999995</v>
      </c>
      <c r="G34" s="268">
        <f>PRODUCT(C34:F34)</f>
        <v>6.3310312800000004</v>
      </c>
      <c r="H34" s="269"/>
      <c r="I34" s="270"/>
      <c r="K34" s="327"/>
      <c r="L34" s="327"/>
      <c r="M34" s="327"/>
      <c r="N34" s="327"/>
      <c r="O34" s="327"/>
    </row>
    <row r="35" spans="2:15" s="157" customFormat="1" ht="12.75" x14ac:dyDescent="0.2">
      <c r="B35" s="157" t="str">
        <f>+Metrado!D47</f>
        <v>Plancha inferior de union cercha columna</v>
      </c>
      <c r="C35" s="265">
        <v>1</v>
      </c>
      <c r="D35" s="265">
        <v>2</v>
      </c>
      <c r="E35" s="266">
        <v>0.6</v>
      </c>
      <c r="F35" s="267">
        <v>0.4</v>
      </c>
      <c r="G35" s="268">
        <f>PRODUCT(C35:F35)</f>
        <v>0.48</v>
      </c>
      <c r="H35" s="271"/>
      <c r="I35" s="270"/>
      <c r="K35" s="158"/>
      <c r="L35" s="158"/>
      <c r="M35" s="158"/>
      <c r="N35" s="158"/>
      <c r="O35" s="158"/>
    </row>
    <row r="36" spans="2:15" s="157" customFormat="1" ht="12.75" x14ac:dyDescent="0.2">
      <c r="B36" s="211" t="str">
        <f>+B19</f>
        <v>Rigidizador de anclaje</v>
      </c>
      <c r="C36" s="329">
        <v>2</v>
      </c>
      <c r="D36" s="329">
        <v>2</v>
      </c>
      <c r="E36" s="272">
        <f>Metrado!G48</f>
        <v>0.17</v>
      </c>
      <c r="F36" s="273">
        <f>Metrado!H48</f>
        <v>0.11</v>
      </c>
      <c r="G36" s="330">
        <f>PRODUCT(C36:F36)</f>
        <v>7.4800000000000005E-2</v>
      </c>
      <c r="H36" s="271"/>
      <c r="I36" s="270"/>
      <c r="K36" s="158"/>
      <c r="L36" s="158"/>
      <c r="M36" s="158"/>
      <c r="N36" s="158"/>
      <c r="O36" s="158"/>
    </row>
    <row r="37" spans="2:15" s="157" customFormat="1" ht="12.75" x14ac:dyDescent="0.2">
      <c r="B37" s="211" t="str">
        <f>+B20</f>
        <v>Rigidizador tipo 2</v>
      </c>
      <c r="C37" s="362">
        <v>2</v>
      </c>
      <c r="D37" s="362">
        <v>2</v>
      </c>
      <c r="E37" s="272">
        <f>Metrado!G49</f>
        <v>0.27</v>
      </c>
      <c r="F37" s="273">
        <f>Metrado!H49</f>
        <v>0.2</v>
      </c>
      <c r="G37" s="330">
        <f t="shared" ref="G37:G38" si="4">PRODUCT(C37:F37)</f>
        <v>0.21600000000000003</v>
      </c>
      <c r="H37" s="271"/>
      <c r="I37" s="270"/>
      <c r="K37" s="158"/>
      <c r="L37" s="158"/>
      <c r="M37" s="158"/>
      <c r="N37" s="158"/>
      <c r="O37" s="158"/>
    </row>
    <row r="38" spans="2:15" s="157" customFormat="1" ht="12.75" x14ac:dyDescent="0.2">
      <c r="B38" s="211" t="str">
        <f>B21</f>
        <v>Rigidizador tipo 3</v>
      </c>
      <c r="C38" s="371">
        <v>1</v>
      </c>
      <c r="D38" s="371">
        <v>2</v>
      </c>
      <c r="E38" s="272">
        <f>Metrado!G50</f>
        <v>0.2</v>
      </c>
      <c r="F38" s="273">
        <f>Metrado!H50</f>
        <v>0.12</v>
      </c>
      <c r="G38" s="330">
        <f t="shared" si="4"/>
        <v>4.8000000000000001E-2</v>
      </c>
      <c r="H38" s="271"/>
      <c r="I38" s="270"/>
      <c r="K38" s="327"/>
      <c r="L38" s="327"/>
      <c r="M38" s="327"/>
      <c r="N38" s="327"/>
      <c r="O38" s="327"/>
    </row>
    <row r="39" spans="2:15" s="157" customFormat="1" ht="12.75" x14ac:dyDescent="0.2">
      <c r="B39" s="274" t="s">
        <v>70</v>
      </c>
      <c r="C39" s="275"/>
      <c r="D39" s="275"/>
      <c r="E39" s="275"/>
      <c r="F39" s="275"/>
      <c r="G39" s="275"/>
      <c r="H39" s="276">
        <f>SUM(G40:G44)*E$28*I$26</f>
        <v>0.49116412662857145</v>
      </c>
      <c r="I39" s="270"/>
      <c r="K39" s="327"/>
      <c r="L39" s="327"/>
      <c r="M39" s="327"/>
      <c r="N39" s="327"/>
      <c r="O39" s="327"/>
    </row>
    <row r="40" spans="2:15" s="157" customFormat="1" ht="12.75" x14ac:dyDescent="0.2">
      <c r="B40" s="211" t="str">
        <f>+B34</f>
        <v>Tubo circular schedule 40, Ø=8"</v>
      </c>
      <c r="C40" s="243">
        <f>+C34</f>
        <v>1</v>
      </c>
      <c r="D40" s="243">
        <f>+D34</f>
        <v>1</v>
      </c>
      <c r="E40" s="277">
        <f>+E34</f>
        <v>9.9225000000000012</v>
      </c>
      <c r="F40" s="278">
        <f>+F34</f>
        <v>0.63804799999999995</v>
      </c>
      <c r="G40" s="268">
        <f>PRODUCT(C40:F40)</f>
        <v>6.3310312800000004</v>
      </c>
      <c r="H40" s="276"/>
      <c r="I40" s="270"/>
      <c r="K40" s="327"/>
      <c r="L40" s="327"/>
      <c r="M40" s="327"/>
      <c r="N40" s="327"/>
      <c r="O40" s="327"/>
    </row>
    <row r="41" spans="2:15" s="157" customFormat="1" ht="12.75" x14ac:dyDescent="0.2">
      <c r="B41" s="211" t="str">
        <f t="shared" ref="B41:F44" si="5">+B35</f>
        <v>Plancha inferior de union cercha columna</v>
      </c>
      <c r="C41" s="243">
        <f t="shared" si="5"/>
        <v>1</v>
      </c>
      <c r="D41" s="243">
        <f t="shared" si="5"/>
        <v>2</v>
      </c>
      <c r="E41" s="277">
        <f t="shared" si="5"/>
        <v>0.6</v>
      </c>
      <c r="F41" s="278">
        <f t="shared" si="5"/>
        <v>0.4</v>
      </c>
      <c r="G41" s="268">
        <f>PRODUCT(C41:F41)</f>
        <v>0.48</v>
      </c>
      <c r="H41" s="276"/>
      <c r="I41" s="270"/>
      <c r="K41" s="158"/>
      <c r="L41" s="158"/>
      <c r="M41" s="158"/>
      <c r="N41" s="158"/>
      <c r="O41" s="158"/>
    </row>
    <row r="42" spans="2:15" x14ac:dyDescent="0.25">
      <c r="B42" s="211" t="str">
        <f t="shared" si="5"/>
        <v>Rigidizador de anclaje</v>
      </c>
      <c r="C42" s="243">
        <f t="shared" si="5"/>
        <v>2</v>
      </c>
      <c r="D42" s="243">
        <f t="shared" si="5"/>
        <v>2</v>
      </c>
      <c r="E42" s="277">
        <f t="shared" si="5"/>
        <v>0.17</v>
      </c>
      <c r="F42" s="278">
        <f t="shared" si="5"/>
        <v>0.11</v>
      </c>
      <c r="G42" s="330">
        <f>PRODUCT(C42:F42)</f>
        <v>7.4800000000000005E-2</v>
      </c>
      <c r="H42" s="276"/>
      <c r="I42" s="270"/>
    </row>
    <row r="43" spans="2:15" x14ac:dyDescent="0.25">
      <c r="B43" s="211" t="str">
        <f t="shared" si="5"/>
        <v>Rigidizador tipo 2</v>
      </c>
      <c r="C43" s="243">
        <f t="shared" si="5"/>
        <v>2</v>
      </c>
      <c r="D43" s="243">
        <f t="shared" si="5"/>
        <v>2</v>
      </c>
      <c r="E43" s="277">
        <f t="shared" si="5"/>
        <v>0.27</v>
      </c>
      <c r="F43" s="278">
        <f t="shared" si="5"/>
        <v>0.2</v>
      </c>
      <c r="G43" s="330">
        <f>3.141*D43*C43*(E43*E43)/4</f>
        <v>0.22897890000000001</v>
      </c>
      <c r="H43" s="276"/>
      <c r="I43" s="270"/>
    </row>
    <row r="44" spans="2:15" x14ac:dyDescent="0.25">
      <c r="B44" s="211" t="str">
        <f t="shared" si="5"/>
        <v>Rigidizador tipo 3</v>
      </c>
      <c r="C44" s="243">
        <f t="shared" si="5"/>
        <v>1</v>
      </c>
      <c r="D44" s="243">
        <f t="shared" si="5"/>
        <v>2</v>
      </c>
      <c r="E44" s="277">
        <f t="shared" si="5"/>
        <v>0.2</v>
      </c>
      <c r="F44" s="278">
        <f t="shared" si="5"/>
        <v>0.12</v>
      </c>
      <c r="G44" s="330">
        <f t="shared" ref="G44" si="6">PRODUCT(C44:F44)</f>
        <v>4.8000000000000001E-2</v>
      </c>
      <c r="H44" s="276"/>
      <c r="I44" s="270"/>
    </row>
    <row r="45" spans="2:15" s="289" customFormat="1" x14ac:dyDescent="0.25">
      <c r="B45" s="274" t="s">
        <v>71</v>
      </c>
      <c r="C45" s="598" t="s">
        <v>72</v>
      </c>
      <c r="D45" s="599"/>
      <c r="E45" s="599"/>
      <c r="F45" s="600"/>
      <c r="G45" s="279" t="str">
        <f>+H29</f>
        <v>Pistola</v>
      </c>
      <c r="H45" s="276">
        <f>SUM(H33:H44)*I$29</f>
        <v>0.21812211539047621</v>
      </c>
      <c r="I45" s="270"/>
      <c r="J45" s="286"/>
      <c r="K45" s="287"/>
      <c r="L45" s="287"/>
      <c r="M45" s="287"/>
      <c r="N45" s="287"/>
      <c r="O45" s="288"/>
    </row>
    <row r="46" spans="2:15" s="289" customFormat="1" ht="15.75" thickBot="1" x14ac:dyDescent="0.3">
      <c r="B46" s="280"/>
      <c r="C46" s="281"/>
      <c r="D46" s="281"/>
      <c r="E46" s="282"/>
      <c r="F46" s="281"/>
      <c r="G46" s="281"/>
      <c r="H46" s="281"/>
      <c r="I46" s="283"/>
      <c r="J46" s="286"/>
      <c r="K46" s="287"/>
      <c r="L46" s="287"/>
      <c r="M46" s="287"/>
      <c r="N46" s="287"/>
      <c r="O46" s="288"/>
    </row>
    <row r="47" spans="2:15" s="299" customFormat="1" ht="15.75" thickBot="1" x14ac:dyDescent="0.3">
      <c r="B47" s="579" t="s">
        <v>73</v>
      </c>
      <c r="C47" s="580"/>
      <c r="D47" s="580"/>
      <c r="E47" s="580"/>
      <c r="F47" s="580"/>
      <c r="G47" s="580"/>
      <c r="H47" s="580"/>
      <c r="I47" s="581"/>
      <c r="J47" s="296"/>
      <c r="K47" s="297"/>
      <c r="L47" s="297"/>
      <c r="M47" s="297"/>
      <c r="N47" s="297"/>
      <c r="O47" s="298"/>
    </row>
    <row r="48" spans="2:15" s="289" customFormat="1" ht="15.75" thickBot="1" x14ac:dyDescent="0.3">
      <c r="B48" s="157"/>
      <c r="C48" s="157"/>
      <c r="D48" s="157"/>
      <c r="E48" s="189"/>
      <c r="F48" s="157"/>
      <c r="G48" s="157"/>
      <c r="H48" s="157"/>
      <c r="I48" s="157"/>
      <c r="J48" s="286"/>
      <c r="K48" s="287"/>
      <c r="L48" s="287"/>
      <c r="M48" s="287"/>
      <c r="N48" s="287"/>
      <c r="O48" s="288"/>
    </row>
    <row r="49" spans="2:15" s="289" customFormat="1" x14ac:dyDescent="0.25">
      <c r="B49" s="582" t="s">
        <v>49</v>
      </c>
      <c r="C49" s="584" t="s">
        <v>7</v>
      </c>
      <c r="D49" s="284" t="s">
        <v>74</v>
      </c>
      <c r="E49" s="285"/>
      <c r="F49" s="286"/>
      <c r="G49" s="286"/>
      <c r="H49" s="286"/>
      <c r="I49" s="286"/>
      <c r="J49" s="286"/>
      <c r="K49" s="287"/>
      <c r="L49" s="287"/>
      <c r="M49" s="287"/>
      <c r="N49" s="287"/>
      <c r="O49" s="288"/>
    </row>
    <row r="50" spans="2:15" s="289" customFormat="1" ht="15.75" thickBot="1" x14ac:dyDescent="0.3">
      <c r="B50" s="583"/>
      <c r="C50" s="585"/>
      <c r="D50" s="290" t="s">
        <v>7</v>
      </c>
      <c r="E50" s="291"/>
      <c r="F50" s="286"/>
      <c r="G50" s="286"/>
      <c r="H50" s="286"/>
      <c r="I50" s="286"/>
      <c r="J50" s="286"/>
      <c r="K50" s="287"/>
      <c r="L50" s="287"/>
      <c r="M50" s="287"/>
      <c r="N50" s="287"/>
      <c r="O50" s="288"/>
    </row>
    <row r="51" spans="2:15" s="289" customFormat="1" x14ac:dyDescent="0.25">
      <c r="B51" s="292" t="str">
        <f>+B4</f>
        <v>COLUMNA METÁLICA CIRCULAR TIPO 1 - L=9.00 m</v>
      </c>
      <c r="C51" s="293"/>
      <c r="D51" s="294"/>
      <c r="E51" s="295"/>
      <c r="F51" s="296"/>
      <c r="G51" s="296"/>
      <c r="H51" s="296"/>
      <c r="I51" s="296"/>
      <c r="J51" s="286"/>
      <c r="K51" s="287"/>
      <c r="L51" s="287"/>
      <c r="M51" s="287"/>
      <c r="N51" s="287"/>
      <c r="O51" s="288"/>
    </row>
    <row r="52" spans="2:15" x14ac:dyDescent="0.25">
      <c r="B52" s="300" t="str">
        <f>+B14</f>
        <v>Tubo circular schedule 40, Ø=8"</v>
      </c>
      <c r="C52" s="301" t="s">
        <v>21</v>
      </c>
      <c r="D52" s="302">
        <f>+H14</f>
        <v>9.9225000000000012</v>
      </c>
      <c r="E52" s="303"/>
      <c r="F52" s="286"/>
      <c r="G52" s="286"/>
      <c r="H52" s="286"/>
      <c r="I52" s="286"/>
    </row>
    <row r="53" spans="2:15" x14ac:dyDescent="0.25">
      <c r="B53" s="331" t="str">
        <f>+B17</f>
        <v>ELECTRODOS E7018</v>
      </c>
      <c r="C53" s="305" t="s">
        <v>19</v>
      </c>
      <c r="D53" s="306">
        <f>+H17</f>
        <v>2.8932150000000001</v>
      </c>
      <c r="E53" s="303"/>
      <c r="F53" s="286"/>
      <c r="G53" s="286"/>
      <c r="H53" s="286"/>
      <c r="I53" s="286"/>
      <c r="K53" s="327"/>
      <c r="L53" s="327"/>
      <c r="M53" s="327"/>
      <c r="N53" s="327"/>
    </row>
    <row r="54" spans="2:15" x14ac:dyDescent="0.25">
      <c r="B54" s="331" t="str">
        <f>B22</f>
        <v>ELECTRODOS E6011</v>
      </c>
      <c r="C54" s="305" t="s">
        <v>19</v>
      </c>
      <c r="D54" s="306">
        <f>H22</f>
        <v>0.44862750000000001</v>
      </c>
      <c r="E54" s="303"/>
      <c r="F54" s="286"/>
      <c r="G54" s="286"/>
      <c r="H54" s="286"/>
      <c r="I54" s="286"/>
      <c r="K54" s="327"/>
      <c r="L54" s="327"/>
      <c r="M54" s="327"/>
      <c r="N54" s="327"/>
    </row>
    <row r="55" spans="2:15" x14ac:dyDescent="0.25">
      <c r="B55" s="304" t="str">
        <f>+B33</f>
        <v>ESMALTE SINTÉTICO</v>
      </c>
      <c r="C55" s="305" t="str">
        <f>+H32</f>
        <v>gln</v>
      </c>
      <c r="D55" s="306">
        <f>+H33</f>
        <v>0.38132433493333334</v>
      </c>
      <c r="E55" s="303"/>
      <c r="F55" s="286"/>
      <c r="G55" s="286"/>
      <c r="H55" s="286"/>
      <c r="I55" s="286"/>
      <c r="K55" s="327"/>
      <c r="L55" s="327"/>
      <c r="M55" s="327"/>
      <c r="N55" s="327"/>
    </row>
    <row r="56" spans="2:15" x14ac:dyDescent="0.25">
      <c r="B56" s="304" t="str">
        <f>+B39</f>
        <v>BASE ANTICORROSIVA</v>
      </c>
      <c r="C56" s="305" t="str">
        <f>+C55</f>
        <v>gln</v>
      </c>
      <c r="D56" s="306">
        <f>+H39</f>
        <v>0.49116412662857145</v>
      </c>
      <c r="E56" s="303"/>
      <c r="F56" s="286"/>
      <c r="G56" s="286"/>
      <c r="H56" s="286"/>
      <c r="I56" s="286"/>
      <c r="K56" s="327"/>
      <c r="L56" s="327"/>
      <c r="M56" s="327"/>
      <c r="N56" s="327"/>
    </row>
    <row r="57" spans="2:15" ht="15.75" thickBot="1" x14ac:dyDescent="0.3">
      <c r="B57" s="280" t="str">
        <f>+B45</f>
        <v>DILUYENTE ESTÁNDAR (THINNER)</v>
      </c>
      <c r="C57" s="251" t="str">
        <f>+C56</f>
        <v>gln</v>
      </c>
      <c r="D57" s="307">
        <f>+H45</f>
        <v>0.21812211539047621</v>
      </c>
      <c r="E57" s="308"/>
      <c r="K57" s="327"/>
      <c r="L57" s="327"/>
      <c r="M57" s="327"/>
      <c r="N57" s="327"/>
    </row>
    <row r="58" spans="2:15" ht="15.75" thickBot="1" x14ac:dyDescent="0.3">
      <c r="B58" s="211"/>
      <c r="C58" s="215"/>
      <c r="D58" s="216"/>
      <c r="E58" s="216"/>
      <c r="F58" s="213"/>
      <c r="G58" s="217"/>
      <c r="H58" s="218"/>
      <c r="I58" s="219"/>
      <c r="K58" s="327"/>
      <c r="L58" s="327"/>
      <c r="M58" s="327"/>
      <c r="N58" s="327"/>
    </row>
    <row r="59" spans="2:15" x14ac:dyDescent="0.25">
      <c r="B59" s="586" t="s">
        <v>42</v>
      </c>
      <c r="C59" s="587"/>
      <c r="D59" s="587"/>
      <c r="E59" s="587"/>
      <c r="F59" s="587"/>
      <c r="G59" s="587"/>
      <c r="H59" s="587"/>
      <c r="I59" s="588"/>
      <c r="K59" s="327"/>
      <c r="L59" s="327"/>
      <c r="M59" s="327"/>
      <c r="N59" s="327"/>
    </row>
    <row r="60" spans="2:15" ht="15.75" thickBot="1" x14ac:dyDescent="0.3">
      <c r="B60" s="589" t="str">
        <f>Metrado!D54</f>
        <v>COLUMNA METÁLICA CIRCULAR TIPO 2 -  L=5.50 m</v>
      </c>
      <c r="C60" s="590"/>
      <c r="D60" s="590"/>
      <c r="E60" s="590"/>
      <c r="F60" s="590"/>
      <c r="G60" s="590"/>
      <c r="H60" s="590"/>
      <c r="I60" s="591"/>
      <c r="K60" s="327"/>
      <c r="L60" s="327"/>
      <c r="M60" s="327"/>
      <c r="N60" s="327"/>
    </row>
    <row r="61" spans="2:15" ht="15.75" thickBot="1" x14ac:dyDescent="0.3">
      <c r="B61" s="165"/>
      <c r="C61" s="166"/>
      <c r="D61" s="166"/>
      <c r="E61" s="167"/>
      <c r="F61" s="166"/>
      <c r="G61" s="166"/>
      <c r="H61" s="166"/>
      <c r="I61" s="166"/>
      <c r="K61" s="327"/>
      <c r="L61" s="327"/>
      <c r="M61" s="327"/>
      <c r="N61" s="327"/>
    </row>
    <row r="62" spans="2:15" ht="15.75" thickBot="1" x14ac:dyDescent="0.3">
      <c r="B62" s="168" t="s">
        <v>59</v>
      </c>
      <c r="C62" s="169"/>
      <c r="D62" s="592" t="s">
        <v>43</v>
      </c>
      <c r="E62" s="593"/>
      <c r="F62" s="594"/>
      <c r="G62" s="166"/>
      <c r="H62" s="170" t="s">
        <v>44</v>
      </c>
      <c r="I62" s="171">
        <v>1.05</v>
      </c>
      <c r="K62" s="327"/>
      <c r="L62" s="327"/>
      <c r="M62" s="327"/>
      <c r="N62" s="327"/>
    </row>
    <row r="63" spans="2:15" ht="15.75" thickBot="1" x14ac:dyDescent="0.3">
      <c r="B63" s="175" t="s">
        <v>91</v>
      </c>
      <c r="C63" s="176"/>
      <c r="D63" s="177" t="s">
        <v>45</v>
      </c>
      <c r="E63" s="178">
        <f>IF(D$7=K$3,L$3,(IF(D$7=K$4,L$4,(IF(D$7=K$5,L$5,(IF(D$7=K$6,L$6,"")))))))</f>
        <v>0.22321428571428573</v>
      </c>
      <c r="F63" s="179" t="s">
        <v>20</v>
      </c>
      <c r="G63" s="166"/>
      <c r="H63" s="180"/>
      <c r="I63" s="181"/>
      <c r="K63" s="327"/>
      <c r="L63" s="327"/>
      <c r="M63" s="327"/>
      <c r="N63" s="327"/>
    </row>
    <row r="64" spans="2:15" x14ac:dyDescent="0.25">
      <c r="B64" s="182"/>
      <c r="C64" s="176"/>
      <c r="D64" s="176"/>
      <c r="E64" s="183"/>
      <c r="F64" s="166"/>
      <c r="G64" s="184"/>
      <c r="H64" s="184"/>
      <c r="I64" s="185"/>
      <c r="K64" s="327"/>
      <c r="L64" s="327"/>
      <c r="M64" s="327"/>
      <c r="N64" s="327"/>
    </row>
    <row r="65" spans="2:14" ht="15.75" thickBot="1" x14ac:dyDescent="0.3">
      <c r="B65" s="182"/>
      <c r="C65" s="176"/>
      <c r="D65" s="176"/>
      <c r="E65" s="183"/>
      <c r="F65" s="166"/>
      <c r="G65" s="186"/>
      <c r="H65" s="186"/>
      <c r="I65" s="185"/>
      <c r="K65" s="327"/>
      <c r="L65" s="327"/>
      <c r="M65" s="327"/>
      <c r="N65" s="327"/>
    </row>
    <row r="66" spans="2:14" ht="15.75" thickBot="1" x14ac:dyDescent="0.3">
      <c r="B66" s="579" t="s">
        <v>90</v>
      </c>
      <c r="C66" s="580"/>
      <c r="D66" s="580"/>
      <c r="E66" s="580"/>
      <c r="F66" s="580"/>
      <c r="G66" s="580"/>
      <c r="H66" s="580"/>
      <c r="I66" s="581"/>
      <c r="K66" s="327"/>
      <c r="L66" s="327"/>
      <c r="M66" s="327"/>
      <c r="N66" s="327"/>
    </row>
    <row r="67" spans="2:14" ht="15.75" thickBot="1" x14ac:dyDescent="0.3">
      <c r="B67" s="188"/>
      <c r="H67" s="595"/>
      <c r="I67" s="595"/>
      <c r="K67" s="327"/>
      <c r="L67" s="327"/>
      <c r="M67" s="327"/>
      <c r="N67" s="327"/>
    </row>
    <row r="68" spans="2:14" ht="15.75" thickBot="1" x14ac:dyDescent="0.3">
      <c r="B68" s="190" t="s">
        <v>49</v>
      </c>
      <c r="C68" s="191" t="s">
        <v>50</v>
      </c>
      <c r="D68" s="191" t="s">
        <v>51</v>
      </c>
      <c r="E68" s="192" t="s">
        <v>52</v>
      </c>
      <c r="F68" s="192" t="s">
        <v>53</v>
      </c>
      <c r="G68" s="191" t="s">
        <v>54</v>
      </c>
      <c r="H68" s="191" t="s">
        <v>21</v>
      </c>
      <c r="I68" s="193" t="s">
        <v>22</v>
      </c>
      <c r="K68" s="327"/>
      <c r="L68" s="327"/>
      <c r="M68" s="327"/>
      <c r="N68" s="327"/>
    </row>
    <row r="69" spans="2:14" x14ac:dyDescent="0.25">
      <c r="B69" s="194" t="s">
        <v>106</v>
      </c>
      <c r="C69" s="195"/>
      <c r="D69" s="195"/>
      <c r="E69" s="196"/>
      <c r="F69" s="196"/>
      <c r="G69" s="195"/>
      <c r="H69" s="195"/>
      <c r="I69" s="197"/>
      <c r="K69" s="327"/>
      <c r="L69" s="327"/>
      <c r="M69" s="327"/>
      <c r="N69" s="327"/>
    </row>
    <row r="70" spans="2:14" x14ac:dyDescent="0.25">
      <c r="B70" s="198" t="str">
        <f>Metrado!D55</f>
        <v>Tubo circular schedule 40, Ø=8"</v>
      </c>
      <c r="C70" s="199">
        <v>6</v>
      </c>
      <c r="D70" s="200"/>
      <c r="E70" s="201"/>
      <c r="F70" s="200">
        <f>Metrado!P55</f>
        <v>5.7750000000000004</v>
      </c>
      <c r="G70" s="202"/>
      <c r="H70" s="203">
        <f>SUM(F70)*I$6</f>
        <v>6.0637500000000006</v>
      </c>
      <c r="I70" s="204">
        <f>H70/C70</f>
        <v>1.0106250000000001</v>
      </c>
      <c r="K70" s="327"/>
      <c r="L70" s="327"/>
      <c r="M70" s="327"/>
      <c r="N70" s="327"/>
    </row>
    <row r="71" spans="2:14" ht="15.75" thickBot="1" x14ac:dyDescent="0.3">
      <c r="B71" s="198"/>
      <c r="C71" s="199"/>
      <c r="D71" s="200"/>
      <c r="E71" s="201"/>
      <c r="F71" s="200"/>
      <c r="G71" s="202"/>
      <c r="H71" s="203"/>
      <c r="I71" s="204"/>
      <c r="K71" s="327"/>
      <c r="L71" s="327"/>
      <c r="M71" s="327"/>
      <c r="N71" s="327"/>
    </row>
    <row r="72" spans="2:14" ht="15.75" thickBot="1" x14ac:dyDescent="0.3">
      <c r="B72" s="190" t="s">
        <v>49</v>
      </c>
      <c r="C72" s="191" t="s">
        <v>55</v>
      </c>
      <c r="D72" s="191" t="s">
        <v>50</v>
      </c>
      <c r="E72" s="191" t="s">
        <v>56</v>
      </c>
      <c r="F72" s="191" t="s">
        <v>57</v>
      </c>
      <c r="G72" s="191" t="s">
        <v>54</v>
      </c>
      <c r="H72" s="191" t="s">
        <v>19</v>
      </c>
      <c r="I72" s="193"/>
      <c r="K72" s="327"/>
      <c r="L72" s="327"/>
      <c r="M72" s="327"/>
      <c r="N72" s="327"/>
    </row>
    <row r="73" spans="2:14" x14ac:dyDescent="0.25">
      <c r="B73" s="210" t="s">
        <v>104</v>
      </c>
      <c r="C73" s="372"/>
      <c r="D73" s="372"/>
      <c r="E73" s="372"/>
      <c r="F73" s="372"/>
      <c r="G73" s="372"/>
      <c r="H73" s="218">
        <f>+SUM(G74:G77)*$E$7*$I$6</f>
        <v>2.2950450000000004</v>
      </c>
      <c r="I73" s="373"/>
      <c r="K73" s="327"/>
      <c r="L73" s="327"/>
      <c r="M73" s="327"/>
      <c r="N73" s="327"/>
    </row>
    <row r="74" spans="2:14" x14ac:dyDescent="0.25">
      <c r="B74" s="211" t="str">
        <f>Metrado!D55</f>
        <v>Tubo circular schedule 40, Ø=8"</v>
      </c>
      <c r="C74" s="215">
        <v>4</v>
      </c>
      <c r="D74" s="216">
        <f>8*25.4/1000</f>
        <v>0.20319999999999999</v>
      </c>
      <c r="E74" s="216">
        <v>3.14</v>
      </c>
      <c r="F74" s="213">
        <f>+PRODUCT(D74:E74)</f>
        <v>0.63804799999999995</v>
      </c>
      <c r="G74" s="217">
        <f>+C74*F74</f>
        <v>2.5521919999999998</v>
      </c>
      <c r="H74" s="372"/>
      <c r="I74" s="373"/>
      <c r="K74" s="327"/>
      <c r="L74" s="327"/>
      <c r="M74" s="327"/>
      <c r="N74" s="327"/>
    </row>
    <row r="75" spans="2:14" x14ac:dyDescent="0.25">
      <c r="B75" s="211" t="str">
        <f>Metrado!D58</f>
        <v>Rigidizador de anclaje</v>
      </c>
      <c r="C75" s="471">
        <v>6</v>
      </c>
      <c r="D75" s="216">
        <v>0.15</v>
      </c>
      <c r="E75" s="216">
        <v>0.09</v>
      </c>
      <c r="F75" s="216">
        <f>+(E75+D75)*2</f>
        <v>0.48</v>
      </c>
      <c r="G75" s="217">
        <f>+C75*F75</f>
        <v>2.88</v>
      </c>
      <c r="H75" s="372"/>
      <c r="I75" s="373"/>
      <c r="K75" s="327"/>
      <c r="L75" s="327"/>
      <c r="M75" s="327"/>
      <c r="N75" s="327"/>
    </row>
    <row r="76" spans="2:14" x14ac:dyDescent="0.25">
      <c r="B76" s="211" t="str">
        <f>Metrado!D59</f>
        <v>Rigidizador tipo 2</v>
      </c>
      <c r="C76" s="471">
        <v>4</v>
      </c>
      <c r="D76" s="216">
        <v>0.2</v>
      </c>
      <c r="E76" s="216">
        <v>0.2</v>
      </c>
      <c r="F76" s="216">
        <f t="shared" ref="F76:F77" si="7">+(E76+D76)*2</f>
        <v>0.8</v>
      </c>
      <c r="G76" s="217">
        <f t="shared" ref="G76:G77" si="8">+C76*F76</f>
        <v>3.2</v>
      </c>
      <c r="H76" s="372"/>
      <c r="I76" s="373"/>
      <c r="K76" s="327"/>
      <c r="L76" s="327"/>
      <c r="M76" s="327"/>
      <c r="N76" s="327"/>
    </row>
    <row r="77" spans="2:14" x14ac:dyDescent="0.25">
      <c r="B77" s="211" t="str">
        <f>Metrado!D60</f>
        <v>Rigidizador tipo 3</v>
      </c>
      <c r="C77" s="471">
        <v>2</v>
      </c>
      <c r="D77" s="216">
        <v>0.2</v>
      </c>
      <c r="E77" s="216">
        <v>0.09</v>
      </c>
      <c r="F77" s="216">
        <f t="shared" si="7"/>
        <v>0.58000000000000007</v>
      </c>
      <c r="G77" s="217">
        <f t="shared" si="8"/>
        <v>1.1600000000000001</v>
      </c>
      <c r="H77" s="372"/>
      <c r="I77" s="373"/>
      <c r="K77" s="327"/>
      <c r="L77" s="327"/>
      <c r="M77" s="327"/>
      <c r="N77" s="327"/>
    </row>
    <row r="78" spans="2:14" x14ac:dyDescent="0.25">
      <c r="B78" s="210" t="s">
        <v>123</v>
      </c>
      <c r="C78" s="372"/>
      <c r="D78" s="372"/>
      <c r="E78" s="372"/>
      <c r="F78" s="372"/>
      <c r="G78" s="372"/>
      <c r="H78" s="218">
        <f>+SUM(G79)*$E$7*$I$6</f>
        <v>0.29908499999999999</v>
      </c>
      <c r="I78" s="373"/>
      <c r="K78" s="327"/>
      <c r="L78" s="327"/>
      <c r="M78" s="327"/>
      <c r="N78" s="327"/>
    </row>
    <row r="79" spans="2:14" ht="15.75" thickBot="1" x14ac:dyDescent="0.3">
      <c r="B79" s="211" t="str">
        <f>B74</f>
        <v>Tubo circular schedule 40, Ø=8"</v>
      </c>
      <c r="C79" s="215">
        <v>2</v>
      </c>
      <c r="D79" s="216">
        <f>8*25.4/1000</f>
        <v>0.20319999999999999</v>
      </c>
      <c r="E79" s="216">
        <v>3.14</v>
      </c>
      <c r="F79" s="213">
        <f>+PRODUCT(D79:E79)</f>
        <v>0.63804799999999995</v>
      </c>
      <c r="G79" s="217">
        <f>+C79*F79</f>
        <v>1.2760959999999999</v>
      </c>
      <c r="H79" s="372"/>
      <c r="I79" s="373"/>
      <c r="K79" s="327"/>
      <c r="L79" s="327"/>
      <c r="M79" s="327"/>
      <c r="N79" s="327"/>
    </row>
    <row r="80" spans="2:14" ht="15.75" thickBot="1" x14ac:dyDescent="0.3">
      <c r="B80" s="579" t="s">
        <v>58</v>
      </c>
      <c r="C80" s="580"/>
      <c r="D80" s="580"/>
      <c r="E80" s="580"/>
      <c r="F80" s="580"/>
      <c r="G80" s="580"/>
      <c r="H80" s="580"/>
      <c r="I80" s="581"/>
      <c r="K80" s="327"/>
      <c r="L80" s="327"/>
      <c r="M80" s="327"/>
      <c r="N80" s="327"/>
    </row>
    <row r="81" spans="2:14" ht="15.75" thickBot="1" x14ac:dyDescent="0.3">
      <c r="B81" s="165"/>
      <c r="C81" s="166"/>
      <c r="D81" s="166"/>
      <c r="E81" s="167"/>
      <c r="F81" s="166"/>
      <c r="G81" s="166"/>
      <c r="H81" s="166"/>
      <c r="I81" s="166"/>
      <c r="K81" s="327"/>
      <c r="L81" s="327"/>
      <c r="M81" s="327"/>
      <c r="N81" s="327"/>
    </row>
    <row r="82" spans="2:14" ht="15.75" thickBot="1" x14ac:dyDescent="0.3">
      <c r="B82" s="220" t="s">
        <v>59</v>
      </c>
      <c r="C82" s="221" t="s">
        <v>60</v>
      </c>
      <c r="D82" s="222" t="s">
        <v>61</v>
      </c>
      <c r="E82" s="171" t="s">
        <v>62</v>
      </c>
      <c r="F82" s="169"/>
      <c r="G82" s="166"/>
      <c r="H82" s="170" t="s">
        <v>44</v>
      </c>
      <c r="I82" s="171">
        <v>1.2</v>
      </c>
      <c r="K82" s="327"/>
      <c r="L82" s="327"/>
      <c r="M82" s="327"/>
      <c r="N82" s="327"/>
    </row>
    <row r="83" spans="2:14" ht="15.75" thickBot="1" x14ac:dyDescent="0.3">
      <c r="B83" s="226" t="s">
        <v>64</v>
      </c>
      <c r="C83" s="227">
        <v>2</v>
      </c>
      <c r="D83" s="228">
        <v>22.5</v>
      </c>
      <c r="E83" s="229">
        <v>4.4444444444444446E-2</v>
      </c>
      <c r="F83" s="230"/>
      <c r="G83" s="166"/>
      <c r="H83" s="166"/>
      <c r="I83" s="166"/>
      <c r="K83" s="327"/>
      <c r="L83" s="327"/>
      <c r="M83" s="327"/>
      <c r="N83" s="327"/>
    </row>
    <row r="84" spans="2:14" ht="15.75" thickBot="1" x14ac:dyDescent="0.3">
      <c r="B84" s="235" t="s">
        <v>65</v>
      </c>
      <c r="C84" s="236">
        <v>2</v>
      </c>
      <c r="D84" s="237">
        <v>17.5</v>
      </c>
      <c r="E84" s="238">
        <v>5.7142857142857141E-2</v>
      </c>
      <c r="F84" s="230"/>
      <c r="G84" s="239"/>
      <c r="H84" s="596" t="s">
        <v>63</v>
      </c>
      <c r="I84" s="597"/>
      <c r="K84" s="327"/>
      <c r="L84" s="327"/>
      <c r="M84" s="327"/>
      <c r="N84" s="327"/>
    </row>
    <row r="85" spans="2:14" ht="15.75" thickBot="1" x14ac:dyDescent="0.3">
      <c r="B85" s="244"/>
      <c r="C85" s="245"/>
      <c r="D85" s="246"/>
      <c r="E85" s="247"/>
      <c r="F85" s="230"/>
      <c r="G85" s="166"/>
      <c r="H85" s="248" t="s">
        <v>66</v>
      </c>
      <c r="I85" s="249">
        <v>0.25</v>
      </c>
      <c r="K85" s="327"/>
      <c r="L85" s="327"/>
      <c r="M85" s="327"/>
      <c r="N85" s="327"/>
    </row>
    <row r="86" spans="2:14" x14ac:dyDescent="0.25">
      <c r="B86" s="166"/>
      <c r="C86" s="166"/>
      <c r="D86" s="166"/>
      <c r="E86" s="166"/>
      <c r="F86" s="166"/>
      <c r="G86" s="166"/>
      <c r="H86" s="254"/>
      <c r="I86" s="166"/>
      <c r="K86" s="327"/>
      <c r="L86" s="327"/>
      <c r="M86" s="327"/>
      <c r="N86" s="327"/>
    </row>
    <row r="87" spans="2:14" ht="15.75" thickBot="1" x14ac:dyDescent="0.3">
      <c r="B87" s="188"/>
      <c r="K87" s="327"/>
      <c r="L87" s="327"/>
      <c r="M87" s="327"/>
      <c r="N87" s="327"/>
    </row>
    <row r="88" spans="2:14" ht="39" thickBot="1" x14ac:dyDescent="0.3">
      <c r="B88" s="255" t="s">
        <v>49</v>
      </c>
      <c r="C88" s="256" t="s">
        <v>51</v>
      </c>
      <c r="D88" s="256" t="s">
        <v>67</v>
      </c>
      <c r="E88" s="257" t="s">
        <v>53</v>
      </c>
      <c r="F88" s="256" t="s">
        <v>95</v>
      </c>
      <c r="G88" s="256" t="s">
        <v>68</v>
      </c>
      <c r="H88" s="258" t="s">
        <v>37</v>
      </c>
      <c r="I88" s="259"/>
      <c r="K88" s="327"/>
      <c r="L88" s="327"/>
      <c r="M88" s="327"/>
      <c r="N88" s="327"/>
    </row>
    <row r="89" spans="2:14" x14ac:dyDescent="0.25">
      <c r="B89" s="260" t="s">
        <v>69</v>
      </c>
      <c r="C89" s="261"/>
      <c r="D89" s="261"/>
      <c r="E89" s="261"/>
      <c r="F89" s="261"/>
      <c r="G89" s="261"/>
      <c r="H89" s="262">
        <f>SUM(G90:G94)*E$27*I$26</f>
        <v>0.25001405653333331</v>
      </c>
      <c r="I89" s="263"/>
      <c r="K89" s="327"/>
      <c r="L89" s="327"/>
      <c r="M89" s="327"/>
      <c r="N89" s="327"/>
    </row>
    <row r="90" spans="2:14" x14ac:dyDescent="0.25">
      <c r="B90" s="211" t="str">
        <f>Metrado!D55</f>
        <v>Tubo circular schedule 40, Ø=8"</v>
      </c>
      <c r="C90" s="265">
        <v>1</v>
      </c>
      <c r="D90" s="265">
        <v>1</v>
      </c>
      <c r="E90" s="267">
        <f>+H70</f>
        <v>6.0637500000000006</v>
      </c>
      <c r="F90" s="267">
        <f>+F74</f>
        <v>0.63804799999999995</v>
      </c>
      <c r="G90" s="268">
        <f>PRODUCT(C90:F90)</f>
        <v>3.8689635600000001</v>
      </c>
      <c r="H90" s="269"/>
      <c r="I90" s="270"/>
      <c r="K90" s="327"/>
      <c r="L90" s="327"/>
      <c r="M90" s="327"/>
      <c r="N90" s="327"/>
    </row>
    <row r="91" spans="2:14" x14ac:dyDescent="0.25">
      <c r="B91" s="157" t="str">
        <f>Metrado!D57</f>
        <v>Plancha inferior de union cercha columna</v>
      </c>
      <c r="C91" s="265">
        <v>1</v>
      </c>
      <c r="D91" s="265">
        <v>2</v>
      </c>
      <c r="E91" s="267">
        <v>0.6</v>
      </c>
      <c r="F91" s="267">
        <v>0.4</v>
      </c>
      <c r="G91" s="268">
        <f>PRODUCT(C91:F91)</f>
        <v>0.48</v>
      </c>
      <c r="H91" s="271"/>
      <c r="I91" s="270"/>
      <c r="K91" s="327"/>
      <c r="L91" s="327"/>
      <c r="M91" s="327"/>
      <c r="N91" s="327"/>
    </row>
    <row r="92" spans="2:14" x14ac:dyDescent="0.25">
      <c r="B92" s="211" t="str">
        <f>Metrado!D58</f>
        <v>Rigidizador de anclaje</v>
      </c>
      <c r="C92" s="471">
        <v>2</v>
      </c>
      <c r="D92" s="471">
        <v>2</v>
      </c>
      <c r="E92" s="273">
        <f>Metrado!G58</f>
        <v>0.17</v>
      </c>
      <c r="F92" s="273">
        <f>Metrado!H58</f>
        <v>0.11</v>
      </c>
      <c r="G92" s="330">
        <f>PRODUCT(C92:F92)</f>
        <v>7.4800000000000005E-2</v>
      </c>
      <c r="H92" s="271"/>
      <c r="I92" s="270"/>
      <c r="K92" s="327"/>
      <c r="L92" s="327"/>
      <c r="M92" s="327"/>
      <c r="N92" s="327"/>
    </row>
    <row r="93" spans="2:14" x14ac:dyDescent="0.25">
      <c r="B93" s="211" t="str">
        <f>Metrado!D59</f>
        <v>Rigidizador tipo 2</v>
      </c>
      <c r="C93" s="471">
        <v>2</v>
      </c>
      <c r="D93" s="471">
        <v>2</v>
      </c>
      <c r="E93" s="273">
        <f>Metrado!G59</f>
        <v>0.27</v>
      </c>
      <c r="F93" s="273">
        <f>Metrado!H59</f>
        <v>0.2</v>
      </c>
      <c r="G93" s="330">
        <f t="shared" ref="G93:G94" si="9">PRODUCT(C93:F93)</f>
        <v>0.21600000000000003</v>
      </c>
      <c r="H93" s="271"/>
      <c r="I93" s="270"/>
      <c r="K93" s="327"/>
      <c r="L93" s="327"/>
      <c r="M93" s="327"/>
      <c r="N93" s="327"/>
    </row>
    <row r="94" spans="2:14" x14ac:dyDescent="0.25">
      <c r="B94" s="211" t="str">
        <f>Metrado!D60</f>
        <v>Rigidizador tipo 3</v>
      </c>
      <c r="C94" s="471">
        <v>1</v>
      </c>
      <c r="D94" s="471">
        <v>2</v>
      </c>
      <c r="E94" s="273">
        <f>Metrado!G60</f>
        <v>0.2</v>
      </c>
      <c r="F94" s="273">
        <f>Metrado!H60</f>
        <v>0.12</v>
      </c>
      <c r="G94" s="330">
        <f t="shared" si="9"/>
        <v>4.8000000000000001E-2</v>
      </c>
      <c r="H94" s="271"/>
      <c r="I94" s="270"/>
      <c r="K94" s="327"/>
      <c r="L94" s="327"/>
      <c r="M94" s="327"/>
      <c r="N94" s="327"/>
    </row>
    <row r="95" spans="2:14" x14ac:dyDescent="0.25">
      <c r="B95" s="274" t="s">
        <v>70</v>
      </c>
      <c r="C95" s="275"/>
      <c r="D95" s="275"/>
      <c r="E95" s="275"/>
      <c r="F95" s="275"/>
      <c r="G95" s="275"/>
      <c r="H95" s="276">
        <f>SUM(G96:G100)*E$28*I$26</f>
        <v>0.32233662582857142</v>
      </c>
      <c r="I95" s="270"/>
      <c r="K95" s="327"/>
      <c r="L95" s="327"/>
      <c r="M95" s="327"/>
      <c r="N95" s="327"/>
    </row>
    <row r="96" spans="2:14" x14ac:dyDescent="0.25">
      <c r="B96" s="211" t="str">
        <f>+B90</f>
        <v>Tubo circular schedule 40, Ø=8"</v>
      </c>
      <c r="C96" s="243">
        <f>+C90</f>
        <v>1</v>
      </c>
      <c r="D96" s="243">
        <f>+D90</f>
        <v>1</v>
      </c>
      <c r="E96" s="278">
        <f>+E90</f>
        <v>6.0637500000000006</v>
      </c>
      <c r="F96" s="278">
        <f>+F90</f>
        <v>0.63804799999999995</v>
      </c>
      <c r="G96" s="268">
        <f>PRODUCT(C96:F96)</f>
        <v>3.8689635600000001</v>
      </c>
      <c r="H96" s="276"/>
      <c r="I96" s="270"/>
      <c r="K96" s="327"/>
      <c r="L96" s="327"/>
      <c r="M96" s="327"/>
      <c r="N96" s="327"/>
    </row>
    <row r="97" spans="2:14" x14ac:dyDescent="0.25">
      <c r="B97" s="211" t="str">
        <f t="shared" ref="B97:F97" si="10">+B91</f>
        <v>Plancha inferior de union cercha columna</v>
      </c>
      <c r="C97" s="243">
        <f t="shared" si="10"/>
        <v>1</v>
      </c>
      <c r="D97" s="243">
        <f t="shared" si="10"/>
        <v>2</v>
      </c>
      <c r="E97" s="278">
        <f t="shared" si="10"/>
        <v>0.6</v>
      </c>
      <c r="F97" s="278">
        <f t="shared" si="10"/>
        <v>0.4</v>
      </c>
      <c r="G97" s="268">
        <f>PRODUCT(C97:F97)</f>
        <v>0.48</v>
      </c>
      <c r="H97" s="276"/>
      <c r="I97" s="270"/>
      <c r="K97" s="327"/>
      <c r="L97" s="327"/>
      <c r="M97" s="327"/>
      <c r="N97" s="327"/>
    </row>
    <row r="98" spans="2:14" x14ac:dyDescent="0.25">
      <c r="B98" s="211" t="str">
        <f t="shared" ref="B98:F98" si="11">+B92</f>
        <v>Rigidizador de anclaje</v>
      </c>
      <c r="C98" s="243">
        <f t="shared" si="11"/>
        <v>2</v>
      </c>
      <c r="D98" s="243">
        <f t="shared" si="11"/>
        <v>2</v>
      </c>
      <c r="E98" s="278">
        <f t="shared" si="11"/>
        <v>0.17</v>
      </c>
      <c r="F98" s="278">
        <f t="shared" si="11"/>
        <v>0.11</v>
      </c>
      <c r="G98" s="330">
        <f>PRODUCT(C98:F98)</f>
        <v>7.4800000000000005E-2</v>
      </c>
      <c r="H98" s="276"/>
      <c r="I98" s="270"/>
      <c r="K98" s="327"/>
      <c r="L98" s="327"/>
      <c r="M98" s="327"/>
      <c r="N98" s="327"/>
    </row>
    <row r="99" spans="2:14" x14ac:dyDescent="0.25">
      <c r="B99" s="211" t="str">
        <f t="shared" ref="B99:F99" si="12">+B93</f>
        <v>Rigidizador tipo 2</v>
      </c>
      <c r="C99" s="243">
        <f t="shared" si="12"/>
        <v>2</v>
      </c>
      <c r="D99" s="243">
        <f t="shared" si="12"/>
        <v>2</v>
      </c>
      <c r="E99" s="278">
        <f t="shared" si="12"/>
        <v>0.27</v>
      </c>
      <c r="F99" s="278">
        <f t="shared" si="12"/>
        <v>0.2</v>
      </c>
      <c r="G99" s="330">
        <f>3.141*D99*C99*(E99*E99)/4</f>
        <v>0.22897890000000001</v>
      </c>
      <c r="H99" s="276"/>
      <c r="I99" s="270"/>
      <c r="K99" s="327"/>
      <c r="L99" s="327"/>
      <c r="M99" s="327"/>
      <c r="N99" s="327"/>
    </row>
    <row r="100" spans="2:14" x14ac:dyDescent="0.25">
      <c r="B100" s="211" t="str">
        <f t="shared" ref="B100:F100" si="13">+B94</f>
        <v>Rigidizador tipo 3</v>
      </c>
      <c r="C100" s="243">
        <f t="shared" si="13"/>
        <v>1</v>
      </c>
      <c r="D100" s="243">
        <f t="shared" si="13"/>
        <v>2</v>
      </c>
      <c r="E100" s="278">
        <f t="shared" si="13"/>
        <v>0.2</v>
      </c>
      <c r="F100" s="278">
        <f t="shared" si="13"/>
        <v>0.12</v>
      </c>
      <c r="G100" s="330">
        <f t="shared" ref="G100" si="14">PRODUCT(C100:F100)</f>
        <v>4.8000000000000001E-2</v>
      </c>
      <c r="H100" s="276"/>
      <c r="I100" s="270"/>
      <c r="K100" s="327"/>
      <c r="L100" s="327"/>
      <c r="M100" s="327"/>
      <c r="N100" s="327"/>
    </row>
    <row r="101" spans="2:14" x14ac:dyDescent="0.25">
      <c r="B101" s="274" t="s">
        <v>71</v>
      </c>
      <c r="C101" s="598" t="s">
        <v>72</v>
      </c>
      <c r="D101" s="599"/>
      <c r="E101" s="599"/>
      <c r="F101" s="600"/>
      <c r="G101" s="279" t="str">
        <f>+H85</f>
        <v>Pistola</v>
      </c>
      <c r="H101" s="276">
        <f>SUM(H89:H100)*I$29</f>
        <v>0.14308767059047617</v>
      </c>
      <c r="I101" s="270"/>
      <c r="K101" s="327"/>
      <c r="L101" s="327"/>
      <c r="M101" s="327"/>
      <c r="N101" s="327"/>
    </row>
    <row r="102" spans="2:14" ht="15.75" thickBot="1" x14ac:dyDescent="0.3">
      <c r="B102" s="280"/>
      <c r="C102" s="281"/>
      <c r="D102" s="281"/>
      <c r="E102" s="282"/>
      <c r="F102" s="281"/>
      <c r="G102" s="281"/>
      <c r="H102" s="281"/>
      <c r="I102" s="283"/>
      <c r="K102" s="327"/>
      <c r="L102" s="327"/>
      <c r="M102" s="327"/>
      <c r="N102" s="327"/>
    </row>
    <row r="103" spans="2:14" ht="15.75" thickBot="1" x14ac:dyDescent="0.3">
      <c r="B103" s="579" t="s">
        <v>73</v>
      </c>
      <c r="C103" s="580"/>
      <c r="D103" s="580"/>
      <c r="E103" s="580"/>
      <c r="F103" s="580"/>
      <c r="G103" s="580"/>
      <c r="H103" s="580"/>
      <c r="I103" s="581"/>
      <c r="K103" s="327"/>
      <c r="L103" s="327"/>
      <c r="M103" s="327"/>
      <c r="N103" s="327"/>
    </row>
    <row r="104" spans="2:14" ht="15.75" thickBot="1" x14ac:dyDescent="0.3">
      <c r="K104" s="327"/>
      <c r="L104" s="327"/>
      <c r="M104" s="327"/>
      <c r="N104" s="327"/>
    </row>
    <row r="105" spans="2:14" x14ac:dyDescent="0.25">
      <c r="B105" s="582" t="s">
        <v>49</v>
      </c>
      <c r="C105" s="584" t="s">
        <v>7</v>
      </c>
      <c r="D105" s="284" t="s">
        <v>74</v>
      </c>
      <c r="E105" s="285"/>
      <c r="F105" s="286"/>
      <c r="G105" s="286"/>
      <c r="H105" s="286"/>
      <c r="I105" s="286"/>
      <c r="K105" s="327"/>
      <c r="L105" s="327"/>
      <c r="M105" s="327"/>
      <c r="N105" s="327"/>
    </row>
    <row r="106" spans="2:14" ht="15.75" thickBot="1" x14ac:dyDescent="0.3">
      <c r="B106" s="583"/>
      <c r="C106" s="585"/>
      <c r="D106" s="290" t="s">
        <v>7</v>
      </c>
      <c r="E106" s="291"/>
      <c r="F106" s="286"/>
      <c r="G106" s="286"/>
      <c r="H106" s="286"/>
      <c r="I106" s="286"/>
      <c r="K106" s="327"/>
      <c r="L106" s="327"/>
      <c r="M106" s="327"/>
      <c r="N106" s="327"/>
    </row>
    <row r="107" spans="2:14" x14ac:dyDescent="0.25">
      <c r="B107" s="292" t="str">
        <f>+B60</f>
        <v>COLUMNA METÁLICA CIRCULAR TIPO 2 -  L=5.50 m</v>
      </c>
      <c r="C107" s="293"/>
      <c r="D107" s="294"/>
      <c r="E107" s="295"/>
      <c r="F107" s="296"/>
      <c r="G107" s="296"/>
      <c r="H107" s="296"/>
      <c r="I107" s="296"/>
      <c r="K107" s="327"/>
      <c r="L107" s="327"/>
      <c r="M107" s="327"/>
      <c r="N107" s="327"/>
    </row>
    <row r="108" spans="2:14" x14ac:dyDescent="0.25">
      <c r="B108" s="300" t="str">
        <f>+B70</f>
        <v>Tubo circular schedule 40, Ø=8"</v>
      </c>
      <c r="C108" s="301" t="s">
        <v>21</v>
      </c>
      <c r="D108" s="302">
        <f>+H70</f>
        <v>6.0637500000000006</v>
      </c>
      <c r="E108" s="303"/>
      <c r="F108" s="286"/>
      <c r="G108" s="286"/>
      <c r="H108" s="286"/>
      <c r="I108" s="286"/>
      <c r="K108" s="327"/>
      <c r="L108" s="327"/>
      <c r="M108" s="327"/>
      <c r="N108" s="327"/>
    </row>
    <row r="109" spans="2:14" x14ac:dyDescent="0.25">
      <c r="B109" s="331" t="str">
        <f>+B73</f>
        <v>ELECTRODOS E7018</v>
      </c>
      <c r="C109" s="305" t="s">
        <v>19</v>
      </c>
      <c r="D109" s="306">
        <f>+H73</f>
        <v>2.2950450000000004</v>
      </c>
      <c r="E109" s="303"/>
      <c r="F109" s="286"/>
      <c r="G109" s="286"/>
      <c r="H109" s="286"/>
      <c r="I109" s="286"/>
      <c r="K109" s="327"/>
      <c r="L109" s="327"/>
      <c r="M109" s="327"/>
      <c r="N109" s="327"/>
    </row>
    <row r="110" spans="2:14" x14ac:dyDescent="0.25">
      <c r="B110" s="331" t="str">
        <f>B78</f>
        <v>ELECTRODOS E6011</v>
      </c>
      <c r="C110" s="305" t="s">
        <v>19</v>
      </c>
      <c r="D110" s="306">
        <f>H78</f>
        <v>0.29908499999999999</v>
      </c>
      <c r="E110" s="303"/>
      <c r="F110" s="286"/>
      <c r="G110" s="286"/>
      <c r="H110" s="286"/>
      <c r="I110" s="286"/>
      <c r="K110" s="327"/>
      <c r="L110" s="327"/>
      <c r="M110" s="327"/>
      <c r="N110" s="327"/>
    </row>
    <row r="111" spans="2:14" x14ac:dyDescent="0.25">
      <c r="B111" s="304" t="str">
        <f>+B89</f>
        <v>ESMALTE SINTÉTICO</v>
      </c>
      <c r="C111" s="305" t="str">
        <f>+H88</f>
        <v>gln</v>
      </c>
      <c r="D111" s="306">
        <f>+H89</f>
        <v>0.25001405653333331</v>
      </c>
      <c r="E111" s="303"/>
      <c r="F111" s="286"/>
      <c r="G111" s="286"/>
      <c r="H111" s="286"/>
      <c r="I111" s="286"/>
      <c r="K111" s="327"/>
      <c r="L111" s="327"/>
      <c r="M111" s="327"/>
      <c r="N111" s="327"/>
    </row>
    <row r="112" spans="2:14" x14ac:dyDescent="0.25">
      <c r="B112" s="304" t="str">
        <f>+B95</f>
        <v>BASE ANTICORROSIVA</v>
      </c>
      <c r="C112" s="305" t="str">
        <f>+C111</f>
        <v>gln</v>
      </c>
      <c r="D112" s="306">
        <f>+H95</f>
        <v>0.32233662582857142</v>
      </c>
      <c r="E112" s="303"/>
      <c r="F112" s="286"/>
      <c r="G112" s="286"/>
      <c r="H112" s="286"/>
      <c r="I112" s="286"/>
      <c r="K112" s="327"/>
      <c r="L112" s="327"/>
      <c r="M112" s="327"/>
      <c r="N112" s="327"/>
    </row>
    <row r="113" spans="2:14" ht="15.75" thickBot="1" x14ac:dyDescent="0.3">
      <c r="B113" s="280" t="str">
        <f>+B101</f>
        <v>DILUYENTE ESTÁNDAR (THINNER)</v>
      </c>
      <c r="C113" s="251" t="str">
        <f>+C112</f>
        <v>gln</v>
      </c>
      <c r="D113" s="307">
        <f>+H101</f>
        <v>0.14308767059047617</v>
      </c>
      <c r="E113" s="308"/>
      <c r="K113" s="327"/>
      <c r="L113" s="327"/>
      <c r="M113" s="327"/>
      <c r="N113" s="327"/>
    </row>
    <row r="114" spans="2:14" ht="15.75" thickBot="1" x14ac:dyDescent="0.3">
      <c r="B114" s="211"/>
      <c r="C114" s="215"/>
      <c r="D114" s="216"/>
      <c r="E114" s="216"/>
      <c r="F114" s="491"/>
      <c r="G114" s="217"/>
      <c r="H114" s="218"/>
      <c r="I114" s="219"/>
      <c r="K114" s="327"/>
      <c r="L114" s="327"/>
      <c r="M114" s="327"/>
      <c r="N114" s="327"/>
    </row>
    <row r="115" spans="2:14" x14ac:dyDescent="0.25">
      <c r="B115" s="586" t="s">
        <v>42</v>
      </c>
      <c r="C115" s="587"/>
      <c r="D115" s="587"/>
      <c r="E115" s="587"/>
      <c r="F115" s="587"/>
      <c r="G115" s="587"/>
      <c r="H115" s="587"/>
      <c r="I115" s="588"/>
      <c r="K115" s="327"/>
      <c r="L115" s="327"/>
      <c r="M115" s="327"/>
      <c r="N115" s="327"/>
    </row>
    <row r="116" spans="2:14" ht="15.75" thickBot="1" x14ac:dyDescent="0.3">
      <c r="B116" s="589" t="str">
        <f>+Metrado!D64</f>
        <v>CERCHA PRINCIPAL</v>
      </c>
      <c r="C116" s="590"/>
      <c r="D116" s="590"/>
      <c r="E116" s="590"/>
      <c r="F116" s="590"/>
      <c r="G116" s="590"/>
      <c r="H116" s="590"/>
      <c r="I116" s="591"/>
      <c r="K116" s="327"/>
      <c r="L116" s="327"/>
      <c r="M116" s="327"/>
      <c r="N116" s="327"/>
    </row>
    <row r="117" spans="2:14" ht="15.75" thickBot="1" x14ac:dyDescent="0.3">
      <c r="B117" s="165"/>
      <c r="C117" s="166"/>
      <c r="D117" s="166"/>
      <c r="E117" s="167"/>
      <c r="F117" s="166"/>
      <c r="G117" s="166"/>
      <c r="H117" s="166"/>
      <c r="I117" s="166"/>
      <c r="K117" s="327"/>
      <c r="L117" s="327"/>
      <c r="M117" s="327"/>
      <c r="N117" s="327"/>
    </row>
    <row r="118" spans="2:14" ht="15.75" thickBot="1" x14ac:dyDescent="0.3">
      <c r="B118" s="168" t="s">
        <v>59</v>
      </c>
      <c r="C118" s="169"/>
      <c r="D118" s="592" t="s">
        <v>43</v>
      </c>
      <c r="E118" s="593"/>
      <c r="F118" s="594"/>
      <c r="G118" s="166"/>
      <c r="H118" s="170" t="s">
        <v>44</v>
      </c>
      <c r="I118" s="171">
        <v>1.1000000000000001</v>
      </c>
      <c r="K118" s="327"/>
      <c r="L118" s="327"/>
      <c r="M118" s="327"/>
      <c r="N118" s="327"/>
    </row>
    <row r="119" spans="2:14" ht="15.75" thickBot="1" x14ac:dyDescent="0.3">
      <c r="B119" s="175" t="s">
        <v>91</v>
      </c>
      <c r="C119" s="176"/>
      <c r="D119" s="177" t="s">
        <v>45</v>
      </c>
      <c r="E119" s="178">
        <f>IF(D$7=K$3,L$3,(IF(D$7=K$4,L$4,(IF(D$7=K$5,L$5,(IF(D$7=K$6,L$6,"")))))))</f>
        <v>0.22321428571428573</v>
      </c>
      <c r="F119" s="179" t="s">
        <v>20</v>
      </c>
      <c r="G119" s="166"/>
      <c r="H119" s="180"/>
      <c r="I119" s="181"/>
      <c r="K119" s="327"/>
      <c r="L119" s="327"/>
      <c r="M119" s="327"/>
      <c r="N119" s="327"/>
    </row>
    <row r="120" spans="2:14" x14ac:dyDescent="0.25">
      <c r="B120" s="182"/>
      <c r="C120" s="176"/>
      <c r="D120" s="176"/>
      <c r="E120" s="183"/>
      <c r="F120" s="166"/>
      <c r="G120" s="184"/>
      <c r="H120" s="184"/>
      <c r="I120" s="185"/>
      <c r="K120" s="327"/>
      <c r="L120" s="327"/>
      <c r="M120" s="327"/>
      <c r="N120" s="327"/>
    </row>
    <row r="121" spans="2:14" ht="15.75" thickBot="1" x14ac:dyDescent="0.3">
      <c r="B121" s="182"/>
      <c r="C121" s="176"/>
      <c r="D121" s="176"/>
      <c r="E121" s="183"/>
      <c r="F121" s="166"/>
      <c r="G121" s="186"/>
      <c r="H121" s="186"/>
      <c r="I121" s="185"/>
      <c r="K121" s="327"/>
      <c r="L121" s="327"/>
      <c r="M121" s="327"/>
      <c r="N121" s="327"/>
    </row>
    <row r="122" spans="2:14" ht="15.75" thickBot="1" x14ac:dyDescent="0.3">
      <c r="B122" s="579" t="s">
        <v>90</v>
      </c>
      <c r="C122" s="580"/>
      <c r="D122" s="580"/>
      <c r="E122" s="580"/>
      <c r="F122" s="580"/>
      <c r="G122" s="580"/>
      <c r="H122" s="580"/>
      <c r="I122" s="581"/>
      <c r="K122" s="327"/>
      <c r="L122" s="327"/>
      <c r="M122" s="327"/>
      <c r="N122" s="327"/>
    </row>
    <row r="123" spans="2:14" ht="15.75" thickBot="1" x14ac:dyDescent="0.3">
      <c r="B123" s="188"/>
      <c r="H123" s="595"/>
      <c r="I123" s="595"/>
      <c r="K123" s="327"/>
      <c r="L123" s="327"/>
      <c r="M123" s="327"/>
      <c r="N123" s="327"/>
    </row>
    <row r="124" spans="2:14" ht="15.75" thickBot="1" x14ac:dyDescent="0.3">
      <c r="B124" s="190" t="s">
        <v>49</v>
      </c>
      <c r="C124" s="191" t="s">
        <v>50</v>
      </c>
      <c r="D124" s="191" t="s">
        <v>51</v>
      </c>
      <c r="E124" s="192" t="s">
        <v>52</v>
      </c>
      <c r="F124" s="192" t="s">
        <v>53</v>
      </c>
      <c r="G124" s="191" t="s">
        <v>54</v>
      </c>
      <c r="H124" s="191" t="s">
        <v>21</v>
      </c>
      <c r="I124" s="193" t="s">
        <v>22</v>
      </c>
      <c r="K124" s="327"/>
      <c r="L124" s="327"/>
      <c r="M124" s="327"/>
      <c r="N124" s="327"/>
    </row>
    <row r="125" spans="2:14" x14ac:dyDescent="0.25">
      <c r="B125" s="194" t="s">
        <v>75</v>
      </c>
      <c r="C125" s="195"/>
      <c r="D125" s="195"/>
      <c r="E125" s="196"/>
      <c r="F125" s="196"/>
      <c r="G125" s="195"/>
      <c r="H125" s="195"/>
      <c r="I125" s="197"/>
      <c r="K125" s="327"/>
      <c r="L125" s="327"/>
      <c r="M125" s="327"/>
      <c r="N125" s="327"/>
    </row>
    <row r="126" spans="2:14" x14ac:dyDescent="0.25">
      <c r="B126" s="198" t="str">
        <f>Metrado!D65</f>
        <v>Tubo LAC 100X100X4 mm</v>
      </c>
      <c r="C126" s="199">
        <v>6</v>
      </c>
      <c r="D126" s="200"/>
      <c r="E126" s="201"/>
      <c r="F126" s="200">
        <f>Metrado!P65</f>
        <v>65.253999999999991</v>
      </c>
      <c r="G126" s="202"/>
      <c r="H126" s="203">
        <f>SUM(F126)*$I$118</f>
        <v>71.779399999999995</v>
      </c>
      <c r="I126" s="204">
        <f>H126/C126</f>
        <v>11.963233333333333</v>
      </c>
      <c r="K126" s="327"/>
      <c r="L126" s="327"/>
      <c r="M126" s="327"/>
      <c r="N126" s="327"/>
    </row>
    <row r="127" spans="2:14" ht="15.75" thickBot="1" x14ac:dyDescent="0.3">
      <c r="B127" s="198" t="str">
        <f>Metrado!D66</f>
        <v>Tubo LAC 50x50x2.5 mm</v>
      </c>
      <c r="C127" s="377">
        <v>6</v>
      </c>
      <c r="D127" s="404"/>
      <c r="E127" s="405"/>
      <c r="F127" s="200">
        <f>Metrado!P66</f>
        <v>78.771000000000001</v>
      </c>
      <c r="G127" s="205"/>
      <c r="H127" s="203">
        <f t="shared" ref="H127" si="15">SUM(F127)*$I$118</f>
        <v>86.648100000000014</v>
      </c>
      <c r="I127" s="204">
        <f>H127/C127</f>
        <v>14.441350000000002</v>
      </c>
      <c r="K127" s="327"/>
      <c r="L127" s="327"/>
      <c r="M127" s="327"/>
      <c r="N127" s="327"/>
    </row>
    <row r="128" spans="2:14" ht="15.75" thickBot="1" x14ac:dyDescent="0.3">
      <c r="B128" s="190" t="s">
        <v>49</v>
      </c>
      <c r="C128" s="191" t="s">
        <v>55</v>
      </c>
      <c r="D128" s="191" t="s">
        <v>50</v>
      </c>
      <c r="E128" s="191" t="s">
        <v>56</v>
      </c>
      <c r="F128" s="191" t="s">
        <v>57</v>
      </c>
      <c r="G128" s="191" t="s">
        <v>54</v>
      </c>
      <c r="H128" s="191" t="s">
        <v>19</v>
      </c>
      <c r="I128" s="193"/>
      <c r="K128" s="327"/>
      <c r="L128" s="327"/>
      <c r="M128" s="327"/>
      <c r="N128" s="327"/>
    </row>
    <row r="129" spans="2:15" x14ac:dyDescent="0.25">
      <c r="B129" s="210" t="s">
        <v>136</v>
      </c>
      <c r="C129" s="372"/>
      <c r="D129" s="372"/>
      <c r="E129" s="372"/>
      <c r="F129" s="372"/>
      <c r="G129" s="372"/>
      <c r="H129" s="218">
        <f>+SUM(G130:G133)*$E$119*$I$118</f>
        <v>13.165625000000002</v>
      </c>
      <c r="I129" s="373"/>
      <c r="K129" s="327"/>
      <c r="L129" s="327"/>
      <c r="M129" s="327"/>
      <c r="N129" s="327"/>
    </row>
    <row r="130" spans="2:15" s="289" customFormat="1" x14ac:dyDescent="0.25">
      <c r="B130" s="374" t="str">
        <f>Metrado!D65</f>
        <v>Tubo LAC 100X100X4 mm</v>
      </c>
      <c r="C130" s="215">
        <v>45</v>
      </c>
      <c r="D130" s="216">
        <v>0.1</v>
      </c>
      <c r="E130" s="216">
        <v>0.1</v>
      </c>
      <c r="F130" s="212">
        <f>(D130+E130)*2</f>
        <v>0.4</v>
      </c>
      <c r="G130" s="312">
        <f>+C130*F130</f>
        <v>18</v>
      </c>
      <c r="H130" s="372"/>
      <c r="I130" s="373"/>
      <c r="J130" s="286"/>
      <c r="K130" s="287"/>
      <c r="L130" s="287"/>
      <c r="M130" s="287"/>
      <c r="N130" s="287"/>
      <c r="O130" s="288"/>
    </row>
    <row r="131" spans="2:15" x14ac:dyDescent="0.25">
      <c r="B131" s="374" t="str">
        <f>Metrado!D66</f>
        <v>Tubo LAC 50x50x2.5 mm</v>
      </c>
      <c r="C131" s="215">
        <v>130</v>
      </c>
      <c r="D131" s="216">
        <v>0.05</v>
      </c>
      <c r="E131" s="216">
        <v>0.05</v>
      </c>
      <c r="F131" s="213">
        <f>(D131+E131)*2</f>
        <v>0.2</v>
      </c>
      <c r="G131" s="217">
        <f>+C131*F131</f>
        <v>26</v>
      </c>
      <c r="H131" s="372"/>
      <c r="I131" s="373"/>
      <c r="K131" s="327"/>
      <c r="L131" s="327"/>
      <c r="M131" s="327"/>
      <c r="N131" s="327"/>
    </row>
    <row r="132" spans="2:15" x14ac:dyDescent="0.25">
      <c r="B132" s="374" t="str">
        <f>Metrado!D71</f>
        <v>Cartela tipo 1</v>
      </c>
      <c r="C132" s="215">
        <v>2</v>
      </c>
      <c r="D132" s="216">
        <f>0.85*2</f>
        <v>1.7</v>
      </c>
      <c r="E132" s="216">
        <v>0.6</v>
      </c>
      <c r="F132" s="213">
        <f>(D132+E132)</f>
        <v>2.2999999999999998</v>
      </c>
      <c r="G132" s="217">
        <f>+C132*F132</f>
        <v>4.5999999999999996</v>
      </c>
      <c r="H132" s="372"/>
      <c r="I132" s="373"/>
      <c r="K132" s="327"/>
      <c r="L132" s="327"/>
      <c r="M132" s="327"/>
      <c r="N132" s="327"/>
    </row>
    <row r="133" spans="2:15" x14ac:dyDescent="0.25">
      <c r="B133" s="374" t="str">
        <f>Metrado!D72</f>
        <v>Cartela tipo 2</v>
      </c>
      <c r="C133" s="215">
        <v>2</v>
      </c>
      <c r="D133" s="216">
        <v>2</v>
      </c>
      <c r="E133" s="216">
        <v>0.51</v>
      </c>
      <c r="F133" s="212">
        <f>(D133+E133)</f>
        <v>2.5099999999999998</v>
      </c>
      <c r="G133" s="312">
        <f>+C133*F133</f>
        <v>5.0199999999999996</v>
      </c>
      <c r="H133" s="218"/>
      <c r="I133" s="219"/>
      <c r="K133" s="327"/>
      <c r="L133" s="327"/>
      <c r="M133" s="327"/>
      <c r="N133" s="327"/>
    </row>
    <row r="134" spans="2:15" x14ac:dyDescent="0.25">
      <c r="B134" s="210" t="s">
        <v>213</v>
      </c>
      <c r="C134" s="372"/>
      <c r="D134" s="372"/>
      <c r="E134" s="372"/>
      <c r="F134" s="372"/>
      <c r="G134" s="372"/>
      <c r="H134" s="218">
        <f>+SUM(G135:G137)*$E$119*$I$118</f>
        <v>1.6696428571428572</v>
      </c>
      <c r="I134" s="219"/>
      <c r="K134" s="327"/>
      <c r="L134" s="327"/>
      <c r="M134" s="327"/>
      <c r="N134" s="327"/>
    </row>
    <row r="135" spans="2:15" x14ac:dyDescent="0.25">
      <c r="B135" s="374" t="str">
        <f>Metrado!D69</f>
        <v>Rigidizador tipo 1</v>
      </c>
      <c r="C135" s="215">
        <v>10</v>
      </c>
      <c r="D135" s="216">
        <v>0.15</v>
      </c>
      <c r="E135" s="216">
        <v>0.09</v>
      </c>
      <c r="F135" s="212">
        <f>(D135+E135)*2</f>
        <v>0.48</v>
      </c>
      <c r="G135" s="312">
        <f>+C135*F135</f>
        <v>4.8</v>
      </c>
      <c r="H135" s="218"/>
      <c r="I135" s="219"/>
      <c r="K135" s="327"/>
      <c r="L135" s="327"/>
      <c r="M135" s="327"/>
      <c r="N135" s="327"/>
    </row>
    <row r="136" spans="2:15" x14ac:dyDescent="0.25">
      <c r="B136" s="374" t="str">
        <f>Metrado!D71</f>
        <v>Cartela tipo 1</v>
      </c>
      <c r="C136" s="215">
        <v>2</v>
      </c>
      <c r="D136" s="216">
        <v>0.5</v>
      </c>
      <c r="E136" s="216"/>
      <c r="F136" s="212">
        <f>(D136+E136)</f>
        <v>0.5</v>
      </c>
      <c r="G136" s="312">
        <f>+C136*F136</f>
        <v>1</v>
      </c>
      <c r="H136" s="218"/>
      <c r="I136" s="219"/>
      <c r="K136" s="327"/>
      <c r="L136" s="327"/>
      <c r="M136" s="327"/>
      <c r="N136" s="327"/>
    </row>
    <row r="137" spans="2:15" ht="15.75" thickBot="1" x14ac:dyDescent="0.3">
      <c r="B137" s="374" t="str">
        <f>Metrado!D72</f>
        <v>Cartela tipo 2</v>
      </c>
      <c r="C137" s="215">
        <v>2</v>
      </c>
      <c r="D137" s="216">
        <v>0.5</v>
      </c>
      <c r="E137" s="216"/>
      <c r="F137" s="212">
        <f>(D137+E137)</f>
        <v>0.5</v>
      </c>
      <c r="G137" s="312">
        <f>+C137*F137</f>
        <v>1</v>
      </c>
      <c r="H137" s="218"/>
      <c r="I137" s="219"/>
      <c r="K137" s="327"/>
      <c r="L137" s="327"/>
      <c r="M137" s="327"/>
      <c r="N137" s="327"/>
    </row>
    <row r="138" spans="2:15" ht="15.75" thickBot="1" x14ac:dyDescent="0.3">
      <c r="B138" s="579" t="s">
        <v>58</v>
      </c>
      <c r="C138" s="580"/>
      <c r="D138" s="580"/>
      <c r="E138" s="580"/>
      <c r="F138" s="580"/>
      <c r="G138" s="580"/>
      <c r="H138" s="580"/>
      <c r="I138" s="581"/>
      <c r="K138" s="327"/>
      <c r="L138" s="327"/>
      <c r="M138" s="327"/>
      <c r="N138" s="327"/>
    </row>
    <row r="139" spans="2:15" ht="15.75" thickBot="1" x14ac:dyDescent="0.3">
      <c r="B139" s="165"/>
      <c r="C139" s="166"/>
      <c r="D139" s="166"/>
      <c r="E139" s="167"/>
      <c r="F139" s="166"/>
      <c r="G139" s="166"/>
      <c r="H139" s="166"/>
      <c r="I139" s="166"/>
      <c r="K139" s="327"/>
      <c r="L139" s="327"/>
      <c r="M139" s="327"/>
      <c r="N139" s="327"/>
    </row>
    <row r="140" spans="2:15" ht="15.75" thickBot="1" x14ac:dyDescent="0.3">
      <c r="B140" s="220" t="s">
        <v>59</v>
      </c>
      <c r="C140" s="221" t="s">
        <v>60</v>
      </c>
      <c r="D140" s="222" t="s">
        <v>61</v>
      </c>
      <c r="E140" s="171" t="s">
        <v>62</v>
      </c>
      <c r="F140" s="169"/>
      <c r="G140" s="166"/>
      <c r="H140" s="170" t="s">
        <v>44</v>
      </c>
      <c r="I140" s="171">
        <v>1.2</v>
      </c>
      <c r="K140" s="327"/>
      <c r="L140" s="327"/>
      <c r="M140" s="327"/>
      <c r="N140" s="327"/>
    </row>
    <row r="141" spans="2:15" ht="15.75" thickBot="1" x14ac:dyDescent="0.3">
      <c r="B141" s="226" t="s">
        <v>64</v>
      </c>
      <c r="C141" s="227">
        <v>2</v>
      </c>
      <c r="D141" s="228">
        <v>22.5</v>
      </c>
      <c r="E141" s="229">
        <v>4.4444444444444446E-2</v>
      </c>
      <c r="F141" s="230"/>
      <c r="G141" s="166"/>
      <c r="H141" s="166"/>
      <c r="I141" s="166"/>
      <c r="K141" s="327"/>
      <c r="L141" s="327"/>
      <c r="M141" s="327"/>
      <c r="N141" s="327"/>
    </row>
    <row r="142" spans="2:15" ht="15.75" thickBot="1" x14ac:dyDescent="0.3">
      <c r="B142" s="235" t="s">
        <v>65</v>
      </c>
      <c r="C142" s="236">
        <v>2</v>
      </c>
      <c r="D142" s="237">
        <v>17.5</v>
      </c>
      <c r="E142" s="238">
        <v>5.7142857142857141E-2</v>
      </c>
      <c r="F142" s="230"/>
      <c r="G142" s="239"/>
      <c r="H142" s="596" t="s">
        <v>63</v>
      </c>
      <c r="I142" s="597"/>
      <c r="K142" s="327"/>
      <c r="L142" s="327"/>
      <c r="M142" s="327"/>
      <c r="N142" s="327"/>
    </row>
    <row r="143" spans="2:15" ht="15.75" thickBot="1" x14ac:dyDescent="0.3">
      <c r="B143" s="244"/>
      <c r="C143" s="245"/>
      <c r="D143" s="246"/>
      <c r="E143" s="247"/>
      <c r="F143" s="230"/>
      <c r="G143" s="166"/>
      <c r="H143" s="248" t="s">
        <v>66</v>
      </c>
      <c r="I143" s="249">
        <v>0.25</v>
      </c>
      <c r="K143" s="327"/>
      <c r="L143" s="327"/>
      <c r="M143" s="327"/>
      <c r="N143" s="327"/>
    </row>
    <row r="144" spans="2:15" x14ac:dyDescent="0.25">
      <c r="B144" s="166"/>
      <c r="C144" s="166"/>
      <c r="D144" s="166"/>
      <c r="E144" s="166"/>
      <c r="F144" s="166"/>
      <c r="G144" s="166"/>
      <c r="H144" s="254"/>
      <c r="I144" s="166"/>
      <c r="K144" s="327"/>
      <c r="L144" s="327"/>
      <c r="M144" s="327"/>
      <c r="N144" s="327"/>
    </row>
    <row r="145" spans="2:14" ht="15.75" thickBot="1" x14ac:dyDescent="0.3">
      <c r="B145" s="188"/>
      <c r="K145" s="327"/>
      <c r="L145" s="327"/>
      <c r="M145" s="327"/>
      <c r="N145" s="327"/>
    </row>
    <row r="146" spans="2:14" ht="39" thickBot="1" x14ac:dyDescent="0.3">
      <c r="B146" s="255" t="s">
        <v>49</v>
      </c>
      <c r="C146" s="256" t="s">
        <v>51</v>
      </c>
      <c r="D146" s="256" t="s">
        <v>67</v>
      </c>
      <c r="E146" s="257" t="s">
        <v>53</v>
      </c>
      <c r="F146" s="256" t="s">
        <v>95</v>
      </c>
      <c r="G146" s="256" t="s">
        <v>68</v>
      </c>
      <c r="H146" s="258" t="s">
        <v>37</v>
      </c>
      <c r="I146" s="259"/>
      <c r="K146" s="327"/>
      <c r="L146" s="327"/>
      <c r="M146" s="327"/>
      <c r="N146" s="327"/>
    </row>
    <row r="147" spans="2:14" x14ac:dyDescent="0.25">
      <c r="B147" s="260" t="s">
        <v>69</v>
      </c>
      <c r="C147" s="261"/>
      <c r="D147" s="261"/>
      <c r="E147" s="261"/>
      <c r="F147" s="261"/>
      <c r="G147" s="261"/>
      <c r="H147" s="262">
        <f>SUM(G148:G153)*$E$141*$I$140</f>
        <v>2.7365002666666673</v>
      </c>
      <c r="I147" s="263"/>
      <c r="K147" s="327"/>
      <c r="L147" s="327"/>
      <c r="M147" s="327"/>
      <c r="N147" s="327"/>
    </row>
    <row r="148" spans="2:14" x14ac:dyDescent="0.25">
      <c r="B148" s="211" t="str">
        <f>+Metrado!D65</f>
        <v>Tubo LAC 100X100X4 mm</v>
      </c>
      <c r="C148" s="265">
        <v>1</v>
      </c>
      <c r="D148" s="265">
        <v>1</v>
      </c>
      <c r="E148" s="267">
        <f>+H126</f>
        <v>71.779399999999995</v>
      </c>
      <c r="F148" s="267">
        <f>F130</f>
        <v>0.4</v>
      </c>
      <c r="G148" s="268">
        <f t="shared" ref="G148:G153" si="16">PRODUCT(C148:F148)</f>
        <v>28.711759999999998</v>
      </c>
      <c r="H148" s="269"/>
      <c r="I148" s="270"/>
      <c r="K148" s="327"/>
      <c r="L148" s="327"/>
      <c r="M148" s="327"/>
      <c r="N148" s="327"/>
    </row>
    <row r="149" spans="2:14" x14ac:dyDescent="0.25">
      <c r="B149" s="211" t="str">
        <f>+Metrado!D66</f>
        <v>Tubo LAC 50x50x2.5 mm</v>
      </c>
      <c r="C149" s="376">
        <v>1</v>
      </c>
      <c r="D149" s="376">
        <v>1</v>
      </c>
      <c r="E149" s="267">
        <f>+H127</f>
        <v>86.648100000000014</v>
      </c>
      <c r="F149" s="267">
        <f>F131</f>
        <v>0.2</v>
      </c>
      <c r="G149" s="268">
        <f t="shared" si="16"/>
        <v>17.329620000000002</v>
      </c>
      <c r="H149" s="271"/>
      <c r="I149" s="270"/>
      <c r="K149" s="327"/>
      <c r="L149" s="327"/>
      <c r="M149" s="327"/>
      <c r="N149" s="327"/>
    </row>
    <row r="150" spans="2:14" x14ac:dyDescent="0.25">
      <c r="B150" s="211" t="str">
        <f>Metrado!D68</f>
        <v>Plancha superior de union cercha columna</v>
      </c>
      <c r="C150" s="376">
        <v>2</v>
      </c>
      <c r="D150" s="376">
        <v>2</v>
      </c>
      <c r="E150" s="267">
        <v>0.6</v>
      </c>
      <c r="F150" s="267">
        <v>0.4</v>
      </c>
      <c r="G150" s="268">
        <f t="shared" si="16"/>
        <v>0.96</v>
      </c>
      <c r="H150" s="271"/>
      <c r="I150" s="270"/>
      <c r="K150" s="327"/>
      <c r="L150" s="327"/>
      <c r="M150" s="327"/>
      <c r="N150" s="327"/>
    </row>
    <row r="151" spans="2:14" x14ac:dyDescent="0.25">
      <c r="B151" s="211" t="str">
        <f>Metrado!D69</f>
        <v>Rigidizador tipo 1</v>
      </c>
      <c r="C151" s="376">
        <v>5</v>
      </c>
      <c r="D151" s="376">
        <v>2</v>
      </c>
      <c r="E151" s="267">
        <f>Metrado!G69</f>
        <v>0.13</v>
      </c>
      <c r="F151" s="267">
        <f>Metrado!H69</f>
        <v>0.16</v>
      </c>
      <c r="G151" s="268">
        <f t="shared" si="16"/>
        <v>0.20800000000000002</v>
      </c>
      <c r="H151" s="271"/>
      <c r="I151" s="270"/>
      <c r="K151" s="327"/>
      <c r="L151" s="327"/>
      <c r="M151" s="327"/>
      <c r="N151" s="327"/>
    </row>
    <row r="152" spans="2:14" x14ac:dyDescent="0.25">
      <c r="B152" s="211" t="str">
        <f>Metrado!D71</f>
        <v>Cartela tipo 1</v>
      </c>
      <c r="C152" s="376">
        <v>2</v>
      </c>
      <c r="D152" s="376">
        <v>2</v>
      </c>
      <c r="E152" s="267">
        <f>Metrado!G71</f>
        <v>0.5</v>
      </c>
      <c r="F152" s="267">
        <f>Metrado!H71</f>
        <v>0.95</v>
      </c>
      <c r="G152" s="268">
        <f t="shared" si="16"/>
        <v>1.9</v>
      </c>
      <c r="H152" s="271"/>
      <c r="I152" s="270"/>
      <c r="K152" s="327"/>
      <c r="L152" s="327"/>
      <c r="M152" s="327"/>
      <c r="N152" s="327"/>
    </row>
    <row r="153" spans="2:14" x14ac:dyDescent="0.25">
      <c r="B153" s="211" t="str">
        <f>Metrado!D72</f>
        <v>Cartela tipo 2</v>
      </c>
      <c r="C153" s="471">
        <v>2</v>
      </c>
      <c r="D153" s="471">
        <v>2</v>
      </c>
      <c r="E153" s="273">
        <f>Metrado!G72</f>
        <v>0.5</v>
      </c>
      <c r="F153" s="273">
        <f>Metrado!H72</f>
        <v>1.1000000000000001</v>
      </c>
      <c r="G153" s="268">
        <f t="shared" si="16"/>
        <v>2.2000000000000002</v>
      </c>
      <c r="H153" s="271"/>
      <c r="I153" s="270"/>
      <c r="K153" s="327"/>
      <c r="L153" s="327"/>
      <c r="M153" s="327"/>
      <c r="N153" s="327"/>
    </row>
    <row r="154" spans="2:14" x14ac:dyDescent="0.25">
      <c r="B154" s="274" t="s">
        <v>70</v>
      </c>
      <c r="C154" s="376"/>
      <c r="D154" s="275"/>
      <c r="E154" s="275"/>
      <c r="F154" s="275"/>
      <c r="G154" s="275"/>
      <c r="H154" s="276">
        <f>SUM(G155:G160)*$E$142*$I$140</f>
        <v>3.5183574857142861</v>
      </c>
      <c r="I154" s="270"/>
      <c r="K154" s="327"/>
      <c r="L154" s="327"/>
      <c r="M154" s="327"/>
      <c r="N154" s="327"/>
    </row>
    <row r="155" spans="2:14" x14ac:dyDescent="0.25">
      <c r="B155" s="211" t="str">
        <f t="shared" ref="B155:F159" si="17">+B148</f>
        <v>Tubo LAC 100X100X4 mm</v>
      </c>
      <c r="C155" s="243">
        <f t="shared" si="17"/>
        <v>1</v>
      </c>
      <c r="D155" s="243">
        <f t="shared" si="17"/>
        <v>1</v>
      </c>
      <c r="E155" s="278">
        <f t="shared" si="17"/>
        <v>71.779399999999995</v>
      </c>
      <c r="F155" s="267">
        <f t="shared" si="17"/>
        <v>0.4</v>
      </c>
      <c r="G155" s="268">
        <f t="shared" ref="G155:G160" si="18">PRODUCT(C155:F155)</f>
        <v>28.711759999999998</v>
      </c>
      <c r="H155" s="276"/>
      <c r="I155" s="270"/>
      <c r="K155" s="327"/>
      <c r="L155" s="327"/>
      <c r="M155" s="327"/>
      <c r="N155" s="327"/>
    </row>
    <row r="156" spans="2:14" x14ac:dyDescent="0.25">
      <c r="B156" s="211" t="str">
        <f t="shared" si="17"/>
        <v>Tubo LAC 50x50x2.5 mm</v>
      </c>
      <c r="C156" s="243">
        <f t="shared" si="17"/>
        <v>1</v>
      </c>
      <c r="D156" s="243">
        <f t="shared" si="17"/>
        <v>1</v>
      </c>
      <c r="E156" s="278">
        <f t="shared" si="17"/>
        <v>86.648100000000014</v>
      </c>
      <c r="F156" s="267">
        <f t="shared" si="17"/>
        <v>0.2</v>
      </c>
      <c r="G156" s="268">
        <f t="shared" si="18"/>
        <v>17.329620000000002</v>
      </c>
      <c r="H156" s="276"/>
      <c r="I156" s="270"/>
      <c r="K156" s="327"/>
      <c r="L156" s="327"/>
      <c r="M156" s="327"/>
      <c r="N156" s="327"/>
    </row>
    <row r="157" spans="2:14" x14ac:dyDescent="0.25">
      <c r="B157" s="211" t="str">
        <f t="shared" si="17"/>
        <v>Plancha superior de union cercha columna</v>
      </c>
      <c r="C157" s="243">
        <f t="shared" si="17"/>
        <v>2</v>
      </c>
      <c r="D157" s="243">
        <f t="shared" si="17"/>
        <v>2</v>
      </c>
      <c r="E157" s="278">
        <f t="shared" si="17"/>
        <v>0.6</v>
      </c>
      <c r="F157" s="267">
        <f t="shared" si="17"/>
        <v>0.4</v>
      </c>
      <c r="G157" s="268">
        <f t="shared" si="18"/>
        <v>0.96</v>
      </c>
      <c r="H157" s="276"/>
      <c r="I157" s="270"/>
      <c r="K157" s="327"/>
      <c r="L157" s="327"/>
      <c r="M157" s="327"/>
      <c r="N157" s="327"/>
    </row>
    <row r="158" spans="2:14" x14ac:dyDescent="0.25">
      <c r="B158" s="211" t="str">
        <f t="shared" si="17"/>
        <v>Rigidizador tipo 1</v>
      </c>
      <c r="C158" s="243">
        <f t="shared" si="17"/>
        <v>5</v>
      </c>
      <c r="D158" s="243">
        <f t="shared" si="17"/>
        <v>2</v>
      </c>
      <c r="E158" s="278">
        <f t="shared" si="17"/>
        <v>0.13</v>
      </c>
      <c r="F158" s="267">
        <f t="shared" si="17"/>
        <v>0.16</v>
      </c>
      <c r="G158" s="268">
        <f t="shared" si="18"/>
        <v>0.20800000000000002</v>
      </c>
      <c r="H158" s="276"/>
      <c r="I158" s="270"/>
      <c r="K158" s="327"/>
      <c r="L158" s="327"/>
      <c r="M158" s="327"/>
      <c r="N158" s="327"/>
    </row>
    <row r="159" spans="2:14" x14ac:dyDescent="0.25">
      <c r="B159" s="211" t="str">
        <f t="shared" si="17"/>
        <v>Cartela tipo 1</v>
      </c>
      <c r="C159" s="243">
        <f t="shared" si="17"/>
        <v>2</v>
      </c>
      <c r="D159" s="243">
        <f t="shared" si="17"/>
        <v>2</v>
      </c>
      <c r="E159" s="278">
        <f t="shared" si="17"/>
        <v>0.5</v>
      </c>
      <c r="F159" s="267">
        <f t="shared" si="17"/>
        <v>0.95</v>
      </c>
      <c r="G159" s="268">
        <f t="shared" si="18"/>
        <v>1.9</v>
      </c>
      <c r="H159" s="276"/>
      <c r="I159" s="270"/>
      <c r="K159" s="327"/>
      <c r="L159" s="327"/>
      <c r="M159" s="327"/>
      <c r="N159" s="327"/>
    </row>
    <row r="160" spans="2:14" x14ac:dyDescent="0.25">
      <c r="B160" s="211" t="str">
        <f>Metrado!D72</f>
        <v>Cartela tipo 2</v>
      </c>
      <c r="C160" s="492">
        <v>2</v>
      </c>
      <c r="D160" s="493">
        <v>2</v>
      </c>
      <c r="E160" s="494">
        <f>E153</f>
        <v>0.5</v>
      </c>
      <c r="F160" s="494">
        <f t="shared" ref="F160" si="19">F153</f>
        <v>1.1000000000000001</v>
      </c>
      <c r="G160" s="268">
        <f t="shared" si="18"/>
        <v>2.2000000000000002</v>
      </c>
      <c r="H160" s="276"/>
      <c r="I160" s="270"/>
      <c r="K160" s="327"/>
      <c r="L160" s="327"/>
      <c r="M160" s="327"/>
      <c r="N160" s="327"/>
    </row>
    <row r="161" spans="2:14" x14ac:dyDescent="0.25">
      <c r="B161" s="274" t="s">
        <v>71</v>
      </c>
      <c r="C161" s="598" t="s">
        <v>72</v>
      </c>
      <c r="D161" s="599"/>
      <c r="E161" s="599"/>
      <c r="F161" s="600"/>
      <c r="G161" s="279" t="str">
        <f>+H143</f>
        <v>Pistola</v>
      </c>
      <c r="H161" s="276">
        <f>SUM(H147:H159)*$I$143</f>
        <v>1.5637144380952384</v>
      </c>
      <c r="I161" s="270"/>
      <c r="K161" s="327"/>
      <c r="L161" s="327"/>
      <c r="M161" s="327"/>
      <c r="N161" s="327"/>
    </row>
    <row r="162" spans="2:14" ht="15.75" thickBot="1" x14ac:dyDescent="0.3">
      <c r="B162" s="280"/>
      <c r="C162" s="281"/>
      <c r="D162" s="281"/>
      <c r="E162" s="282"/>
      <c r="F162" s="281"/>
      <c r="G162" s="281"/>
      <c r="H162" s="281"/>
      <c r="I162" s="283"/>
      <c r="K162" s="327"/>
      <c r="L162" s="327"/>
      <c r="M162" s="327"/>
      <c r="N162" s="327"/>
    </row>
    <row r="163" spans="2:14" ht="15.75" thickBot="1" x14ac:dyDescent="0.3">
      <c r="B163" s="579" t="s">
        <v>73</v>
      </c>
      <c r="C163" s="580"/>
      <c r="D163" s="580"/>
      <c r="E163" s="580"/>
      <c r="F163" s="580"/>
      <c r="G163" s="580"/>
      <c r="H163" s="580"/>
      <c r="I163" s="581"/>
      <c r="K163" s="327"/>
      <c r="L163" s="327"/>
      <c r="M163" s="327"/>
      <c r="N163" s="327"/>
    </row>
    <row r="164" spans="2:14" ht="15.75" thickBot="1" x14ac:dyDescent="0.3">
      <c r="K164" s="327"/>
      <c r="L164" s="327"/>
      <c r="M164" s="327"/>
      <c r="N164" s="327"/>
    </row>
    <row r="165" spans="2:14" x14ac:dyDescent="0.25">
      <c r="B165" s="582" t="s">
        <v>49</v>
      </c>
      <c r="C165" s="584" t="s">
        <v>7</v>
      </c>
      <c r="D165" s="284" t="s">
        <v>74</v>
      </c>
      <c r="E165" s="285"/>
      <c r="F165" s="286"/>
      <c r="G165" s="286"/>
      <c r="H165" s="286"/>
      <c r="I165" s="286"/>
      <c r="K165" s="327"/>
      <c r="L165" s="327"/>
      <c r="M165" s="327"/>
      <c r="N165" s="327"/>
    </row>
    <row r="166" spans="2:14" ht="15.75" thickBot="1" x14ac:dyDescent="0.3">
      <c r="B166" s="583"/>
      <c r="C166" s="585"/>
      <c r="D166" s="290" t="s">
        <v>7</v>
      </c>
      <c r="E166" s="291"/>
      <c r="F166" s="286"/>
      <c r="G166" s="286"/>
      <c r="H166" s="286"/>
      <c r="I166" s="286"/>
      <c r="K166" s="327"/>
      <c r="L166" s="327"/>
      <c r="M166" s="327"/>
      <c r="N166" s="327"/>
    </row>
    <row r="167" spans="2:14" x14ac:dyDescent="0.25">
      <c r="B167" s="292" t="str">
        <f>+B116</f>
        <v>CERCHA PRINCIPAL</v>
      </c>
      <c r="C167" s="293"/>
      <c r="D167" s="294"/>
      <c r="E167" s="295"/>
      <c r="F167" s="296"/>
      <c r="G167" s="296"/>
      <c r="H167" s="296"/>
      <c r="I167" s="296"/>
      <c r="K167" s="327"/>
      <c r="L167" s="327"/>
      <c r="M167" s="327"/>
      <c r="N167" s="327"/>
    </row>
    <row r="168" spans="2:14" x14ac:dyDescent="0.25">
      <c r="B168" s="300" t="str">
        <f>+B126</f>
        <v>Tubo LAC 100X100X4 mm</v>
      </c>
      <c r="C168" s="301" t="s">
        <v>21</v>
      </c>
      <c r="D168" s="302">
        <f>+H126</f>
        <v>71.779399999999995</v>
      </c>
      <c r="E168" s="303"/>
      <c r="F168" s="286"/>
      <c r="G168" s="286"/>
      <c r="H168" s="286"/>
      <c r="I168" s="286"/>
      <c r="K168" s="327"/>
      <c r="L168" s="327"/>
      <c r="M168" s="327"/>
      <c r="N168" s="327"/>
    </row>
    <row r="169" spans="2:14" x14ac:dyDescent="0.25">
      <c r="B169" s="304" t="str">
        <f>+B127</f>
        <v>Tubo LAC 50x50x2.5 mm</v>
      </c>
      <c r="C169" s="301" t="s">
        <v>21</v>
      </c>
      <c r="D169" s="302">
        <f>+H127</f>
        <v>86.648100000000014</v>
      </c>
      <c r="E169" s="303"/>
      <c r="F169" s="286"/>
      <c r="G169" s="286"/>
      <c r="H169" s="286"/>
      <c r="I169" s="286"/>
      <c r="K169" s="327"/>
      <c r="L169" s="327"/>
      <c r="M169" s="327"/>
      <c r="N169" s="327"/>
    </row>
    <row r="170" spans="2:14" x14ac:dyDescent="0.25">
      <c r="B170" s="304" t="str">
        <f>B129</f>
        <v>ELECTRODOS  E6011</v>
      </c>
      <c r="C170" s="305" t="s">
        <v>19</v>
      </c>
      <c r="D170" s="306">
        <f>H129</f>
        <v>13.165625000000002</v>
      </c>
      <c r="E170" s="303"/>
      <c r="F170" s="286"/>
      <c r="G170" s="286"/>
      <c r="H170" s="286"/>
      <c r="I170" s="286"/>
      <c r="K170" s="327"/>
      <c r="L170" s="327"/>
      <c r="M170" s="327"/>
      <c r="N170" s="327"/>
    </row>
    <row r="171" spans="2:14" x14ac:dyDescent="0.25">
      <c r="B171" s="304" t="str">
        <f>B134</f>
        <v>ELECTRODOS  E7018</v>
      </c>
      <c r="C171" s="305" t="s">
        <v>19</v>
      </c>
      <c r="D171" s="306">
        <f>H134</f>
        <v>1.6696428571428572</v>
      </c>
      <c r="E171" s="303"/>
      <c r="F171" s="286"/>
      <c r="G171" s="286"/>
      <c r="H171" s="286"/>
      <c r="I171" s="286"/>
      <c r="K171" s="327"/>
      <c r="L171" s="327"/>
      <c r="M171" s="327"/>
      <c r="N171" s="327"/>
    </row>
    <row r="172" spans="2:14" x14ac:dyDescent="0.25">
      <c r="B172" s="304" t="str">
        <f>+B147</f>
        <v>ESMALTE SINTÉTICO</v>
      </c>
      <c r="C172" s="305" t="str">
        <f>+H146</f>
        <v>gln</v>
      </c>
      <c r="D172" s="306">
        <f>H147</f>
        <v>2.7365002666666673</v>
      </c>
      <c r="E172" s="303"/>
      <c r="F172" s="286"/>
      <c r="G172" s="286"/>
      <c r="H172" s="286"/>
      <c r="I172" s="286"/>
    </row>
    <row r="173" spans="2:14" x14ac:dyDescent="0.25">
      <c r="B173" s="304" t="str">
        <f>+B154</f>
        <v>BASE ANTICORROSIVA</v>
      </c>
      <c r="C173" s="305" t="str">
        <f>+C172</f>
        <v>gln</v>
      </c>
      <c r="D173" s="306">
        <f>+H154</f>
        <v>3.5183574857142861</v>
      </c>
      <c r="E173" s="303"/>
      <c r="F173" s="286"/>
      <c r="G173" s="286"/>
      <c r="H173" s="286"/>
      <c r="I173" s="286"/>
    </row>
    <row r="174" spans="2:14" ht="15.75" thickBot="1" x14ac:dyDescent="0.3">
      <c r="B174" s="280" t="str">
        <f>+B161</f>
        <v>DILUYENTE ESTÁNDAR (THINNER)</v>
      </c>
      <c r="C174" s="251" t="str">
        <f>+C173</f>
        <v>gln</v>
      </c>
      <c r="D174" s="307">
        <f>+H161</f>
        <v>1.5637144380952384</v>
      </c>
      <c r="E174" s="308"/>
    </row>
    <row r="175" spans="2:14" ht="15.75" thickBot="1" x14ac:dyDescent="0.3">
      <c r="B175" s="205"/>
      <c r="C175" s="368"/>
      <c r="D175" s="369"/>
      <c r="E175" s="308"/>
    </row>
    <row r="176" spans="2:14" x14ac:dyDescent="0.25">
      <c r="B176" s="586" t="s">
        <v>42</v>
      </c>
      <c r="C176" s="587"/>
      <c r="D176" s="587"/>
      <c r="E176" s="587"/>
      <c r="F176" s="587"/>
      <c r="G176" s="587"/>
      <c r="H176" s="587"/>
      <c r="I176" s="588"/>
    </row>
    <row r="177" spans="2:14" ht="15.75" thickBot="1" x14ac:dyDescent="0.3">
      <c r="B177" s="589" t="str">
        <f>Metrado!D77</f>
        <v>CERCHA LATERAL TIPO 1</v>
      </c>
      <c r="C177" s="590"/>
      <c r="D177" s="590"/>
      <c r="E177" s="590"/>
      <c r="F177" s="590"/>
      <c r="G177" s="590"/>
      <c r="H177" s="590"/>
      <c r="I177" s="591"/>
    </row>
    <row r="178" spans="2:14" ht="15.75" thickBot="1" x14ac:dyDescent="0.3">
      <c r="B178" s="165"/>
      <c r="C178" s="166"/>
      <c r="D178" s="166"/>
      <c r="E178" s="167"/>
      <c r="F178" s="166"/>
      <c r="G178" s="166"/>
      <c r="H178" s="166"/>
      <c r="I178" s="166"/>
    </row>
    <row r="179" spans="2:14" ht="15.75" thickBot="1" x14ac:dyDescent="0.3">
      <c r="B179" s="168" t="s">
        <v>59</v>
      </c>
      <c r="C179" s="169"/>
      <c r="D179" s="592" t="s">
        <v>43</v>
      </c>
      <c r="E179" s="593"/>
      <c r="F179" s="594"/>
      <c r="G179" s="166"/>
      <c r="H179" s="170" t="s">
        <v>44</v>
      </c>
      <c r="I179" s="171">
        <v>1.1000000000000001</v>
      </c>
    </row>
    <row r="180" spans="2:14" ht="15.75" thickBot="1" x14ac:dyDescent="0.3">
      <c r="B180" s="175" t="s">
        <v>91</v>
      </c>
      <c r="C180" s="176"/>
      <c r="D180" s="177" t="s">
        <v>45</v>
      </c>
      <c r="E180" s="178">
        <f>IF(D$7=K$3,L$3,(IF(D$7=K$4,L$4,(IF(D$7=K$5,L$5,(IF(D$7=K$6,L$6,"")))))))</f>
        <v>0.22321428571428573</v>
      </c>
      <c r="F180" s="179" t="s">
        <v>20</v>
      </c>
      <c r="G180" s="166"/>
      <c r="H180" s="180"/>
      <c r="I180" s="181"/>
    </row>
    <row r="181" spans="2:14" x14ac:dyDescent="0.25">
      <c r="B181" s="182"/>
      <c r="C181" s="176"/>
      <c r="D181" s="176"/>
      <c r="E181" s="183"/>
      <c r="F181" s="166"/>
      <c r="G181" s="184"/>
      <c r="H181" s="184"/>
      <c r="I181" s="185"/>
    </row>
    <row r="182" spans="2:14" ht="15.75" thickBot="1" x14ac:dyDescent="0.3">
      <c r="B182" s="182"/>
      <c r="C182" s="176"/>
      <c r="D182" s="176"/>
      <c r="E182" s="183"/>
      <c r="F182" s="166"/>
      <c r="G182" s="186"/>
      <c r="H182" s="186"/>
      <c r="I182" s="185"/>
    </row>
    <row r="183" spans="2:14" ht="15.75" thickBot="1" x14ac:dyDescent="0.3">
      <c r="B183" s="579" t="s">
        <v>90</v>
      </c>
      <c r="C183" s="580"/>
      <c r="D183" s="580"/>
      <c r="E183" s="580"/>
      <c r="F183" s="580"/>
      <c r="G183" s="580"/>
      <c r="H183" s="580"/>
      <c r="I183" s="581"/>
    </row>
    <row r="184" spans="2:14" ht="15.75" thickBot="1" x14ac:dyDescent="0.3">
      <c r="B184" s="188"/>
      <c r="H184" s="595"/>
      <c r="I184" s="595"/>
    </row>
    <row r="185" spans="2:14" ht="15.75" thickBot="1" x14ac:dyDescent="0.3">
      <c r="B185" s="190" t="s">
        <v>49</v>
      </c>
      <c r="C185" s="191" t="s">
        <v>50</v>
      </c>
      <c r="D185" s="191" t="s">
        <v>51</v>
      </c>
      <c r="E185" s="192" t="s">
        <v>52</v>
      </c>
      <c r="F185" s="192" t="s">
        <v>53</v>
      </c>
      <c r="G185" s="191" t="s">
        <v>54</v>
      </c>
      <c r="H185" s="191" t="s">
        <v>21</v>
      </c>
      <c r="I185" s="193" t="s">
        <v>22</v>
      </c>
    </row>
    <row r="186" spans="2:14" x14ac:dyDescent="0.25">
      <c r="B186" s="194" t="s">
        <v>75</v>
      </c>
      <c r="C186" s="195"/>
      <c r="D186" s="195"/>
      <c r="E186" s="196"/>
      <c r="F186" s="196"/>
      <c r="G186" s="195"/>
      <c r="H186" s="195"/>
      <c r="I186" s="197"/>
    </row>
    <row r="187" spans="2:14" x14ac:dyDescent="0.25">
      <c r="B187" s="198" t="str">
        <f>Metrado!D78</f>
        <v>Tubo LAC 50x50x2.5 mm</v>
      </c>
      <c r="C187" s="199">
        <v>6</v>
      </c>
      <c r="D187" s="200"/>
      <c r="E187" s="201"/>
      <c r="F187" s="200">
        <f>Metrado!P78</f>
        <v>37.527000000000001</v>
      </c>
      <c r="G187" s="202"/>
      <c r="H187" s="203">
        <f>SUM(F187)*I179</f>
        <v>41.279700000000005</v>
      </c>
      <c r="I187" s="204">
        <f>H187/C187</f>
        <v>6.8799500000000009</v>
      </c>
      <c r="K187" s="327"/>
      <c r="L187" s="327"/>
      <c r="M187" s="327"/>
      <c r="N187" s="327"/>
    </row>
    <row r="188" spans="2:14" ht="15.75" thickBot="1" x14ac:dyDescent="0.3">
      <c r="B188" s="198"/>
      <c r="C188" s="199"/>
      <c r="D188" s="200"/>
      <c r="E188" s="206"/>
      <c r="F188" s="200"/>
      <c r="G188" s="202"/>
      <c r="H188" s="203"/>
      <c r="I188" s="204"/>
    </row>
    <row r="189" spans="2:14" ht="15.75" thickBot="1" x14ac:dyDescent="0.3">
      <c r="B189" s="190" t="s">
        <v>49</v>
      </c>
      <c r="C189" s="191" t="s">
        <v>55</v>
      </c>
      <c r="D189" s="191" t="s">
        <v>50</v>
      </c>
      <c r="E189" s="191" t="s">
        <v>56</v>
      </c>
      <c r="F189" s="191" t="s">
        <v>57</v>
      </c>
      <c r="G189" s="191" t="s">
        <v>54</v>
      </c>
      <c r="H189" s="191" t="s">
        <v>19</v>
      </c>
      <c r="I189" s="193"/>
    </row>
    <row r="190" spans="2:14" x14ac:dyDescent="0.25">
      <c r="B190" s="210" t="s">
        <v>123</v>
      </c>
      <c r="C190" s="215"/>
      <c r="D190" s="216"/>
      <c r="E190" s="216"/>
      <c r="F190" s="216"/>
      <c r="G190" s="312"/>
      <c r="H190" s="218">
        <f>+SUM(G191:G191)*E180*I179</f>
        <v>1.473214285714286</v>
      </c>
      <c r="I190" s="219"/>
    </row>
    <row r="191" spans="2:14" ht="15.75" thickBot="1" x14ac:dyDescent="0.3">
      <c r="B191" s="328" t="str">
        <f>+B187</f>
        <v>Tubo LAC 50x50x2.5 mm</v>
      </c>
      <c r="C191" s="215">
        <v>30</v>
      </c>
      <c r="D191" s="216">
        <v>0.05</v>
      </c>
      <c r="E191" s="216">
        <v>0.05</v>
      </c>
      <c r="F191" s="213">
        <f>(D191+E191)*2</f>
        <v>0.2</v>
      </c>
      <c r="G191" s="214">
        <f>C191*F191</f>
        <v>6</v>
      </c>
      <c r="H191" s="218"/>
      <c r="I191" s="219"/>
    </row>
    <row r="192" spans="2:14" ht="15.75" thickBot="1" x14ac:dyDescent="0.3">
      <c r="B192" s="579" t="s">
        <v>58</v>
      </c>
      <c r="C192" s="580"/>
      <c r="D192" s="580"/>
      <c r="E192" s="580"/>
      <c r="F192" s="580"/>
      <c r="G192" s="580"/>
      <c r="H192" s="580"/>
      <c r="I192" s="581"/>
    </row>
    <row r="193" spans="2:9" ht="15.75" thickBot="1" x14ac:dyDescent="0.3">
      <c r="B193" s="165"/>
      <c r="C193" s="166"/>
      <c r="D193" s="166"/>
      <c r="E193" s="167"/>
      <c r="F193" s="166"/>
      <c r="G193" s="166"/>
      <c r="H193" s="166"/>
      <c r="I193" s="166"/>
    </row>
    <row r="194" spans="2:9" ht="15.75" thickBot="1" x14ac:dyDescent="0.3">
      <c r="B194" s="220" t="s">
        <v>59</v>
      </c>
      <c r="C194" s="221" t="s">
        <v>60</v>
      </c>
      <c r="D194" s="222" t="s">
        <v>61</v>
      </c>
      <c r="E194" s="171" t="s">
        <v>62</v>
      </c>
      <c r="F194" s="169"/>
      <c r="G194" s="166"/>
      <c r="H194" s="170" t="s">
        <v>44</v>
      </c>
      <c r="I194" s="171">
        <v>1.2</v>
      </c>
    </row>
    <row r="195" spans="2:9" ht="15.75" thickBot="1" x14ac:dyDescent="0.3">
      <c r="B195" s="226" t="s">
        <v>64</v>
      </c>
      <c r="C195" s="227">
        <v>2</v>
      </c>
      <c r="D195" s="228">
        <v>22.5</v>
      </c>
      <c r="E195" s="229">
        <v>4.4444444444444446E-2</v>
      </c>
      <c r="F195" s="230"/>
      <c r="G195" s="166"/>
      <c r="H195" s="166"/>
      <c r="I195" s="166"/>
    </row>
    <row r="196" spans="2:9" ht="15.75" thickBot="1" x14ac:dyDescent="0.3">
      <c r="B196" s="235" t="s">
        <v>65</v>
      </c>
      <c r="C196" s="236">
        <v>2</v>
      </c>
      <c r="D196" s="237">
        <v>17.5</v>
      </c>
      <c r="E196" s="238">
        <v>5.7142857142857141E-2</v>
      </c>
      <c r="F196" s="230"/>
      <c r="G196" s="239"/>
      <c r="H196" s="596" t="s">
        <v>63</v>
      </c>
      <c r="I196" s="597"/>
    </row>
    <row r="197" spans="2:9" ht="15.75" thickBot="1" x14ac:dyDescent="0.3">
      <c r="B197" s="244"/>
      <c r="C197" s="245"/>
      <c r="D197" s="246"/>
      <c r="E197" s="247"/>
      <c r="F197" s="230"/>
      <c r="G197" s="166"/>
      <c r="H197" s="248" t="s">
        <v>66</v>
      </c>
      <c r="I197" s="249">
        <f>25%</f>
        <v>0.25</v>
      </c>
    </row>
    <row r="198" spans="2:9" ht="15.75" thickBot="1" x14ac:dyDescent="0.3">
      <c r="B198" s="188"/>
    </row>
    <row r="199" spans="2:9" ht="39" thickBot="1" x14ac:dyDescent="0.3">
      <c r="B199" s="255" t="s">
        <v>49</v>
      </c>
      <c r="C199" s="256" t="s">
        <v>51</v>
      </c>
      <c r="D199" s="256" t="s">
        <v>67</v>
      </c>
      <c r="E199" s="257" t="s">
        <v>53</v>
      </c>
      <c r="F199" s="256" t="s">
        <v>95</v>
      </c>
      <c r="G199" s="256" t="s">
        <v>68</v>
      </c>
      <c r="H199" s="258" t="s">
        <v>37</v>
      </c>
      <c r="I199" s="259"/>
    </row>
    <row r="200" spans="2:9" x14ac:dyDescent="0.25">
      <c r="B200" s="260" t="s">
        <v>69</v>
      </c>
      <c r="C200" s="261"/>
      <c r="D200" s="261"/>
      <c r="E200" s="261"/>
      <c r="F200" s="261"/>
      <c r="G200" s="261"/>
      <c r="H200" s="262">
        <f>SUM(G201:G201)*E195*I194</f>
        <v>0.44031680000000006</v>
      </c>
      <c r="I200" s="263"/>
    </row>
    <row r="201" spans="2:9" x14ac:dyDescent="0.25">
      <c r="B201" s="211" t="str">
        <f>+B191</f>
        <v>Tubo LAC 50x50x2.5 mm</v>
      </c>
      <c r="C201" s="265">
        <v>1</v>
      </c>
      <c r="D201" s="265">
        <v>1</v>
      </c>
      <c r="E201" s="266">
        <f>+H187</f>
        <v>41.279700000000005</v>
      </c>
      <c r="F201" s="267">
        <f>F191</f>
        <v>0.2</v>
      </c>
      <c r="G201" s="268">
        <f>PRODUCT(C201:F201)</f>
        <v>8.2559400000000007</v>
      </c>
      <c r="H201" s="269"/>
      <c r="I201" s="270"/>
    </row>
    <row r="202" spans="2:9" x14ac:dyDescent="0.25">
      <c r="B202" s="313" t="s">
        <v>70</v>
      </c>
      <c r="C202" s="233"/>
      <c r="D202" s="233"/>
      <c r="E202" s="233"/>
      <c r="F202" s="233"/>
      <c r="G202" s="233"/>
      <c r="H202" s="309">
        <f>SUM(G203:G203)*E196*I194</f>
        <v>0.5661216</v>
      </c>
      <c r="I202" s="310"/>
    </row>
    <row r="203" spans="2:9" x14ac:dyDescent="0.25">
      <c r="B203" s="211" t="str">
        <f>+B201</f>
        <v>Tubo LAC 50x50x2.5 mm</v>
      </c>
      <c r="C203" s="243">
        <v>1</v>
      </c>
      <c r="D203" s="243">
        <v>1</v>
      </c>
      <c r="E203" s="277">
        <f>+H187</f>
        <v>41.279700000000005</v>
      </c>
      <c r="F203" s="278">
        <f>F201</f>
        <v>0.2</v>
      </c>
      <c r="G203" s="268">
        <f>PRODUCT(C203:F203)</f>
        <v>8.2559400000000007</v>
      </c>
      <c r="H203" s="276"/>
      <c r="I203" s="270"/>
    </row>
    <row r="204" spans="2:9" x14ac:dyDescent="0.25">
      <c r="B204" s="313" t="s">
        <v>71</v>
      </c>
      <c r="C204" s="576" t="s">
        <v>72</v>
      </c>
      <c r="D204" s="577"/>
      <c r="E204" s="577"/>
      <c r="F204" s="578"/>
      <c r="G204" s="314" t="str">
        <f>+H197</f>
        <v>Pistola</v>
      </c>
      <c r="H204" s="309">
        <f>SUM(H200:H203)*I197</f>
        <v>0.25160959999999999</v>
      </c>
      <c r="I204" s="310"/>
    </row>
    <row r="205" spans="2:9" ht="15.75" thickBot="1" x14ac:dyDescent="0.3">
      <c r="B205" s="280"/>
      <c r="C205" s="281"/>
      <c r="D205" s="281"/>
      <c r="E205" s="282"/>
      <c r="F205" s="281"/>
      <c r="G205" s="281"/>
      <c r="H205" s="281"/>
      <c r="I205" s="283"/>
    </row>
    <row r="206" spans="2:9" ht="15.75" thickBot="1" x14ac:dyDescent="0.3">
      <c r="B206" s="579" t="s">
        <v>73</v>
      </c>
      <c r="C206" s="580"/>
      <c r="D206" s="580"/>
      <c r="E206" s="580"/>
      <c r="F206" s="580"/>
      <c r="G206" s="580"/>
      <c r="H206" s="580"/>
      <c r="I206" s="581"/>
    </row>
    <row r="207" spans="2:9" ht="15.75" thickBot="1" x14ac:dyDescent="0.3"/>
    <row r="208" spans="2:9" x14ac:dyDescent="0.25">
      <c r="B208" s="582" t="s">
        <v>49</v>
      </c>
      <c r="C208" s="584" t="s">
        <v>7</v>
      </c>
      <c r="D208" s="284" t="s">
        <v>74</v>
      </c>
      <c r="E208" s="285"/>
      <c r="F208" s="286"/>
      <c r="G208" s="286"/>
      <c r="H208" s="286"/>
      <c r="I208" s="286"/>
    </row>
    <row r="209" spans="2:14" ht="15.75" thickBot="1" x14ac:dyDescent="0.3">
      <c r="B209" s="583"/>
      <c r="C209" s="585"/>
      <c r="D209" s="290" t="s">
        <v>7</v>
      </c>
      <c r="E209" s="291"/>
      <c r="F209" s="286"/>
      <c r="G209" s="286"/>
      <c r="H209" s="286"/>
      <c r="I209" s="286"/>
    </row>
    <row r="210" spans="2:14" x14ac:dyDescent="0.25">
      <c r="B210" s="292" t="str">
        <f>+B177</f>
        <v>CERCHA LATERAL TIPO 1</v>
      </c>
      <c r="C210" s="293"/>
      <c r="D210" s="294"/>
      <c r="E210" s="295"/>
      <c r="F210" s="296"/>
      <c r="G210" s="296"/>
      <c r="H210" s="296"/>
      <c r="I210" s="296"/>
    </row>
    <row r="211" spans="2:14" x14ac:dyDescent="0.25">
      <c r="B211" s="300" t="str">
        <f>+B187</f>
        <v>Tubo LAC 50x50x2.5 mm</v>
      </c>
      <c r="C211" s="301" t="s">
        <v>21</v>
      </c>
      <c r="D211" s="302">
        <f>+H187</f>
        <v>41.279700000000005</v>
      </c>
      <c r="E211" s="303"/>
      <c r="F211" s="286"/>
      <c r="G211" s="286"/>
      <c r="H211" s="286"/>
      <c r="I211" s="286"/>
    </row>
    <row r="212" spans="2:14" x14ac:dyDescent="0.25">
      <c r="B212" s="304" t="str">
        <f>+B190</f>
        <v>ELECTRODOS E6011</v>
      </c>
      <c r="C212" s="305" t="str">
        <f>+H189</f>
        <v>kg</v>
      </c>
      <c r="D212" s="306">
        <f>+H190</f>
        <v>1.473214285714286</v>
      </c>
      <c r="E212" s="303"/>
      <c r="F212" s="286"/>
      <c r="G212" s="286"/>
      <c r="H212" s="286"/>
      <c r="I212" s="286"/>
      <c r="K212" s="327"/>
      <c r="L212" s="327"/>
      <c r="M212" s="327"/>
      <c r="N212" s="327"/>
    </row>
    <row r="213" spans="2:14" x14ac:dyDescent="0.25">
      <c r="B213" s="304" t="str">
        <f>+B200</f>
        <v>ESMALTE SINTÉTICO</v>
      </c>
      <c r="C213" s="305" t="str">
        <f>+H199</f>
        <v>gln</v>
      </c>
      <c r="D213" s="306">
        <f>+H200</f>
        <v>0.44031680000000006</v>
      </c>
      <c r="E213" s="303"/>
      <c r="F213" s="286"/>
      <c r="G213" s="286"/>
      <c r="H213" s="286"/>
      <c r="I213" s="286"/>
    </row>
    <row r="214" spans="2:14" x14ac:dyDescent="0.25">
      <c r="B214" s="304" t="str">
        <f>+B202</f>
        <v>BASE ANTICORROSIVA</v>
      </c>
      <c r="C214" s="305" t="str">
        <f>+C213</f>
        <v>gln</v>
      </c>
      <c r="D214" s="306">
        <f>+H202</f>
        <v>0.5661216</v>
      </c>
      <c r="E214" s="303"/>
      <c r="F214" s="286"/>
      <c r="G214" s="286"/>
      <c r="H214" s="286"/>
      <c r="I214" s="286"/>
    </row>
    <row r="215" spans="2:14" ht="15.75" thickBot="1" x14ac:dyDescent="0.3">
      <c r="B215" s="280" t="str">
        <f>+B204</f>
        <v>DILUYENTE ESTÁNDAR (THINNER)</v>
      </c>
      <c r="C215" s="251" t="str">
        <f>+C214</f>
        <v>gln</v>
      </c>
      <c r="D215" s="307">
        <f>+H204</f>
        <v>0.25160959999999999</v>
      </c>
      <c r="E215" s="308"/>
    </row>
    <row r="216" spans="2:14" ht="15.75" thickBot="1" x14ac:dyDescent="0.3">
      <c r="B216" s="205"/>
      <c r="C216" s="368"/>
      <c r="D216" s="369"/>
      <c r="E216" s="308"/>
    </row>
    <row r="217" spans="2:14" x14ac:dyDescent="0.25">
      <c r="B217" s="586" t="s">
        <v>42</v>
      </c>
      <c r="C217" s="587"/>
      <c r="D217" s="587"/>
      <c r="E217" s="587"/>
      <c r="F217" s="587"/>
      <c r="G217" s="587"/>
      <c r="H217" s="587"/>
      <c r="I217" s="588"/>
      <c r="K217" s="327"/>
      <c r="L217" s="327"/>
      <c r="M217" s="327"/>
      <c r="N217" s="327"/>
    </row>
    <row r="218" spans="2:14" ht="15.75" thickBot="1" x14ac:dyDescent="0.3">
      <c r="B218" s="589" t="str">
        <f>Metrado!D80</f>
        <v>CERCHA LATERAL TIPO 2</v>
      </c>
      <c r="C218" s="590"/>
      <c r="D218" s="590"/>
      <c r="E218" s="590"/>
      <c r="F218" s="590"/>
      <c r="G218" s="590"/>
      <c r="H218" s="590"/>
      <c r="I218" s="591"/>
      <c r="K218" s="327"/>
      <c r="L218" s="327"/>
      <c r="M218" s="327"/>
      <c r="N218" s="327"/>
    </row>
    <row r="219" spans="2:14" ht="15.75" thickBot="1" x14ac:dyDescent="0.3">
      <c r="B219" s="165"/>
      <c r="C219" s="166"/>
      <c r="D219" s="166"/>
      <c r="E219" s="167"/>
      <c r="F219" s="166"/>
      <c r="G219" s="166"/>
      <c r="H219" s="166"/>
      <c r="I219" s="166"/>
      <c r="K219" s="327"/>
      <c r="L219" s="327"/>
      <c r="M219" s="327"/>
      <c r="N219" s="327"/>
    </row>
    <row r="220" spans="2:14" ht="15.75" thickBot="1" x14ac:dyDescent="0.3">
      <c r="B220" s="168" t="s">
        <v>59</v>
      </c>
      <c r="C220" s="169"/>
      <c r="D220" s="592" t="s">
        <v>43</v>
      </c>
      <c r="E220" s="593"/>
      <c r="F220" s="594"/>
      <c r="G220" s="166"/>
      <c r="H220" s="170" t="s">
        <v>44</v>
      </c>
      <c r="I220" s="171">
        <v>1.1000000000000001</v>
      </c>
      <c r="K220" s="327"/>
      <c r="L220" s="327"/>
      <c r="M220" s="327"/>
      <c r="N220" s="327"/>
    </row>
    <row r="221" spans="2:14" ht="15.75" thickBot="1" x14ac:dyDescent="0.3">
      <c r="B221" s="175" t="s">
        <v>91</v>
      </c>
      <c r="C221" s="176"/>
      <c r="D221" s="177" t="s">
        <v>45</v>
      </c>
      <c r="E221" s="178">
        <f>IF(D$7=K$3,L$3,(IF(D$7=K$4,L$4,(IF(D$7=K$5,L$5,(IF(D$7=K$6,L$6,"")))))))</f>
        <v>0.22321428571428573</v>
      </c>
      <c r="F221" s="179" t="s">
        <v>20</v>
      </c>
      <c r="G221" s="166"/>
      <c r="H221" s="180"/>
      <c r="I221" s="181"/>
      <c r="K221" s="327"/>
      <c r="L221" s="327"/>
      <c r="M221" s="327"/>
      <c r="N221" s="327"/>
    </row>
    <row r="222" spans="2:14" x14ac:dyDescent="0.25">
      <c r="B222" s="182"/>
      <c r="C222" s="176"/>
      <c r="D222" s="176"/>
      <c r="E222" s="183"/>
      <c r="F222" s="166"/>
      <c r="G222" s="184"/>
      <c r="H222" s="184"/>
      <c r="I222" s="185"/>
      <c r="K222" s="327"/>
      <c r="L222" s="327"/>
      <c r="M222" s="327"/>
      <c r="N222" s="327"/>
    </row>
    <row r="223" spans="2:14" ht="15.75" thickBot="1" x14ac:dyDescent="0.3">
      <c r="B223" s="182"/>
      <c r="C223" s="176"/>
      <c r="D223" s="176"/>
      <c r="E223" s="183"/>
      <c r="F223" s="166"/>
      <c r="G223" s="186"/>
      <c r="H223" s="186"/>
      <c r="I223" s="185"/>
      <c r="K223" s="327"/>
      <c r="L223" s="327"/>
      <c r="M223" s="327"/>
      <c r="N223" s="327"/>
    </row>
    <row r="224" spans="2:14" ht="15.75" thickBot="1" x14ac:dyDescent="0.3">
      <c r="B224" s="579" t="s">
        <v>90</v>
      </c>
      <c r="C224" s="580"/>
      <c r="D224" s="580"/>
      <c r="E224" s="580"/>
      <c r="F224" s="580"/>
      <c r="G224" s="580"/>
      <c r="H224" s="580"/>
      <c r="I224" s="581"/>
      <c r="K224" s="327"/>
      <c r="L224" s="327"/>
      <c r="M224" s="327"/>
      <c r="N224" s="327"/>
    </row>
    <row r="225" spans="2:14" ht="15.75" thickBot="1" x14ac:dyDescent="0.3">
      <c r="B225" s="188"/>
      <c r="H225" s="595"/>
      <c r="I225" s="595"/>
      <c r="K225" s="327"/>
      <c r="L225" s="327"/>
      <c r="M225" s="327"/>
      <c r="N225" s="327"/>
    </row>
    <row r="226" spans="2:14" ht="15.75" thickBot="1" x14ac:dyDescent="0.3">
      <c r="B226" s="190" t="s">
        <v>49</v>
      </c>
      <c r="C226" s="191" t="s">
        <v>50</v>
      </c>
      <c r="D226" s="191" t="s">
        <v>51</v>
      </c>
      <c r="E226" s="192" t="s">
        <v>52</v>
      </c>
      <c r="F226" s="192" t="s">
        <v>53</v>
      </c>
      <c r="G226" s="191" t="s">
        <v>54</v>
      </c>
      <c r="H226" s="191" t="s">
        <v>21</v>
      </c>
      <c r="I226" s="193" t="s">
        <v>22</v>
      </c>
      <c r="K226" s="327"/>
      <c r="L226" s="327"/>
      <c r="M226" s="327"/>
      <c r="N226" s="327"/>
    </row>
    <row r="227" spans="2:14" x14ac:dyDescent="0.25">
      <c r="B227" s="194" t="s">
        <v>75</v>
      </c>
      <c r="C227" s="195"/>
      <c r="D227" s="195"/>
      <c r="E227" s="196"/>
      <c r="F227" s="196"/>
      <c r="G227" s="195"/>
      <c r="H227" s="195"/>
      <c r="I227" s="197"/>
      <c r="K227" s="327"/>
      <c r="L227" s="327"/>
      <c r="M227" s="327"/>
      <c r="N227" s="327"/>
    </row>
    <row r="228" spans="2:14" x14ac:dyDescent="0.25">
      <c r="B228" s="198" t="str">
        <f>Metrado!D81</f>
        <v>Tubo LAC 50x50x2.5 mm</v>
      </c>
      <c r="C228" s="199">
        <v>6</v>
      </c>
      <c r="D228" s="200"/>
      <c r="E228" s="201"/>
      <c r="F228" s="200">
        <f>Metrado!P81</f>
        <v>35.647500000000008</v>
      </c>
      <c r="G228" s="202"/>
      <c r="H228" s="203">
        <f>SUM(F228)*I220</f>
        <v>39.212250000000012</v>
      </c>
      <c r="I228" s="204">
        <f>H228/C228</f>
        <v>6.5353750000000019</v>
      </c>
      <c r="K228" s="327"/>
      <c r="L228" s="327"/>
      <c r="M228" s="327"/>
      <c r="N228" s="327"/>
    </row>
    <row r="229" spans="2:14" ht="15.75" thickBot="1" x14ac:dyDescent="0.3">
      <c r="B229" s="198"/>
      <c r="C229" s="199"/>
      <c r="D229" s="200"/>
      <c r="E229" s="206"/>
      <c r="F229" s="200"/>
      <c r="G229" s="202"/>
      <c r="H229" s="203"/>
      <c r="I229" s="204"/>
      <c r="K229" s="327"/>
      <c r="L229" s="327"/>
      <c r="M229" s="327"/>
      <c r="N229" s="327"/>
    </row>
    <row r="230" spans="2:14" ht="15.75" thickBot="1" x14ac:dyDescent="0.3">
      <c r="B230" s="190" t="s">
        <v>49</v>
      </c>
      <c r="C230" s="191" t="s">
        <v>55</v>
      </c>
      <c r="D230" s="191" t="s">
        <v>50</v>
      </c>
      <c r="E230" s="191" t="s">
        <v>56</v>
      </c>
      <c r="F230" s="191" t="s">
        <v>57</v>
      </c>
      <c r="G230" s="191" t="s">
        <v>54</v>
      </c>
      <c r="H230" s="191" t="s">
        <v>19</v>
      </c>
      <c r="I230" s="193"/>
      <c r="K230" s="327"/>
      <c r="L230" s="327"/>
      <c r="M230" s="327"/>
      <c r="N230" s="327"/>
    </row>
    <row r="231" spans="2:14" x14ac:dyDescent="0.25">
      <c r="B231" s="210" t="s">
        <v>123</v>
      </c>
      <c r="C231" s="215"/>
      <c r="D231" s="216"/>
      <c r="E231" s="216"/>
      <c r="F231" s="216"/>
      <c r="G231" s="312"/>
      <c r="H231" s="218">
        <f>+SUM(G232:G232)*E221*I220</f>
        <v>1.473214285714286</v>
      </c>
      <c r="I231" s="219"/>
      <c r="K231" s="327"/>
      <c r="L231" s="327"/>
      <c r="M231" s="327"/>
      <c r="N231" s="327"/>
    </row>
    <row r="232" spans="2:14" ht="15.75" thickBot="1" x14ac:dyDescent="0.3">
      <c r="B232" s="328" t="str">
        <f>+B228</f>
        <v>Tubo LAC 50x50x2.5 mm</v>
      </c>
      <c r="C232" s="215">
        <v>30</v>
      </c>
      <c r="D232" s="216">
        <v>0.05</v>
      </c>
      <c r="E232" s="216">
        <v>0.05</v>
      </c>
      <c r="F232" s="213">
        <f>(D232+E232)*2</f>
        <v>0.2</v>
      </c>
      <c r="G232" s="214">
        <f>C232*F232</f>
        <v>6</v>
      </c>
      <c r="H232" s="218"/>
      <c r="I232" s="219"/>
      <c r="K232" s="327"/>
      <c r="L232" s="327"/>
      <c r="M232" s="327"/>
      <c r="N232" s="327"/>
    </row>
    <row r="233" spans="2:14" ht="15.75" thickBot="1" x14ac:dyDescent="0.3">
      <c r="B233" s="579" t="s">
        <v>58</v>
      </c>
      <c r="C233" s="580"/>
      <c r="D233" s="580"/>
      <c r="E233" s="580"/>
      <c r="F233" s="580"/>
      <c r="G233" s="580"/>
      <c r="H233" s="580"/>
      <c r="I233" s="581"/>
      <c r="K233" s="327"/>
      <c r="L233" s="327"/>
      <c r="M233" s="327"/>
      <c r="N233" s="327"/>
    </row>
    <row r="234" spans="2:14" ht="15.75" thickBot="1" x14ac:dyDescent="0.3">
      <c r="B234" s="165"/>
      <c r="C234" s="166"/>
      <c r="D234" s="166"/>
      <c r="E234" s="167"/>
      <c r="F234" s="166"/>
      <c r="G234" s="166"/>
      <c r="H234" s="166"/>
      <c r="I234" s="166"/>
      <c r="K234" s="327"/>
      <c r="L234" s="327"/>
      <c r="M234" s="327"/>
      <c r="N234" s="327"/>
    </row>
    <row r="235" spans="2:14" ht="15.75" thickBot="1" x14ac:dyDescent="0.3">
      <c r="B235" s="220" t="s">
        <v>59</v>
      </c>
      <c r="C235" s="221" t="s">
        <v>60</v>
      </c>
      <c r="D235" s="222" t="s">
        <v>61</v>
      </c>
      <c r="E235" s="171" t="s">
        <v>62</v>
      </c>
      <c r="F235" s="169"/>
      <c r="G235" s="166"/>
      <c r="H235" s="170" t="s">
        <v>44</v>
      </c>
      <c r="I235" s="171">
        <v>1.2</v>
      </c>
      <c r="K235" s="327"/>
      <c r="L235" s="327"/>
      <c r="M235" s="327"/>
      <c r="N235" s="327"/>
    </row>
    <row r="236" spans="2:14" ht="15.75" thickBot="1" x14ac:dyDescent="0.3">
      <c r="B236" s="226" t="s">
        <v>64</v>
      </c>
      <c r="C236" s="227">
        <v>2</v>
      </c>
      <c r="D236" s="228">
        <v>22.5</v>
      </c>
      <c r="E236" s="229">
        <v>4.4444444444444446E-2</v>
      </c>
      <c r="F236" s="230"/>
      <c r="G236" s="166"/>
      <c r="H236" s="166"/>
      <c r="I236" s="166"/>
      <c r="K236" s="327"/>
      <c r="L236" s="327"/>
      <c r="M236" s="327"/>
      <c r="N236" s="327"/>
    </row>
    <row r="237" spans="2:14" ht="15.75" thickBot="1" x14ac:dyDescent="0.3">
      <c r="B237" s="235" t="s">
        <v>65</v>
      </c>
      <c r="C237" s="236">
        <v>2</v>
      </c>
      <c r="D237" s="237">
        <v>17.5</v>
      </c>
      <c r="E237" s="238">
        <v>5.7142857142857141E-2</v>
      </c>
      <c r="F237" s="230"/>
      <c r="G237" s="239"/>
      <c r="H237" s="596" t="s">
        <v>63</v>
      </c>
      <c r="I237" s="597"/>
      <c r="K237" s="327"/>
      <c r="L237" s="327"/>
      <c r="M237" s="327"/>
      <c r="N237" s="327"/>
    </row>
    <row r="238" spans="2:14" ht="15.75" thickBot="1" x14ac:dyDescent="0.3">
      <c r="B238" s="244"/>
      <c r="C238" s="245"/>
      <c r="D238" s="246"/>
      <c r="E238" s="247"/>
      <c r="F238" s="230"/>
      <c r="G238" s="166"/>
      <c r="H238" s="248" t="s">
        <v>66</v>
      </c>
      <c r="I238" s="249">
        <f>25%</f>
        <v>0.25</v>
      </c>
      <c r="K238" s="327"/>
      <c r="L238" s="327"/>
      <c r="M238" s="327"/>
      <c r="N238" s="327"/>
    </row>
    <row r="239" spans="2:14" ht="15.75" thickBot="1" x14ac:dyDescent="0.3">
      <c r="B239" s="188"/>
      <c r="K239" s="327"/>
      <c r="L239" s="327"/>
      <c r="M239" s="327"/>
      <c r="N239" s="327"/>
    </row>
    <row r="240" spans="2:14" ht="39" thickBot="1" x14ac:dyDescent="0.3">
      <c r="B240" s="255" t="s">
        <v>49</v>
      </c>
      <c r="C240" s="256" t="s">
        <v>51</v>
      </c>
      <c r="D240" s="256" t="s">
        <v>67</v>
      </c>
      <c r="E240" s="257" t="s">
        <v>53</v>
      </c>
      <c r="F240" s="256" t="s">
        <v>95</v>
      </c>
      <c r="G240" s="256" t="s">
        <v>68</v>
      </c>
      <c r="H240" s="258" t="s">
        <v>37</v>
      </c>
      <c r="I240" s="259"/>
      <c r="K240" s="327"/>
      <c r="L240" s="327"/>
      <c r="M240" s="327"/>
      <c r="N240" s="327"/>
    </row>
    <row r="241" spans="2:14" x14ac:dyDescent="0.25">
      <c r="B241" s="260" t="s">
        <v>69</v>
      </c>
      <c r="C241" s="261"/>
      <c r="D241" s="261"/>
      <c r="E241" s="261"/>
      <c r="F241" s="261"/>
      <c r="G241" s="261"/>
      <c r="H241" s="262">
        <f>SUM(G242:G242)*E236*I235</f>
        <v>0.41826400000000019</v>
      </c>
      <c r="I241" s="263"/>
      <c r="K241" s="327"/>
      <c r="L241" s="327"/>
      <c r="M241" s="327"/>
      <c r="N241" s="327"/>
    </row>
    <row r="242" spans="2:14" x14ac:dyDescent="0.25">
      <c r="B242" s="211" t="str">
        <f>+B232</f>
        <v>Tubo LAC 50x50x2.5 mm</v>
      </c>
      <c r="C242" s="265">
        <v>1</v>
      </c>
      <c r="D242" s="265">
        <v>1</v>
      </c>
      <c r="E242" s="266">
        <f>+H228</f>
        <v>39.212250000000012</v>
      </c>
      <c r="F242" s="267">
        <f>F232</f>
        <v>0.2</v>
      </c>
      <c r="G242" s="268">
        <f>PRODUCT(C242:F242)</f>
        <v>7.842450000000003</v>
      </c>
      <c r="H242" s="269"/>
      <c r="I242" s="270"/>
      <c r="K242" s="327"/>
      <c r="L242" s="327"/>
      <c r="M242" s="327"/>
      <c r="N242" s="327"/>
    </row>
    <row r="243" spans="2:14" x14ac:dyDescent="0.25">
      <c r="B243" s="313" t="s">
        <v>70</v>
      </c>
      <c r="C243" s="233"/>
      <c r="D243" s="233"/>
      <c r="E243" s="233"/>
      <c r="F243" s="233"/>
      <c r="G243" s="233"/>
      <c r="H243" s="309">
        <f>SUM(G244:G244)*E237*I235</f>
        <v>0.53776800000000013</v>
      </c>
      <c r="I243" s="310"/>
      <c r="K243" s="327"/>
      <c r="L243" s="327"/>
      <c r="M243" s="327"/>
      <c r="N243" s="327"/>
    </row>
    <row r="244" spans="2:14" x14ac:dyDescent="0.25">
      <c r="B244" s="211" t="str">
        <f>+B242</f>
        <v>Tubo LAC 50x50x2.5 mm</v>
      </c>
      <c r="C244" s="243">
        <v>1</v>
      </c>
      <c r="D244" s="243">
        <v>1</v>
      </c>
      <c r="E244" s="277">
        <f>+H228</f>
        <v>39.212250000000012</v>
      </c>
      <c r="F244" s="278">
        <f>F242</f>
        <v>0.2</v>
      </c>
      <c r="G244" s="268">
        <f>PRODUCT(C244:F244)</f>
        <v>7.842450000000003</v>
      </c>
      <c r="H244" s="276"/>
      <c r="I244" s="270"/>
      <c r="K244" s="327"/>
      <c r="L244" s="327"/>
      <c r="M244" s="327"/>
      <c r="N244" s="327"/>
    </row>
    <row r="245" spans="2:14" x14ac:dyDescent="0.25">
      <c r="B245" s="313" t="s">
        <v>71</v>
      </c>
      <c r="C245" s="576" t="s">
        <v>72</v>
      </c>
      <c r="D245" s="577"/>
      <c r="E245" s="577"/>
      <c r="F245" s="578"/>
      <c r="G245" s="314" t="str">
        <f>+H238</f>
        <v>Pistola</v>
      </c>
      <c r="H245" s="309">
        <f>SUM(H241:H244)*I238</f>
        <v>0.23900800000000008</v>
      </c>
      <c r="I245" s="310"/>
      <c r="K245" s="327"/>
      <c r="L245" s="327"/>
      <c r="M245" s="327"/>
      <c r="N245" s="327"/>
    </row>
    <row r="246" spans="2:14" ht="15.75" thickBot="1" x14ac:dyDescent="0.3">
      <c r="B246" s="280"/>
      <c r="C246" s="281"/>
      <c r="D246" s="281"/>
      <c r="E246" s="282"/>
      <c r="F246" s="281"/>
      <c r="G246" s="281"/>
      <c r="H246" s="281"/>
      <c r="I246" s="283"/>
      <c r="K246" s="327"/>
      <c r="L246" s="327"/>
      <c r="M246" s="327"/>
      <c r="N246" s="327"/>
    </row>
    <row r="247" spans="2:14" ht="15.75" thickBot="1" x14ac:dyDescent="0.3">
      <c r="B247" s="579" t="s">
        <v>73</v>
      </c>
      <c r="C247" s="580"/>
      <c r="D247" s="580"/>
      <c r="E247" s="580"/>
      <c r="F247" s="580"/>
      <c r="G247" s="580"/>
      <c r="H247" s="580"/>
      <c r="I247" s="581"/>
      <c r="K247" s="327"/>
      <c r="L247" s="327"/>
      <c r="M247" s="327"/>
      <c r="N247" s="327"/>
    </row>
    <row r="248" spans="2:14" ht="15.75" thickBot="1" x14ac:dyDescent="0.3">
      <c r="K248" s="327"/>
      <c r="L248" s="327"/>
      <c r="M248" s="327"/>
      <c r="N248" s="327"/>
    </row>
    <row r="249" spans="2:14" x14ac:dyDescent="0.25">
      <c r="B249" s="582" t="s">
        <v>49</v>
      </c>
      <c r="C249" s="584" t="s">
        <v>7</v>
      </c>
      <c r="D249" s="284" t="s">
        <v>74</v>
      </c>
      <c r="E249" s="285"/>
      <c r="F249" s="286"/>
      <c r="G249" s="286"/>
      <c r="H249" s="286"/>
      <c r="I249" s="286"/>
      <c r="K249" s="327"/>
      <c r="L249" s="327"/>
      <c r="M249" s="327"/>
      <c r="N249" s="327"/>
    </row>
    <row r="250" spans="2:14" ht="15.75" thickBot="1" x14ac:dyDescent="0.3">
      <c r="B250" s="583"/>
      <c r="C250" s="585"/>
      <c r="D250" s="290" t="s">
        <v>7</v>
      </c>
      <c r="E250" s="291"/>
      <c r="F250" s="286"/>
      <c r="G250" s="286"/>
      <c r="H250" s="286"/>
      <c r="I250" s="286"/>
      <c r="K250" s="327"/>
      <c r="L250" s="327"/>
      <c r="M250" s="327"/>
      <c r="N250" s="327"/>
    </row>
    <row r="251" spans="2:14" x14ac:dyDescent="0.25">
      <c r="B251" s="292" t="str">
        <f>+B218</f>
        <v>CERCHA LATERAL TIPO 2</v>
      </c>
      <c r="C251" s="293"/>
      <c r="D251" s="294"/>
      <c r="E251" s="295"/>
      <c r="F251" s="296"/>
      <c r="G251" s="296"/>
      <c r="H251" s="296"/>
      <c r="I251" s="296"/>
      <c r="K251" s="327"/>
      <c r="L251" s="327"/>
      <c r="M251" s="327"/>
      <c r="N251" s="327"/>
    </row>
    <row r="252" spans="2:14" x14ac:dyDescent="0.25">
      <c r="B252" s="300" t="str">
        <f>+B228</f>
        <v>Tubo LAC 50x50x2.5 mm</v>
      </c>
      <c r="C252" s="301" t="s">
        <v>21</v>
      </c>
      <c r="D252" s="302">
        <f>+H228</f>
        <v>39.212250000000012</v>
      </c>
      <c r="E252" s="303"/>
      <c r="F252" s="286"/>
      <c r="G252" s="286"/>
      <c r="H252" s="286"/>
      <c r="I252" s="286"/>
      <c r="K252" s="327"/>
      <c r="L252" s="327"/>
      <c r="M252" s="327"/>
      <c r="N252" s="327"/>
    </row>
    <row r="253" spans="2:14" x14ac:dyDescent="0.25">
      <c r="B253" s="304" t="str">
        <f>+B231</f>
        <v>ELECTRODOS E6011</v>
      </c>
      <c r="C253" s="305" t="str">
        <f>+H230</f>
        <v>kg</v>
      </c>
      <c r="D253" s="306">
        <f>+H231</f>
        <v>1.473214285714286</v>
      </c>
      <c r="E253" s="303"/>
      <c r="F253" s="286"/>
      <c r="G253" s="286"/>
      <c r="H253" s="286"/>
      <c r="I253" s="286"/>
      <c r="K253" s="327"/>
      <c r="L253" s="327"/>
      <c r="M253" s="327"/>
      <c r="N253" s="327"/>
    </row>
    <row r="254" spans="2:14" x14ac:dyDescent="0.25">
      <c r="B254" s="304" t="str">
        <f>+B241</f>
        <v>ESMALTE SINTÉTICO</v>
      </c>
      <c r="C254" s="305" t="str">
        <f>+H240</f>
        <v>gln</v>
      </c>
      <c r="D254" s="306">
        <f>+H241</f>
        <v>0.41826400000000019</v>
      </c>
      <c r="E254" s="303"/>
      <c r="F254" s="286"/>
      <c r="G254" s="286"/>
      <c r="H254" s="286"/>
      <c r="I254" s="286"/>
      <c r="K254" s="327"/>
      <c r="L254" s="327"/>
      <c r="M254" s="327"/>
      <c r="N254" s="327"/>
    </row>
    <row r="255" spans="2:14" x14ac:dyDescent="0.25">
      <c r="B255" s="304" t="str">
        <f>+B243</f>
        <v>BASE ANTICORROSIVA</v>
      </c>
      <c r="C255" s="305" t="str">
        <f>+C254</f>
        <v>gln</v>
      </c>
      <c r="D255" s="306">
        <f>+H243</f>
        <v>0.53776800000000013</v>
      </c>
      <c r="E255" s="303"/>
      <c r="F255" s="286"/>
      <c r="G255" s="286"/>
      <c r="H255" s="286"/>
      <c r="I255" s="286"/>
      <c r="K255" s="327"/>
      <c r="L255" s="327"/>
      <c r="M255" s="327"/>
      <c r="N255" s="327"/>
    </row>
    <row r="256" spans="2:14" ht="15.75" thickBot="1" x14ac:dyDescent="0.3">
      <c r="B256" s="280" t="str">
        <f>+B245</f>
        <v>DILUYENTE ESTÁNDAR (THINNER)</v>
      </c>
      <c r="C256" s="251" t="str">
        <f>+C255</f>
        <v>gln</v>
      </c>
      <c r="D256" s="307">
        <f>+H245</f>
        <v>0.23900800000000008</v>
      </c>
      <c r="E256" s="308"/>
      <c r="K256" s="327"/>
      <c r="L256" s="327"/>
      <c r="M256" s="327"/>
      <c r="N256" s="327"/>
    </row>
    <row r="257" spans="2:14" ht="15.75" thickBot="1" x14ac:dyDescent="0.3">
      <c r="B257" s="205"/>
      <c r="C257" s="471"/>
      <c r="D257" s="369"/>
      <c r="E257" s="308"/>
      <c r="K257" s="327"/>
      <c r="L257" s="327"/>
      <c r="M257" s="327"/>
      <c r="N257" s="327"/>
    </row>
    <row r="258" spans="2:14" x14ac:dyDescent="0.25">
      <c r="B258" s="586" t="s">
        <v>42</v>
      </c>
      <c r="C258" s="587"/>
      <c r="D258" s="587"/>
      <c r="E258" s="587"/>
      <c r="F258" s="587"/>
      <c r="G258" s="587"/>
      <c r="H258" s="587"/>
      <c r="I258" s="588"/>
    </row>
    <row r="259" spans="2:14" ht="15.75" thickBot="1" x14ac:dyDescent="0.3">
      <c r="B259" s="589" t="str">
        <f>+Metrado!D83</f>
        <v xml:space="preserve">CORREAS METALICAS </v>
      </c>
      <c r="C259" s="590"/>
      <c r="D259" s="590"/>
      <c r="E259" s="590"/>
      <c r="F259" s="590"/>
      <c r="G259" s="590"/>
      <c r="H259" s="590"/>
      <c r="I259" s="591"/>
    </row>
    <row r="260" spans="2:14" ht="15.75" thickBot="1" x14ac:dyDescent="0.3">
      <c r="B260" s="165"/>
      <c r="C260" s="166"/>
      <c r="D260" s="166"/>
      <c r="E260" s="167"/>
      <c r="F260" s="166"/>
      <c r="G260" s="166"/>
      <c r="H260" s="166"/>
      <c r="I260" s="166"/>
    </row>
    <row r="261" spans="2:14" ht="15.75" thickBot="1" x14ac:dyDescent="0.3">
      <c r="B261" s="168" t="s">
        <v>59</v>
      </c>
      <c r="C261" s="169"/>
      <c r="D261" s="592" t="s">
        <v>43</v>
      </c>
      <c r="E261" s="593"/>
      <c r="F261" s="594"/>
      <c r="G261" s="166"/>
      <c r="H261" s="170" t="s">
        <v>44</v>
      </c>
      <c r="I261" s="171">
        <v>1.1000000000000001</v>
      </c>
    </row>
    <row r="262" spans="2:14" ht="15.75" thickBot="1" x14ac:dyDescent="0.3">
      <c r="B262" s="175" t="s">
        <v>91</v>
      </c>
      <c r="C262" s="176"/>
      <c r="D262" s="177" t="s">
        <v>45</v>
      </c>
      <c r="E262" s="178">
        <f>IF(D$7=K$3,L$3,(IF(D$7=K$4,L$4,(IF(D$7=K$5,L$5,(IF(D$7=K$6,L$6,"")))))))</f>
        <v>0.22321428571428573</v>
      </c>
      <c r="F262" s="179" t="s">
        <v>20</v>
      </c>
      <c r="G262" s="166"/>
      <c r="H262" s="180"/>
      <c r="I262" s="181"/>
    </row>
    <row r="263" spans="2:14" x14ac:dyDescent="0.25">
      <c r="B263" s="182"/>
      <c r="C263" s="176"/>
      <c r="D263" s="176"/>
      <c r="E263" s="183"/>
      <c r="F263" s="166"/>
      <c r="G263" s="184"/>
      <c r="H263" s="184"/>
      <c r="I263" s="185"/>
    </row>
    <row r="264" spans="2:14" ht="15.75" thickBot="1" x14ac:dyDescent="0.3">
      <c r="B264" s="182"/>
      <c r="C264" s="176"/>
      <c r="D264" s="176"/>
      <c r="E264" s="183"/>
      <c r="F264" s="166"/>
      <c r="G264" s="186"/>
      <c r="H264" s="186"/>
      <c r="I264" s="185"/>
    </row>
    <row r="265" spans="2:14" ht="15.75" thickBot="1" x14ac:dyDescent="0.3">
      <c r="B265" s="579" t="s">
        <v>90</v>
      </c>
      <c r="C265" s="580"/>
      <c r="D265" s="580"/>
      <c r="E265" s="580"/>
      <c r="F265" s="580"/>
      <c r="G265" s="580"/>
      <c r="H265" s="580"/>
      <c r="I265" s="581"/>
    </row>
    <row r="266" spans="2:14" ht="15.75" thickBot="1" x14ac:dyDescent="0.3">
      <c r="B266" s="188"/>
      <c r="H266" s="595"/>
      <c r="I266" s="595"/>
    </row>
    <row r="267" spans="2:14" ht="15.75" thickBot="1" x14ac:dyDescent="0.3">
      <c r="B267" s="190" t="s">
        <v>49</v>
      </c>
      <c r="C267" s="191" t="s">
        <v>50</v>
      </c>
      <c r="D267" s="191" t="s">
        <v>51</v>
      </c>
      <c r="E267" s="192" t="s">
        <v>52</v>
      </c>
      <c r="F267" s="192" t="s">
        <v>53</v>
      </c>
      <c r="G267" s="191" t="s">
        <v>54</v>
      </c>
      <c r="H267" s="191" t="s">
        <v>21</v>
      </c>
      <c r="I267" s="193" t="s">
        <v>22</v>
      </c>
    </row>
    <row r="268" spans="2:14" x14ac:dyDescent="0.25">
      <c r="B268" s="194" t="s">
        <v>75</v>
      </c>
      <c r="C268" s="195"/>
      <c r="D268" s="195"/>
      <c r="E268" s="196"/>
      <c r="F268" s="196"/>
      <c r="G268" s="195"/>
      <c r="H268" s="195"/>
      <c r="I268" s="197"/>
    </row>
    <row r="269" spans="2:14" x14ac:dyDescent="0.25">
      <c r="B269" s="198" t="str">
        <f>Metrado!D84</f>
        <v>Canal C de alas atiesadas 6"x2"x 3mm</v>
      </c>
      <c r="C269" s="199">
        <v>6</v>
      </c>
      <c r="D269" s="200"/>
      <c r="E269" s="201"/>
      <c r="F269" s="200">
        <f>Metrado!Q83</f>
        <v>625.24</v>
      </c>
      <c r="G269" s="202"/>
      <c r="H269" s="203">
        <f>SUM(F269)*I261</f>
        <v>687.76400000000001</v>
      </c>
      <c r="I269" s="204">
        <f>H269/C269</f>
        <v>114.62733333333334</v>
      </c>
    </row>
    <row r="270" spans="2:14" ht="15.75" thickBot="1" x14ac:dyDescent="0.3">
      <c r="B270" s="198" t="str">
        <f>Metrado!D85</f>
        <v>Amarre de correas: tubo 50x50x2.5mm</v>
      </c>
      <c r="C270" s="199">
        <v>6</v>
      </c>
      <c r="D270" s="200"/>
      <c r="E270" s="206"/>
      <c r="F270" s="200">
        <f>Metrado!K85</f>
        <v>73.8</v>
      </c>
      <c r="G270" s="202"/>
      <c r="H270" s="203">
        <f>SUM(F270)*I261</f>
        <v>81.180000000000007</v>
      </c>
      <c r="I270" s="204">
        <f>H270/C270</f>
        <v>13.530000000000001</v>
      </c>
    </row>
    <row r="271" spans="2:14" ht="15.75" thickBot="1" x14ac:dyDescent="0.3">
      <c r="B271" s="190" t="s">
        <v>49</v>
      </c>
      <c r="C271" s="191" t="s">
        <v>55</v>
      </c>
      <c r="D271" s="191" t="s">
        <v>50</v>
      </c>
      <c r="E271" s="191" t="s">
        <v>56</v>
      </c>
      <c r="F271" s="191" t="s">
        <v>57</v>
      </c>
      <c r="G271" s="191" t="s">
        <v>54</v>
      </c>
      <c r="H271" s="191" t="s">
        <v>19</v>
      </c>
      <c r="I271" s="193"/>
    </row>
    <row r="272" spans="2:14" x14ac:dyDescent="0.25">
      <c r="B272" s="210" t="s">
        <v>123</v>
      </c>
      <c r="C272" s="215"/>
      <c r="D272" s="216"/>
      <c r="E272" s="216"/>
      <c r="F272" s="216"/>
      <c r="G272" s="312"/>
      <c r="H272" s="218">
        <f>+SUM(G273:G274)*E262*I261/F269</f>
        <v>2.3405298079823066E-2</v>
      </c>
      <c r="I272" s="219"/>
    </row>
    <row r="273" spans="2:14" x14ac:dyDescent="0.25">
      <c r="B273" s="328" t="str">
        <f>+B269</f>
        <v>Canal C de alas atiesadas 6"x2"x 3mm</v>
      </c>
      <c r="C273" s="215">
        <v>176</v>
      </c>
      <c r="D273" s="216">
        <v>0.1</v>
      </c>
      <c r="E273" s="216">
        <v>0</v>
      </c>
      <c r="F273" s="213">
        <f>(D273+E273)</f>
        <v>0.1</v>
      </c>
      <c r="G273" s="214">
        <f>C273*F273</f>
        <v>17.600000000000001</v>
      </c>
      <c r="H273" s="218"/>
      <c r="I273" s="219"/>
    </row>
    <row r="274" spans="2:14" ht="15.75" thickBot="1" x14ac:dyDescent="0.3">
      <c r="B274" s="328" t="str">
        <f>Metrado!D85</f>
        <v>Amarre de correas: tubo 50x50x2.5mm</v>
      </c>
      <c r="C274" s="215">
        <v>140</v>
      </c>
      <c r="D274" s="216">
        <v>0.1</v>
      </c>
      <c r="E274" s="216">
        <v>0.05</v>
      </c>
      <c r="F274" s="213">
        <f>(D274+E274)*2</f>
        <v>0.30000000000000004</v>
      </c>
      <c r="G274" s="214">
        <f>C274*F274</f>
        <v>42.000000000000007</v>
      </c>
      <c r="H274" s="218"/>
      <c r="I274" s="219"/>
      <c r="K274" s="327"/>
      <c r="L274" s="327"/>
      <c r="M274" s="327"/>
      <c r="N274" s="327"/>
    </row>
    <row r="275" spans="2:14" ht="15.75" thickBot="1" x14ac:dyDescent="0.3">
      <c r="B275" s="579" t="s">
        <v>58</v>
      </c>
      <c r="C275" s="580"/>
      <c r="D275" s="580"/>
      <c r="E275" s="580"/>
      <c r="F275" s="580"/>
      <c r="G275" s="580"/>
      <c r="H275" s="580"/>
      <c r="I275" s="581"/>
    </row>
    <row r="276" spans="2:14" ht="15.75" thickBot="1" x14ac:dyDescent="0.3">
      <c r="B276" s="165"/>
      <c r="C276" s="166"/>
      <c r="D276" s="166"/>
      <c r="E276" s="167"/>
      <c r="F276" s="166"/>
      <c r="G276" s="166"/>
      <c r="H276" s="166"/>
      <c r="I276" s="166"/>
    </row>
    <row r="277" spans="2:14" ht="15.75" thickBot="1" x14ac:dyDescent="0.3">
      <c r="B277" s="220" t="s">
        <v>59</v>
      </c>
      <c r="C277" s="221" t="s">
        <v>60</v>
      </c>
      <c r="D277" s="222" t="s">
        <v>61</v>
      </c>
      <c r="E277" s="171" t="s">
        <v>62</v>
      </c>
      <c r="F277" s="169"/>
      <c r="G277" s="166"/>
      <c r="H277" s="170" t="s">
        <v>44</v>
      </c>
      <c r="I277" s="171">
        <v>1.2</v>
      </c>
    </row>
    <row r="278" spans="2:14" ht="15.75" thickBot="1" x14ac:dyDescent="0.3">
      <c r="B278" s="226" t="s">
        <v>64</v>
      </c>
      <c r="C278" s="227">
        <v>2</v>
      </c>
      <c r="D278" s="228">
        <v>22.5</v>
      </c>
      <c r="E278" s="229">
        <v>4.4444444444444446E-2</v>
      </c>
      <c r="F278" s="230"/>
      <c r="G278" s="166"/>
      <c r="H278" s="166"/>
      <c r="I278" s="166"/>
    </row>
    <row r="279" spans="2:14" ht="15.75" thickBot="1" x14ac:dyDescent="0.3">
      <c r="B279" s="235" t="s">
        <v>65</v>
      </c>
      <c r="C279" s="236">
        <v>2</v>
      </c>
      <c r="D279" s="237">
        <v>17.5</v>
      </c>
      <c r="E279" s="238">
        <v>5.7142857142857141E-2</v>
      </c>
      <c r="F279" s="230"/>
      <c r="G279" s="239"/>
      <c r="H279" s="596" t="s">
        <v>63</v>
      </c>
      <c r="I279" s="597"/>
    </row>
    <row r="280" spans="2:14" ht="15.75" thickBot="1" x14ac:dyDescent="0.3">
      <c r="B280" s="244"/>
      <c r="C280" s="245"/>
      <c r="D280" s="246"/>
      <c r="E280" s="247"/>
      <c r="F280" s="230"/>
      <c r="G280" s="166"/>
      <c r="H280" s="248" t="s">
        <v>66</v>
      </c>
      <c r="I280" s="249">
        <f>25%</f>
        <v>0.25</v>
      </c>
    </row>
    <row r="281" spans="2:14" x14ac:dyDescent="0.25">
      <c r="B281" s="166"/>
      <c r="C281" s="166"/>
      <c r="D281" s="166"/>
      <c r="E281" s="166"/>
      <c r="F281" s="166"/>
      <c r="G281" s="166"/>
      <c r="H281" s="254"/>
      <c r="I281" s="166"/>
    </row>
    <row r="282" spans="2:14" ht="15.75" thickBot="1" x14ac:dyDescent="0.3">
      <c r="B282" s="188"/>
    </row>
    <row r="283" spans="2:14" ht="39" thickBot="1" x14ac:dyDescent="0.3">
      <c r="B283" s="255" t="s">
        <v>49</v>
      </c>
      <c r="C283" s="256" t="s">
        <v>51</v>
      </c>
      <c r="D283" s="256" t="s">
        <v>67</v>
      </c>
      <c r="E283" s="257" t="s">
        <v>53</v>
      </c>
      <c r="F283" s="256" t="s">
        <v>95</v>
      </c>
      <c r="G283" s="256" t="s">
        <v>68</v>
      </c>
      <c r="H283" s="258" t="s">
        <v>37</v>
      </c>
      <c r="I283" s="259"/>
    </row>
    <row r="284" spans="2:14" x14ac:dyDescent="0.25">
      <c r="B284" s="260" t="s">
        <v>69</v>
      </c>
      <c r="C284" s="261"/>
      <c r="D284" s="261"/>
      <c r="E284" s="261"/>
      <c r="F284" s="261"/>
      <c r="G284" s="261"/>
      <c r="H284" s="262">
        <f>SUM(G285:G286)*E278*I277/F269</f>
        <v>3.2584076941121275E-2</v>
      </c>
      <c r="I284" s="263"/>
    </row>
    <row r="285" spans="2:14" x14ac:dyDescent="0.25">
      <c r="B285" s="211" t="str">
        <f>+B273</f>
        <v>Canal C de alas atiesadas 6"x2"x 3mm</v>
      </c>
      <c r="C285" s="265">
        <v>1</v>
      </c>
      <c r="D285" s="265">
        <v>2</v>
      </c>
      <c r="E285" s="266">
        <f>+H269</f>
        <v>687.76400000000001</v>
      </c>
      <c r="F285" s="267">
        <v>0.26</v>
      </c>
      <c r="G285" s="268">
        <f>PRODUCT(C285:F285)</f>
        <v>357.63728000000003</v>
      </c>
      <c r="H285" s="269"/>
      <c r="I285" s="270"/>
    </row>
    <row r="286" spans="2:14" x14ac:dyDescent="0.25">
      <c r="B286" s="211" t="str">
        <f>B270</f>
        <v>Amarre de correas: tubo 50x50x2.5mm</v>
      </c>
      <c r="C286" s="532">
        <v>1</v>
      </c>
      <c r="D286" s="532">
        <v>1</v>
      </c>
      <c r="E286" s="272">
        <f>H270</f>
        <v>81.180000000000007</v>
      </c>
      <c r="F286" s="273">
        <f>F274</f>
        <v>0.30000000000000004</v>
      </c>
      <c r="G286" s="268">
        <f>PRODUCT(C286:F286)</f>
        <v>24.354000000000006</v>
      </c>
      <c r="H286" s="269"/>
      <c r="I286" s="310"/>
      <c r="K286" s="327"/>
      <c r="L286" s="327"/>
      <c r="M286" s="327"/>
      <c r="N286" s="327"/>
    </row>
    <row r="287" spans="2:14" x14ac:dyDescent="0.25">
      <c r="B287" s="313" t="s">
        <v>70</v>
      </c>
      <c r="C287" s="233"/>
      <c r="D287" s="233"/>
      <c r="E287" s="233"/>
      <c r="F287" s="233"/>
      <c r="G287" s="233"/>
      <c r="H287" s="309">
        <f>SUM(G288:G289)*E279*I277/F269</f>
        <v>2.2282384638584497E-2</v>
      </c>
      <c r="I287" s="310"/>
    </row>
    <row r="288" spans="2:14" x14ac:dyDescent="0.25">
      <c r="B288" s="211" t="str">
        <f>+B285</f>
        <v>Canal C de alas atiesadas 6"x2"x 3mm</v>
      </c>
      <c r="C288" s="243">
        <v>1</v>
      </c>
      <c r="D288" s="243">
        <v>1</v>
      </c>
      <c r="E288" s="277">
        <f>+H269</f>
        <v>687.76400000000001</v>
      </c>
      <c r="F288" s="278">
        <f>F285</f>
        <v>0.26</v>
      </c>
      <c r="G288" s="268">
        <f>PRODUCT(C288:F288)</f>
        <v>178.81864000000002</v>
      </c>
      <c r="H288" s="276"/>
      <c r="I288" s="270"/>
    </row>
    <row r="289" spans="2:14" x14ac:dyDescent="0.25">
      <c r="B289" s="211" t="str">
        <f>B286</f>
        <v>Amarre de correas: tubo 50x50x2.5mm</v>
      </c>
      <c r="C289" s="532">
        <v>1</v>
      </c>
      <c r="D289" s="532">
        <v>1</v>
      </c>
      <c r="E289" s="272">
        <f>E286</f>
        <v>81.180000000000007</v>
      </c>
      <c r="F289" s="272">
        <f t="shared" ref="F289:G289" si="20">F286</f>
        <v>0.30000000000000004</v>
      </c>
      <c r="G289" s="272">
        <f t="shared" si="20"/>
        <v>24.354000000000006</v>
      </c>
      <c r="H289" s="309"/>
      <c r="I289" s="310"/>
      <c r="K289" s="327"/>
      <c r="L289" s="327"/>
      <c r="M289" s="327"/>
      <c r="N289" s="327"/>
    </row>
    <row r="290" spans="2:14" x14ac:dyDescent="0.25">
      <c r="B290" s="313" t="s">
        <v>71</v>
      </c>
      <c r="C290" s="576" t="s">
        <v>72</v>
      </c>
      <c r="D290" s="577"/>
      <c r="E290" s="577"/>
      <c r="F290" s="578"/>
      <c r="G290" s="314" t="str">
        <f>+H280</f>
        <v>Pistola</v>
      </c>
      <c r="H290" s="309">
        <f>SUM(H284:H288)*I280</f>
        <v>1.3716615394926444E-2</v>
      </c>
      <c r="I290" s="310"/>
    </row>
    <row r="291" spans="2:14" ht="15.75" thickBot="1" x14ac:dyDescent="0.3">
      <c r="B291" s="280"/>
      <c r="C291" s="281"/>
      <c r="D291" s="281"/>
      <c r="E291" s="282"/>
      <c r="F291" s="281"/>
      <c r="G291" s="281"/>
      <c r="H291" s="281"/>
      <c r="I291" s="283"/>
    </row>
    <row r="292" spans="2:14" ht="15.75" thickBot="1" x14ac:dyDescent="0.3">
      <c r="B292" s="579" t="s">
        <v>73</v>
      </c>
      <c r="C292" s="580"/>
      <c r="D292" s="580"/>
      <c r="E292" s="580"/>
      <c r="F292" s="580"/>
      <c r="G292" s="580"/>
      <c r="H292" s="580"/>
      <c r="I292" s="581"/>
    </row>
    <row r="293" spans="2:14" ht="15.75" thickBot="1" x14ac:dyDescent="0.3"/>
    <row r="294" spans="2:14" x14ac:dyDescent="0.25">
      <c r="B294" s="582" t="s">
        <v>49</v>
      </c>
      <c r="C294" s="584" t="s">
        <v>7</v>
      </c>
      <c r="D294" s="284" t="s">
        <v>74</v>
      </c>
      <c r="E294" s="285"/>
      <c r="F294" s="286"/>
      <c r="G294" s="286"/>
      <c r="H294" s="286"/>
      <c r="I294" s="286"/>
    </row>
    <row r="295" spans="2:14" ht="15.75" thickBot="1" x14ac:dyDescent="0.3">
      <c r="B295" s="583"/>
      <c r="C295" s="585"/>
      <c r="D295" s="290" t="s">
        <v>7</v>
      </c>
      <c r="E295" s="291"/>
      <c r="F295" s="286"/>
      <c r="G295" s="286"/>
      <c r="H295" s="286"/>
      <c r="I295" s="286"/>
    </row>
    <row r="296" spans="2:14" x14ac:dyDescent="0.25">
      <c r="B296" s="292" t="str">
        <f>+B259</f>
        <v xml:space="preserve">CORREAS METALICAS </v>
      </c>
      <c r="C296" s="293"/>
      <c r="D296" s="294"/>
      <c r="E296" s="295"/>
      <c r="F296" s="296"/>
      <c r="G296" s="296"/>
      <c r="H296" s="296"/>
      <c r="I296" s="296"/>
    </row>
    <row r="297" spans="2:14" x14ac:dyDescent="0.25">
      <c r="B297" s="300" t="str">
        <f>+B269</f>
        <v>Canal C de alas atiesadas 6"x2"x 3mm</v>
      </c>
      <c r="C297" s="301" t="s">
        <v>21</v>
      </c>
      <c r="D297" s="302">
        <f>+H269</f>
        <v>687.76400000000001</v>
      </c>
      <c r="E297" s="303"/>
      <c r="F297" s="286"/>
      <c r="G297" s="286"/>
      <c r="H297" s="286"/>
      <c r="I297" s="286"/>
    </row>
    <row r="298" spans="2:14" x14ac:dyDescent="0.25">
      <c r="B298" s="304" t="str">
        <f>B270</f>
        <v>Amarre de correas: tubo 50x50x2.5mm</v>
      </c>
      <c r="C298" s="305" t="s">
        <v>21</v>
      </c>
      <c r="D298" s="306">
        <f>H270</f>
        <v>81.180000000000007</v>
      </c>
      <c r="E298" s="303"/>
      <c r="F298" s="286"/>
      <c r="G298" s="286"/>
      <c r="H298" s="286"/>
      <c r="I298" s="286"/>
      <c r="K298" s="327"/>
      <c r="L298" s="327"/>
      <c r="M298" s="327"/>
      <c r="N298" s="327"/>
    </row>
    <row r="299" spans="2:14" x14ac:dyDescent="0.25">
      <c r="B299" s="304" t="str">
        <f>+B272</f>
        <v>ELECTRODOS E6011</v>
      </c>
      <c r="C299" s="305" t="str">
        <f>+H271</f>
        <v>kg</v>
      </c>
      <c r="D299" s="306">
        <f>+H272</f>
        <v>2.3405298079823066E-2</v>
      </c>
      <c r="E299" s="303"/>
      <c r="F299" s="286"/>
      <c r="G299" s="286"/>
      <c r="H299" s="286"/>
      <c r="I299" s="286"/>
    </row>
    <row r="300" spans="2:14" x14ac:dyDescent="0.25">
      <c r="B300" s="304" t="str">
        <f>+B284</f>
        <v>ESMALTE SINTÉTICO</v>
      </c>
      <c r="C300" s="305" t="str">
        <f>+H283</f>
        <v>gln</v>
      </c>
      <c r="D300" s="306">
        <f>+H284</f>
        <v>3.2584076941121275E-2</v>
      </c>
      <c r="E300" s="303"/>
      <c r="F300" s="286"/>
      <c r="G300" s="286"/>
      <c r="H300" s="286"/>
      <c r="I300" s="286"/>
    </row>
    <row r="301" spans="2:14" x14ac:dyDescent="0.25">
      <c r="B301" s="304" t="str">
        <f>+B287</f>
        <v>BASE ANTICORROSIVA</v>
      </c>
      <c r="C301" s="305" t="str">
        <f>+C300</f>
        <v>gln</v>
      </c>
      <c r="D301" s="306">
        <f>+H287</f>
        <v>2.2282384638584497E-2</v>
      </c>
      <c r="E301" s="303"/>
      <c r="F301" s="286"/>
      <c r="G301" s="286"/>
      <c r="H301" s="286"/>
      <c r="I301" s="286"/>
    </row>
    <row r="302" spans="2:14" ht="15.75" thickBot="1" x14ac:dyDescent="0.3">
      <c r="B302" s="280" t="str">
        <f>+B290</f>
        <v>DILUYENTE ESTÁNDAR (THINNER)</v>
      </c>
      <c r="C302" s="251" t="str">
        <f>+C301</f>
        <v>gln</v>
      </c>
      <c r="D302" s="307">
        <f>+H290</f>
        <v>1.3716615394926444E-2</v>
      </c>
      <c r="E302" s="308"/>
    </row>
  </sheetData>
  <mergeCells count="69">
    <mergeCell ref="C208:C209"/>
    <mergeCell ref="B192:I192"/>
    <mergeCell ref="B247:I247"/>
    <mergeCell ref="B249:B250"/>
    <mergeCell ref="C249:C250"/>
    <mergeCell ref="B224:I224"/>
    <mergeCell ref="H225:I225"/>
    <mergeCell ref="B233:I233"/>
    <mergeCell ref="H237:I237"/>
    <mergeCell ref="C245:F245"/>
    <mergeCell ref="H196:I196"/>
    <mergeCell ref="H123:I123"/>
    <mergeCell ref="B138:I138"/>
    <mergeCell ref="B217:I217"/>
    <mergeCell ref="B218:I218"/>
    <mergeCell ref="D220:F220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4:F204"/>
    <mergeCell ref="B206:I206"/>
    <mergeCell ref="B208:B209"/>
    <mergeCell ref="C105:C106"/>
    <mergeCell ref="B116:I116"/>
    <mergeCell ref="D118:F118"/>
    <mergeCell ref="B122:I122"/>
    <mergeCell ref="B115:I115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B49:B50"/>
    <mergeCell ref="C49:C50"/>
    <mergeCell ref="B275:I275"/>
    <mergeCell ref="H279:I279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C290:F290"/>
    <mergeCell ref="B292:I292"/>
    <mergeCell ref="B294:B295"/>
    <mergeCell ref="C294:C295"/>
    <mergeCell ref="B258:I258"/>
    <mergeCell ref="B259:I259"/>
    <mergeCell ref="D261:F261"/>
    <mergeCell ref="B265:I265"/>
    <mergeCell ref="H266:I266"/>
  </mergeCells>
  <dataValidations disablePrompts="1" count="4">
    <dataValidation type="list" allowBlank="1" showInputMessage="1" showErrorMessage="1" sqref="H29 H197 H143 H280 H85 H238" xr:uid="{00000000-0002-0000-0000-000000000000}">
      <formula1>$K$24:$K$24</formula1>
    </dataValidation>
    <dataValidation type="list" allowBlank="1" showInputMessage="1" showErrorMessage="1" sqref="C28 C196 C279 C142 C84 C237" xr:uid="{00000000-0002-0000-0000-000001000000}">
      <formula1>$O$27:$O$29</formula1>
    </dataValidation>
    <dataValidation type="list" allowBlank="1" showInputMessage="1" showErrorMessage="1" sqref="C27 C195 C278 C141 C83 C236" xr:uid="{00000000-0002-0000-0000-000002000000}">
      <formula1>$O$24:$O$25</formula1>
    </dataValidation>
    <dataValidation type="list" allowBlank="1" showInputMessage="1" showErrorMessage="1" sqref="D7 D180 D119 D262 D63 D221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  <rowBreaks count="5" manualBreakCount="5">
    <brk id="58" min="1" max="9" man="1"/>
    <brk id="114" min="1" max="9" man="1"/>
    <brk id="175" min="1" max="9" man="1"/>
    <brk id="216" min="1" max="9" man="1"/>
    <brk id="257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/>
  <dimension ref="A1:X151"/>
  <sheetViews>
    <sheetView view="pageBreakPreview" topLeftCell="A104" zoomScaleNormal="85" zoomScaleSheetLayoutView="100" workbookViewId="0">
      <selection activeCell="K21" sqref="K21"/>
    </sheetView>
  </sheetViews>
  <sheetFormatPr baseColWidth="10" defaultColWidth="11.42578125" defaultRowHeight="12.6" customHeight="1" x14ac:dyDescent="0.25"/>
  <cols>
    <col min="1" max="1" width="4.5703125" style="141" customWidth="1"/>
    <col min="2" max="2" width="2.28515625" style="55" customWidth="1"/>
    <col min="3" max="3" width="10.140625" style="142" customWidth="1"/>
    <col min="4" max="4" width="40.85546875" style="143" customWidth="1"/>
    <col min="5" max="5" width="5.42578125" style="102" customWidth="1"/>
    <col min="6" max="6" width="5.28515625" style="102" customWidth="1"/>
    <col min="7" max="7" width="8.42578125" style="144" customWidth="1"/>
    <col min="8" max="8" width="5.7109375" style="144" customWidth="1"/>
    <col min="9" max="9" width="4.28515625" style="144" customWidth="1"/>
    <col min="10" max="10" width="4.42578125" style="145" customWidth="1"/>
    <col min="11" max="11" width="8" style="146" customWidth="1"/>
    <col min="12" max="12" width="7.7109375" style="146" customWidth="1"/>
    <col min="13" max="13" width="4.7109375" style="144" customWidth="1"/>
    <col min="14" max="14" width="6.7109375" style="144" customWidth="1"/>
    <col min="15" max="15" width="5.140625" style="147" customWidth="1"/>
    <col min="16" max="16" width="8.28515625" style="152" customWidth="1"/>
    <col min="17" max="17" width="8.85546875" style="148" customWidth="1"/>
    <col min="18" max="18" width="9.42578125" style="55" customWidth="1"/>
    <col min="19" max="19" width="5.42578125" style="55" customWidth="1"/>
    <col min="20" max="20" width="30.5703125" style="55" customWidth="1"/>
    <col min="21" max="22" width="5" style="55" customWidth="1"/>
    <col min="23" max="23" width="3.85546875" style="55" bestFit="1" customWidth="1"/>
    <col min="24" max="24" width="5" style="55" customWidth="1"/>
    <col min="25" max="16384" width="11.42578125" style="55"/>
  </cols>
  <sheetData>
    <row r="1" spans="1:24" s="53" customFormat="1" ht="12.75" hidden="1" x14ac:dyDescent="0.2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105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3.5" thickBot="1" x14ac:dyDescent="0.3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5.75" thickBot="1" x14ac:dyDescent="0.3">
      <c r="A3" s="54"/>
      <c r="C3" s="609" t="s">
        <v>36</v>
      </c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1"/>
      <c r="R3" s="54"/>
      <c r="S3" s="54"/>
      <c r="T3" s="51"/>
      <c r="U3" s="56"/>
      <c r="V3" s="56"/>
      <c r="W3" s="52"/>
    </row>
    <row r="4" spans="1:24" ht="13.5" thickBot="1" x14ac:dyDescent="0.3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ht="12.75" x14ac:dyDescent="0.25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50"/>
      <c r="Q5" s="71"/>
      <c r="R5" s="54"/>
      <c r="S5" s="54"/>
      <c r="T5" s="51"/>
      <c r="U5" s="56"/>
      <c r="V5" s="56"/>
      <c r="W5" s="56"/>
    </row>
    <row r="6" spans="1:24" ht="12.75" x14ac:dyDescent="0.25">
      <c r="A6" s="54"/>
      <c r="C6" s="72" t="s">
        <v>155</v>
      </c>
      <c r="D6" s="612" t="s">
        <v>291</v>
      </c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3"/>
      <c r="R6" s="54"/>
      <c r="S6" s="54"/>
      <c r="T6" s="51"/>
      <c r="U6" s="56"/>
      <c r="V6" s="56"/>
      <c r="W6" s="56"/>
    </row>
    <row r="7" spans="1:24" ht="12.75" x14ac:dyDescent="0.25">
      <c r="A7" s="54"/>
      <c r="C7" s="72"/>
      <c r="D7" s="612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3"/>
      <c r="R7" s="54"/>
      <c r="S7" s="54"/>
    </row>
    <row r="8" spans="1:24" ht="12.75" x14ac:dyDescent="0.25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 t="s">
        <v>92</v>
      </c>
      <c r="P8" s="78"/>
      <c r="Q8" s="79"/>
      <c r="R8" s="54"/>
      <c r="S8" s="54"/>
    </row>
    <row r="9" spans="1:24" ht="12.75" x14ac:dyDescent="0.25">
      <c r="A9" s="54"/>
      <c r="C9" s="72" t="s">
        <v>87</v>
      </c>
      <c r="D9" s="80">
        <v>44599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ht="12.75" x14ac:dyDescent="0.25">
      <c r="A10" s="54"/>
      <c r="C10" s="72" t="s">
        <v>4</v>
      </c>
      <c r="D10" s="77" t="s">
        <v>156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ht="12.75" x14ac:dyDescent="0.25">
      <c r="A11" s="54"/>
      <c r="C11" s="72" t="s">
        <v>88</v>
      </c>
      <c r="D11" s="73" t="s">
        <v>292</v>
      </c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3.5" thickBot="1" x14ac:dyDescent="0.3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51"/>
      <c r="Q12" s="95"/>
      <c r="R12" s="54"/>
      <c r="S12" s="54"/>
    </row>
    <row r="13" spans="1:24" ht="13.5" thickBot="1" x14ac:dyDescent="0.3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89</v>
      </c>
      <c r="U13" s="99">
        <v>1</v>
      </c>
    </row>
    <row r="14" spans="1:24" ht="12.75" x14ac:dyDescent="0.25">
      <c r="A14" s="54"/>
      <c r="C14" s="614" t="s">
        <v>5</v>
      </c>
      <c r="D14" s="616" t="s">
        <v>6</v>
      </c>
      <c r="E14" s="618" t="s">
        <v>7</v>
      </c>
      <c r="F14" s="620" t="s">
        <v>8</v>
      </c>
      <c r="G14" s="622" t="s">
        <v>9</v>
      </c>
      <c r="H14" s="622"/>
      <c r="I14" s="622"/>
      <c r="J14" s="620" t="s">
        <v>10</v>
      </c>
      <c r="K14" s="616" t="s">
        <v>11</v>
      </c>
      <c r="L14" s="616"/>
      <c r="M14" s="616"/>
      <c r="N14" s="616"/>
      <c r="O14" s="623"/>
      <c r="P14" s="626" t="s">
        <v>35</v>
      </c>
      <c r="Q14" s="624" t="s">
        <v>12</v>
      </c>
      <c r="R14" s="54"/>
      <c r="S14" s="54"/>
      <c r="T14" s="99" t="s">
        <v>41</v>
      </c>
      <c r="U14" s="99">
        <v>1.05</v>
      </c>
    </row>
    <row r="15" spans="1:24" ht="64.5" thickBot="1" x14ac:dyDescent="0.3">
      <c r="A15" s="54"/>
      <c r="C15" s="615"/>
      <c r="D15" s="617"/>
      <c r="E15" s="619"/>
      <c r="F15" s="621"/>
      <c r="G15" s="100" t="s">
        <v>13</v>
      </c>
      <c r="H15" s="100" t="s">
        <v>14</v>
      </c>
      <c r="I15" s="311" t="s">
        <v>94</v>
      </c>
      <c r="J15" s="621"/>
      <c r="K15" s="100" t="s">
        <v>15</v>
      </c>
      <c r="L15" s="311" t="s">
        <v>150</v>
      </c>
      <c r="M15" s="100" t="s">
        <v>34</v>
      </c>
      <c r="N15" s="100" t="s">
        <v>16</v>
      </c>
      <c r="O15" s="101" t="s">
        <v>17</v>
      </c>
      <c r="P15" s="627"/>
      <c r="Q15" s="625"/>
      <c r="R15" s="54"/>
      <c r="S15" s="54"/>
      <c r="T15" s="99" t="s">
        <v>76</v>
      </c>
      <c r="U15" s="99">
        <v>0.1</v>
      </c>
    </row>
    <row r="16" spans="1:24" ht="14.45" customHeight="1" x14ac:dyDescent="0.25">
      <c r="A16" s="54"/>
      <c r="C16" s="414"/>
      <c r="D16" s="415"/>
      <c r="E16" s="407"/>
      <c r="F16" s="408"/>
      <c r="G16" s="409"/>
      <c r="H16" s="409"/>
      <c r="I16" s="410"/>
      <c r="J16" s="408"/>
      <c r="K16" s="409"/>
      <c r="L16" s="409"/>
      <c r="M16" s="409"/>
      <c r="N16" s="409"/>
      <c r="O16" s="411"/>
      <c r="P16" s="412"/>
      <c r="Q16" s="413"/>
      <c r="R16" s="54"/>
      <c r="S16" s="54"/>
      <c r="T16" s="112"/>
      <c r="U16" s="112"/>
    </row>
    <row r="17" spans="1:17" s="110" customFormat="1" ht="12.75" customHeight="1" x14ac:dyDescent="0.25">
      <c r="A17" s="103"/>
      <c r="B17" s="104"/>
      <c r="C17" s="388" t="s">
        <v>107</v>
      </c>
      <c r="D17" s="361" t="s">
        <v>125</v>
      </c>
      <c r="E17" s="105"/>
      <c r="F17" s="106"/>
      <c r="G17" s="107"/>
      <c r="H17" s="107"/>
      <c r="I17" s="107"/>
      <c r="J17" s="108"/>
      <c r="K17" s="109"/>
      <c r="L17" s="109"/>
      <c r="M17" s="109"/>
      <c r="N17" s="109"/>
      <c r="O17" s="109"/>
      <c r="P17" s="109"/>
      <c r="Q17" s="109"/>
    </row>
    <row r="18" spans="1:17" s="110" customFormat="1" ht="12.75" customHeight="1" x14ac:dyDescent="0.25">
      <c r="A18" s="103"/>
      <c r="B18" s="104"/>
      <c r="C18" s="389" t="s">
        <v>108</v>
      </c>
      <c r="D18" s="378" t="s">
        <v>99</v>
      </c>
      <c r="E18" s="105"/>
      <c r="F18" s="363"/>
      <c r="G18" s="364"/>
      <c r="H18" s="364"/>
      <c r="I18" s="364"/>
      <c r="J18" s="365"/>
      <c r="K18" s="366"/>
      <c r="L18" s="366"/>
      <c r="M18" s="366"/>
      <c r="N18" s="366"/>
      <c r="O18" s="366"/>
      <c r="P18" s="366"/>
      <c r="Q18" s="366"/>
    </row>
    <row r="19" spans="1:17" s="110" customFormat="1" ht="12.75" customHeight="1" x14ac:dyDescent="0.25">
      <c r="A19" s="103"/>
      <c r="B19" s="104"/>
      <c r="C19" s="390" t="s">
        <v>109</v>
      </c>
      <c r="D19" s="379" t="s">
        <v>100</v>
      </c>
      <c r="E19" s="155" t="s">
        <v>18</v>
      </c>
      <c r="F19" s="321">
        <v>1</v>
      </c>
      <c r="G19" s="322">
        <v>24.7</v>
      </c>
      <c r="H19" s="322">
        <v>22</v>
      </c>
      <c r="I19" s="322"/>
      <c r="J19" s="319">
        <v>1</v>
      </c>
      <c r="K19" s="318"/>
      <c r="L19" s="317">
        <f>+PRODUCT(F19:J19)</f>
        <v>543.4</v>
      </c>
      <c r="M19" s="318"/>
      <c r="N19" s="318"/>
      <c r="O19" s="318"/>
      <c r="P19" s="318"/>
      <c r="Q19" s="320">
        <f>PRODUCT(F19:J19)</f>
        <v>543.4</v>
      </c>
    </row>
    <row r="20" spans="1:17" s="110" customFormat="1" ht="12.75" customHeight="1" x14ac:dyDescent="0.25">
      <c r="A20" s="103"/>
      <c r="B20" s="104"/>
      <c r="C20" s="389" t="s">
        <v>110</v>
      </c>
      <c r="D20" s="378" t="s">
        <v>141</v>
      </c>
      <c r="E20" s="155"/>
      <c r="F20" s="321"/>
      <c r="G20" s="322"/>
      <c r="H20" s="322"/>
      <c r="I20" s="322"/>
      <c r="J20" s="319"/>
      <c r="K20" s="318"/>
      <c r="L20" s="317"/>
      <c r="M20" s="318"/>
      <c r="N20" s="318"/>
      <c r="O20" s="318"/>
      <c r="P20" s="318"/>
      <c r="Q20" s="320"/>
    </row>
    <row r="21" spans="1:17" s="110" customFormat="1" ht="12.75" x14ac:dyDescent="0.25">
      <c r="A21" s="103"/>
      <c r="B21" s="104"/>
      <c r="C21" s="390" t="s">
        <v>111</v>
      </c>
      <c r="D21" s="385" t="s">
        <v>142</v>
      </c>
      <c r="E21" s="114"/>
      <c r="F21" s="547"/>
      <c r="G21" s="548"/>
      <c r="H21" s="548"/>
      <c r="I21" s="548"/>
      <c r="J21" s="549"/>
      <c r="K21" s="550"/>
      <c r="L21" s="121"/>
      <c r="M21" s="550"/>
      <c r="N21" s="550"/>
      <c r="O21" s="550"/>
      <c r="P21" s="550"/>
      <c r="Q21" s="115"/>
    </row>
    <row r="22" spans="1:17" s="110" customFormat="1" ht="12.75" x14ac:dyDescent="0.25">
      <c r="A22" s="103"/>
      <c r="B22" s="104"/>
      <c r="C22" s="390"/>
      <c r="D22" s="380" t="s">
        <v>143</v>
      </c>
      <c r="E22" s="114" t="s">
        <v>144</v>
      </c>
      <c r="F22" s="551">
        <v>8</v>
      </c>
      <c r="G22" s="548">
        <v>1.2</v>
      </c>
      <c r="H22" s="548">
        <v>1.2</v>
      </c>
      <c r="I22" s="548">
        <v>0.5</v>
      </c>
      <c r="J22" s="552">
        <v>1</v>
      </c>
      <c r="K22" s="550"/>
      <c r="L22" s="553">
        <f>+PRODUCT(F22:J22)</f>
        <v>5.76</v>
      </c>
      <c r="M22" s="550"/>
      <c r="N22" s="550"/>
      <c r="O22" s="550"/>
      <c r="P22" s="550"/>
      <c r="Q22" s="115">
        <f>+L22</f>
        <v>5.76</v>
      </c>
    </row>
    <row r="23" spans="1:17" s="110" customFormat="1" ht="12.75" x14ac:dyDescent="0.25">
      <c r="A23" s="103"/>
      <c r="B23" s="104"/>
      <c r="C23" s="390"/>
      <c r="D23" s="380" t="s">
        <v>145</v>
      </c>
      <c r="E23" s="114" t="s">
        <v>19</v>
      </c>
      <c r="F23" s="551">
        <v>8</v>
      </c>
      <c r="G23" s="548">
        <v>1.7</v>
      </c>
      <c r="H23" s="548"/>
      <c r="I23" s="548">
        <v>1.55</v>
      </c>
      <c r="J23" s="552">
        <v>7</v>
      </c>
      <c r="K23" s="550"/>
      <c r="L23" s="121"/>
      <c r="M23" s="550"/>
      <c r="N23" s="548">
        <f>+PRODUCT(F23:J23)</f>
        <v>147.56</v>
      </c>
      <c r="O23" s="550"/>
      <c r="P23" s="550"/>
      <c r="Q23" s="115">
        <f>+SUM(N23:N24)</f>
        <v>295.12</v>
      </c>
    </row>
    <row r="24" spans="1:17" s="110" customFormat="1" ht="12.75" x14ac:dyDescent="0.25">
      <c r="A24" s="103"/>
      <c r="B24" s="104"/>
      <c r="C24" s="390"/>
      <c r="D24" s="380"/>
      <c r="E24" s="114"/>
      <c r="F24" s="551">
        <v>8</v>
      </c>
      <c r="G24" s="548">
        <v>1.7</v>
      </c>
      <c r="H24" s="548"/>
      <c r="I24" s="548">
        <v>1.55</v>
      </c>
      <c r="J24" s="552">
        <v>7</v>
      </c>
      <c r="K24" s="550"/>
      <c r="L24" s="121"/>
      <c r="M24" s="550"/>
      <c r="N24" s="548">
        <f>+PRODUCT(F24:J24)</f>
        <v>147.56</v>
      </c>
      <c r="O24" s="550"/>
      <c r="P24" s="550"/>
      <c r="Q24" s="115"/>
    </row>
    <row r="25" spans="1:17" s="110" customFormat="1" ht="12.75" x14ac:dyDescent="0.25">
      <c r="A25" s="103"/>
      <c r="B25" s="104"/>
      <c r="C25" s="390" t="s">
        <v>112</v>
      </c>
      <c r="D25" s="385" t="s">
        <v>146</v>
      </c>
      <c r="E25" s="114"/>
      <c r="F25" s="551"/>
      <c r="G25" s="548"/>
      <c r="H25" s="548"/>
      <c r="I25" s="548"/>
      <c r="J25" s="552"/>
      <c r="K25" s="550"/>
      <c r="L25" s="121"/>
      <c r="M25" s="550"/>
      <c r="N25" s="550"/>
      <c r="O25" s="550"/>
      <c r="P25" s="550"/>
      <c r="Q25" s="115"/>
    </row>
    <row r="26" spans="1:17" s="110" customFormat="1" ht="12.75" x14ac:dyDescent="0.25">
      <c r="A26" s="103"/>
      <c r="B26" s="104"/>
      <c r="C26" s="390"/>
      <c r="D26" s="380" t="s">
        <v>147</v>
      </c>
      <c r="E26" s="114" t="s">
        <v>144</v>
      </c>
      <c r="F26" s="551">
        <v>8</v>
      </c>
      <c r="G26" s="548">
        <v>2.7</v>
      </c>
      <c r="H26" s="548">
        <v>0.12565999999999999</v>
      </c>
      <c r="I26" s="548"/>
      <c r="J26" s="552">
        <v>1</v>
      </c>
      <c r="K26" s="550"/>
      <c r="L26" s="121">
        <f>+PRODUCT(F26:J26)</f>
        <v>2.7142560000000002</v>
      </c>
      <c r="M26" s="550"/>
      <c r="N26" s="550"/>
      <c r="O26" s="550"/>
      <c r="P26" s="550"/>
      <c r="Q26" s="115">
        <f>+L26</f>
        <v>2.7142560000000002</v>
      </c>
    </row>
    <row r="27" spans="1:17" s="110" customFormat="1" ht="12.75" x14ac:dyDescent="0.25">
      <c r="A27" s="103"/>
      <c r="B27" s="104"/>
      <c r="C27" s="390"/>
      <c r="D27" s="380" t="s">
        <v>148</v>
      </c>
      <c r="E27" s="114" t="s">
        <v>18</v>
      </c>
      <c r="F27" s="551">
        <v>8</v>
      </c>
      <c r="G27" s="548">
        <v>2.7</v>
      </c>
      <c r="H27" s="548">
        <v>1.2565999999999999</v>
      </c>
      <c r="I27" s="548"/>
      <c r="J27" s="552">
        <v>1</v>
      </c>
      <c r="K27" s="550"/>
      <c r="L27" s="121">
        <f>+PRODUCT(F27:J27)</f>
        <v>27.14256</v>
      </c>
      <c r="M27" s="550"/>
      <c r="N27" s="550"/>
      <c r="O27" s="550"/>
      <c r="P27" s="550"/>
      <c r="Q27" s="115">
        <f>+L27</f>
        <v>27.14256</v>
      </c>
    </row>
    <row r="28" spans="1:17" s="110" customFormat="1" ht="12.75" x14ac:dyDescent="0.25">
      <c r="A28" s="103"/>
      <c r="B28" s="104"/>
      <c r="C28" s="390"/>
      <c r="D28" s="380" t="s">
        <v>149</v>
      </c>
      <c r="E28" s="114" t="s">
        <v>19</v>
      </c>
      <c r="F28" s="551">
        <v>8</v>
      </c>
      <c r="G28" s="548">
        <v>3.55</v>
      </c>
      <c r="H28" s="548">
        <v>2.2400000000000002</v>
      </c>
      <c r="I28" s="548"/>
      <c r="J28" s="552">
        <v>6</v>
      </c>
      <c r="K28" s="550"/>
      <c r="L28" s="121"/>
      <c r="M28" s="550"/>
      <c r="N28" s="548">
        <f>+PRODUCT(F28:J28)</f>
        <v>381.69600000000003</v>
      </c>
      <c r="O28" s="550"/>
      <c r="P28" s="550"/>
      <c r="Q28" s="115">
        <f>+SUM(N28:N29)</f>
        <v>473.08800000000002</v>
      </c>
    </row>
    <row r="29" spans="1:17" s="110" customFormat="1" ht="12.75" x14ac:dyDescent="0.25">
      <c r="A29" s="103"/>
      <c r="B29" s="104"/>
      <c r="C29" s="390"/>
      <c r="D29" s="380"/>
      <c r="E29" s="114"/>
      <c r="F29" s="551">
        <v>8</v>
      </c>
      <c r="G29" s="548">
        <v>1.2</v>
      </c>
      <c r="H29" s="548">
        <v>0.56000000000000005</v>
      </c>
      <c r="I29" s="548"/>
      <c r="J29" s="552">
        <v>17</v>
      </c>
      <c r="K29" s="550"/>
      <c r="L29" s="121"/>
      <c r="M29" s="677"/>
      <c r="N29" s="548">
        <f>+PRODUCT(F29:J29)</f>
        <v>91.39200000000001</v>
      </c>
      <c r="O29" s="677"/>
      <c r="P29" s="550"/>
      <c r="Q29" s="115"/>
    </row>
    <row r="30" spans="1:17" s="110" customFormat="1" ht="12.75" customHeight="1" x14ac:dyDescent="0.25">
      <c r="A30" s="103"/>
      <c r="B30" s="104"/>
      <c r="C30" s="456" t="s">
        <v>113</v>
      </c>
      <c r="D30" s="457" t="s">
        <v>151</v>
      </c>
      <c r="E30" s="657"/>
      <c r="F30" s="650"/>
      <c r="G30" s="657"/>
      <c r="H30" s="657"/>
      <c r="I30" s="657"/>
      <c r="J30" s="650"/>
      <c r="K30" s="657"/>
      <c r="L30" s="657"/>
      <c r="M30" s="673"/>
      <c r="N30" s="657"/>
      <c r="O30" s="650"/>
      <c r="P30" s="649"/>
      <c r="Q30" s="122"/>
    </row>
    <row r="31" spans="1:17" s="110" customFormat="1" ht="12.75" customHeight="1" x14ac:dyDescent="0.25">
      <c r="A31" s="103"/>
      <c r="B31" s="104"/>
      <c r="C31" s="394" t="s">
        <v>114</v>
      </c>
      <c r="D31" s="438" t="s">
        <v>137</v>
      </c>
      <c r="E31" s="658" t="s">
        <v>19</v>
      </c>
      <c r="F31" s="102">
        <v>1</v>
      </c>
      <c r="G31" s="659"/>
      <c r="H31" s="659"/>
      <c r="I31" s="659"/>
      <c r="J31" s="122"/>
      <c r="K31" s="659"/>
      <c r="L31" s="659"/>
      <c r="M31" s="674"/>
      <c r="N31" s="659">
        <v>40</v>
      </c>
      <c r="O31" s="122"/>
      <c r="P31" s="445">
        <f>N31</f>
        <v>40</v>
      </c>
      <c r="Q31" s="446">
        <f>+P31</f>
        <v>40</v>
      </c>
    </row>
    <row r="32" spans="1:17" s="110" customFormat="1" ht="12.75" customHeight="1" x14ac:dyDescent="0.25">
      <c r="A32" s="103"/>
      <c r="B32" s="104"/>
      <c r="C32" s="394" t="s">
        <v>115</v>
      </c>
      <c r="D32" s="438" t="s">
        <v>279</v>
      </c>
      <c r="E32" s="653" t="s">
        <v>19</v>
      </c>
      <c r="F32" s="655">
        <v>1</v>
      </c>
      <c r="G32" s="664"/>
      <c r="H32" s="664"/>
      <c r="I32" s="664"/>
      <c r="J32" s="651"/>
      <c r="K32" s="670"/>
      <c r="L32" s="670"/>
      <c r="M32" s="675"/>
      <c r="N32" s="679">
        <v>30</v>
      </c>
      <c r="O32" s="652"/>
      <c r="P32" s="445">
        <f>N32</f>
        <v>30</v>
      </c>
      <c r="Q32" s="446">
        <f>+P32</f>
        <v>30</v>
      </c>
    </row>
    <row r="33" spans="1:17" s="110" customFormat="1" ht="12.75" customHeight="1" x14ac:dyDescent="0.25">
      <c r="A33" s="103"/>
      <c r="B33" s="104"/>
      <c r="C33" s="456" t="s">
        <v>116</v>
      </c>
      <c r="D33" s="457" t="s">
        <v>183</v>
      </c>
      <c r="E33" s="659"/>
      <c r="F33" s="122"/>
      <c r="G33" s="659"/>
      <c r="H33" s="659"/>
      <c r="I33" s="659"/>
      <c r="J33" s="122"/>
      <c r="K33" s="659"/>
      <c r="L33" s="659"/>
      <c r="M33" s="674"/>
      <c r="N33" s="659"/>
      <c r="O33" s="122"/>
      <c r="P33" s="122"/>
      <c r="Q33" s="122"/>
    </row>
    <row r="34" spans="1:17" s="110" customFormat="1" ht="12.75" customHeight="1" x14ac:dyDescent="0.25">
      <c r="A34" s="103"/>
      <c r="B34" s="104"/>
      <c r="C34" s="394" t="s">
        <v>117</v>
      </c>
      <c r="D34" s="438" t="s">
        <v>184</v>
      </c>
      <c r="E34" s="653" t="s">
        <v>22</v>
      </c>
      <c r="F34" s="655">
        <v>1</v>
      </c>
      <c r="G34" s="657"/>
      <c r="H34" s="657"/>
      <c r="I34" s="657"/>
      <c r="J34" s="650"/>
      <c r="K34" s="657"/>
      <c r="L34" s="657"/>
      <c r="M34" s="673"/>
      <c r="N34" s="657"/>
      <c r="O34" s="650">
        <v>15</v>
      </c>
      <c r="P34" s="445">
        <v>20</v>
      </c>
      <c r="Q34" s="446">
        <f>+P34</f>
        <v>20</v>
      </c>
    </row>
    <row r="35" spans="1:17" s="110" customFormat="1" ht="12.75" customHeight="1" x14ac:dyDescent="0.25">
      <c r="A35" s="103"/>
      <c r="B35" s="104"/>
      <c r="C35" s="394" t="s">
        <v>134</v>
      </c>
      <c r="D35" s="438" t="s">
        <v>185</v>
      </c>
      <c r="E35" s="658" t="s">
        <v>22</v>
      </c>
      <c r="F35" s="655">
        <v>1</v>
      </c>
      <c r="G35" s="664"/>
      <c r="H35" s="664"/>
      <c r="I35" s="664"/>
      <c r="J35" s="651"/>
      <c r="K35" s="670"/>
      <c r="L35" s="670"/>
      <c r="M35" s="675"/>
      <c r="N35" s="679"/>
      <c r="O35" s="652">
        <v>50</v>
      </c>
      <c r="P35" s="654">
        <v>60</v>
      </c>
      <c r="Q35" s="446">
        <f>+P35</f>
        <v>60</v>
      </c>
    </row>
    <row r="36" spans="1:17" s="110" customFormat="1" ht="12.75" customHeight="1" x14ac:dyDescent="0.25">
      <c r="A36" s="103"/>
      <c r="B36" s="104"/>
      <c r="C36" s="394" t="s">
        <v>281</v>
      </c>
      <c r="D36" s="438" t="s">
        <v>280</v>
      </c>
      <c r="E36" s="660" t="s">
        <v>22</v>
      </c>
      <c r="F36" s="541">
        <v>1</v>
      </c>
      <c r="G36" s="665"/>
      <c r="H36" s="665"/>
      <c r="I36" s="665"/>
      <c r="J36" s="542"/>
      <c r="K36" s="671"/>
      <c r="L36" s="671"/>
      <c r="M36" s="676"/>
      <c r="N36" s="680"/>
      <c r="O36" s="543">
        <v>10</v>
      </c>
      <c r="P36" s="445">
        <f>O36*F36</f>
        <v>10</v>
      </c>
      <c r="Q36" s="446">
        <f>+P36</f>
        <v>10</v>
      </c>
    </row>
    <row r="37" spans="1:17" s="122" customFormat="1" ht="12.75" customHeight="1" x14ac:dyDescent="0.2">
      <c r="A37" s="117"/>
      <c r="B37" s="118"/>
      <c r="C37" s="389" t="s">
        <v>118</v>
      </c>
      <c r="D37" s="378" t="s">
        <v>33</v>
      </c>
      <c r="E37" s="153"/>
      <c r="F37" s="661"/>
      <c r="G37" s="120"/>
      <c r="H37" s="120"/>
      <c r="I37" s="120"/>
      <c r="J37" s="661"/>
      <c r="K37" s="120"/>
      <c r="L37" s="121"/>
      <c r="M37" s="668"/>
      <c r="N37" s="120"/>
      <c r="O37" s="663"/>
      <c r="P37" s="131"/>
      <c r="Q37" s="120"/>
    </row>
    <row r="38" spans="1:17" s="112" customFormat="1" ht="12.6" customHeight="1" x14ac:dyDescent="0.2">
      <c r="A38" s="123"/>
      <c r="B38" s="124"/>
      <c r="C38" s="390" t="s">
        <v>119</v>
      </c>
      <c r="D38" s="381" t="s">
        <v>101</v>
      </c>
      <c r="E38" s="126" t="s">
        <v>22</v>
      </c>
      <c r="F38" s="662">
        <v>8</v>
      </c>
      <c r="G38" s="149"/>
      <c r="H38" s="149"/>
      <c r="I38" s="149"/>
      <c r="J38" s="662">
        <v>1</v>
      </c>
      <c r="K38" s="111"/>
      <c r="L38" s="128"/>
      <c r="M38" s="678"/>
      <c r="N38" s="111"/>
      <c r="O38" s="672"/>
      <c r="P38" s="111"/>
      <c r="Q38" s="128">
        <f>PRODUCT(F38:J38)</f>
        <v>8</v>
      </c>
    </row>
    <row r="39" spans="1:17" s="122" customFormat="1" ht="15" customHeight="1" x14ac:dyDescent="0.2">
      <c r="A39" s="117"/>
      <c r="B39" s="118"/>
      <c r="C39" s="391"/>
      <c r="D39" s="380" t="s">
        <v>174</v>
      </c>
      <c r="E39" s="367" t="s">
        <v>18</v>
      </c>
      <c r="F39" s="656">
        <v>1</v>
      </c>
      <c r="G39" s="316">
        <f>0.4/2</f>
        <v>0.2</v>
      </c>
      <c r="H39" s="316">
        <f>3.14</f>
        <v>3.14</v>
      </c>
      <c r="I39" s="316"/>
      <c r="J39" s="667">
        <v>1</v>
      </c>
      <c r="K39" s="316"/>
      <c r="L39" s="317">
        <f>+H39*(G39*G39)</f>
        <v>0.12560000000000002</v>
      </c>
      <c r="M39" s="669"/>
      <c r="N39" s="666"/>
      <c r="O39" s="316"/>
      <c r="P39" s="318">
        <f>+L39*$U$14</f>
        <v>0.13188000000000002</v>
      </c>
      <c r="Q39" s="495">
        <f>P39*$Q$38</f>
        <v>1.0550400000000002</v>
      </c>
    </row>
    <row r="40" spans="1:17" s="122" customFormat="1" ht="12.75" x14ac:dyDescent="0.2">
      <c r="A40" s="117"/>
      <c r="B40" s="118"/>
      <c r="C40" s="391"/>
      <c r="D40" s="382" t="s">
        <v>126</v>
      </c>
      <c r="E40" s="130" t="s">
        <v>21</v>
      </c>
      <c r="F40" s="119">
        <v>6</v>
      </c>
      <c r="G40" s="120">
        <v>1</v>
      </c>
      <c r="H40" s="120"/>
      <c r="I40" s="120"/>
      <c r="J40" s="661">
        <v>1</v>
      </c>
      <c r="K40" s="121">
        <f>+PRODUCT(F40:J40)</f>
        <v>6</v>
      </c>
      <c r="L40" s="121"/>
      <c r="M40" s="668"/>
      <c r="N40" s="120"/>
      <c r="O40" s="120"/>
      <c r="P40" s="131">
        <f>+K40*$U$14</f>
        <v>6.3000000000000007</v>
      </c>
      <c r="Q40" s="495">
        <f>P40*$Q$38</f>
        <v>50.400000000000006</v>
      </c>
    </row>
    <row r="41" spans="1:17" s="122" customFormat="1" ht="12.75" x14ac:dyDescent="0.2">
      <c r="A41" s="117"/>
      <c r="B41" s="118"/>
      <c r="C41" s="391"/>
      <c r="D41" s="382" t="s">
        <v>175</v>
      </c>
      <c r="E41" s="130" t="s">
        <v>93</v>
      </c>
      <c r="F41" s="119">
        <v>12</v>
      </c>
      <c r="G41" s="120"/>
      <c r="H41" s="120"/>
      <c r="I41" s="120"/>
      <c r="J41" s="119">
        <v>1</v>
      </c>
      <c r="K41" s="121"/>
      <c r="L41" s="121"/>
      <c r="M41" s="121"/>
      <c r="N41" s="120"/>
      <c r="O41" s="120"/>
      <c r="P41" s="131">
        <f>+PRODUCT(F41:J41)</f>
        <v>12</v>
      </c>
      <c r="Q41" s="495">
        <f>P41*$Q$38</f>
        <v>96</v>
      </c>
    </row>
    <row r="42" spans="1:17" s="122" customFormat="1" ht="12.75" x14ac:dyDescent="0.2">
      <c r="A42" s="117"/>
      <c r="B42" s="118"/>
      <c r="C42" s="391"/>
      <c r="D42" s="382" t="s">
        <v>225</v>
      </c>
      <c r="E42" s="130" t="s">
        <v>93</v>
      </c>
      <c r="F42" s="119">
        <v>6</v>
      </c>
      <c r="G42" s="120"/>
      <c r="H42" s="120"/>
      <c r="I42" s="120"/>
      <c r="J42" s="119">
        <v>1</v>
      </c>
      <c r="K42" s="121"/>
      <c r="L42" s="121"/>
      <c r="M42" s="121"/>
      <c r="N42" s="120"/>
      <c r="O42" s="120"/>
      <c r="P42" s="131">
        <f>+PRODUCT(F42:J42)</f>
        <v>6</v>
      </c>
      <c r="Q42" s="495">
        <f>P42*$Q$38</f>
        <v>48</v>
      </c>
    </row>
    <row r="43" spans="1:17" s="122" customFormat="1" ht="12.75" x14ac:dyDescent="0.2">
      <c r="A43" s="117"/>
      <c r="B43" s="118"/>
      <c r="C43" s="391"/>
      <c r="D43" s="387" t="s">
        <v>284</v>
      </c>
      <c r="E43" s="367" t="s">
        <v>19</v>
      </c>
      <c r="F43" s="315">
        <v>1</v>
      </c>
      <c r="G43" s="316"/>
      <c r="H43" s="316"/>
      <c r="I43" s="316"/>
      <c r="J43" s="315">
        <v>1</v>
      </c>
      <c r="K43" s="317"/>
      <c r="L43" s="317">
        <f>1400*0.00377</f>
        <v>5.2779999999999996</v>
      </c>
      <c r="M43" s="317"/>
      <c r="N43" s="316"/>
      <c r="O43" s="316"/>
      <c r="P43" s="318">
        <f>+PRODUCT(F43:J43)*L43*1.1</f>
        <v>5.8057999999999996</v>
      </c>
      <c r="Q43" s="497">
        <f t="shared" ref="Q43" si="0">P43*$Q$38</f>
        <v>46.446399999999997</v>
      </c>
    </row>
    <row r="44" spans="1:17" s="116" customFormat="1" ht="12.75" x14ac:dyDescent="0.2">
      <c r="A44" s="132"/>
      <c r="B44" s="133"/>
      <c r="C44" s="390" t="s">
        <v>138</v>
      </c>
      <c r="D44" s="385" t="s">
        <v>177</v>
      </c>
      <c r="E44" s="114" t="s">
        <v>22</v>
      </c>
      <c r="F44" s="134">
        <v>4</v>
      </c>
      <c r="G44" s="120"/>
      <c r="H44" s="120"/>
      <c r="I44" s="120"/>
      <c r="J44" s="134">
        <v>1</v>
      </c>
      <c r="K44" s="131"/>
      <c r="L44" s="115"/>
      <c r="M44" s="135"/>
      <c r="N44" s="131"/>
      <c r="O44" s="131"/>
      <c r="P44" s="131"/>
      <c r="Q44" s="115">
        <f>PRODUCT(F44:J44)</f>
        <v>4</v>
      </c>
    </row>
    <row r="45" spans="1:17" s="116" customFormat="1" ht="12.75" x14ac:dyDescent="0.2">
      <c r="A45" s="132"/>
      <c r="B45" s="133"/>
      <c r="C45" s="390"/>
      <c r="D45" s="383" t="s">
        <v>127</v>
      </c>
      <c r="E45" s="370" t="s">
        <v>21</v>
      </c>
      <c r="F45" s="119">
        <v>1</v>
      </c>
      <c r="G45" s="120">
        <v>9</v>
      </c>
      <c r="H45" s="120"/>
      <c r="I45" s="120"/>
      <c r="J45" s="134">
        <v>1</v>
      </c>
      <c r="K45" s="121">
        <f>+PRODUCT(F45:J45)</f>
        <v>9</v>
      </c>
      <c r="L45" s="115"/>
      <c r="M45" s="135"/>
      <c r="N45" s="131"/>
      <c r="O45" s="131"/>
      <c r="P45" s="131">
        <f>+K45*$U$14</f>
        <v>9.4500000000000011</v>
      </c>
      <c r="Q45" s="496">
        <f>P45*$Q$44</f>
        <v>37.800000000000004</v>
      </c>
    </row>
    <row r="46" spans="1:17" s="122" customFormat="1" ht="12.75" customHeight="1" x14ac:dyDescent="0.2">
      <c r="A46" s="117"/>
      <c r="B46" s="118"/>
      <c r="C46" s="392"/>
      <c r="D46" s="382" t="s">
        <v>129</v>
      </c>
      <c r="E46" s="367" t="s">
        <v>18</v>
      </c>
      <c r="F46" s="315">
        <v>1</v>
      </c>
      <c r="G46" s="316"/>
      <c r="H46" s="316"/>
      <c r="I46" s="316"/>
      <c r="J46" s="315">
        <v>1</v>
      </c>
      <c r="K46" s="316"/>
      <c r="L46" s="121"/>
      <c r="M46" s="121"/>
      <c r="N46" s="120"/>
      <c r="O46" s="120"/>
      <c r="P46" s="131">
        <f>+SUM(L47:L50)*$U$14</f>
        <v>0.44950500000000004</v>
      </c>
      <c r="Q46" s="496">
        <f>P46*$Q$44</f>
        <v>1.7980200000000002</v>
      </c>
    </row>
    <row r="47" spans="1:17" s="122" customFormat="1" ht="12.75" customHeight="1" x14ac:dyDescent="0.2">
      <c r="A47" s="117"/>
      <c r="B47" s="118"/>
      <c r="C47" s="392"/>
      <c r="D47" s="396" t="s">
        <v>128</v>
      </c>
      <c r="E47" s="367" t="s">
        <v>18</v>
      </c>
      <c r="F47" s="119">
        <v>1</v>
      </c>
      <c r="G47" s="120">
        <v>0.6</v>
      </c>
      <c r="H47" s="120">
        <v>0.4</v>
      </c>
      <c r="I47" s="120"/>
      <c r="J47" s="119">
        <v>1</v>
      </c>
      <c r="K47" s="121"/>
      <c r="L47" s="121">
        <f>+PRODUCT(F47:J47)</f>
        <v>0.24</v>
      </c>
      <c r="M47" s="121"/>
      <c r="N47" s="120"/>
      <c r="O47" s="120"/>
      <c r="P47" s="131"/>
      <c r="Q47" s="495"/>
    </row>
    <row r="48" spans="1:17" s="122" customFormat="1" ht="12.75" customHeight="1" x14ac:dyDescent="0.2">
      <c r="A48" s="117"/>
      <c r="B48" s="118"/>
      <c r="C48" s="392"/>
      <c r="D48" s="396" t="s">
        <v>130</v>
      </c>
      <c r="E48" s="367" t="s">
        <v>18</v>
      </c>
      <c r="F48" s="119">
        <v>3</v>
      </c>
      <c r="G48" s="120">
        <v>0.17</v>
      </c>
      <c r="H48" s="120">
        <v>0.11</v>
      </c>
      <c r="I48" s="120"/>
      <c r="J48" s="119">
        <v>1</v>
      </c>
      <c r="K48" s="121"/>
      <c r="L48" s="121">
        <f>+PRODUCT(F48:J48)</f>
        <v>5.6100000000000004E-2</v>
      </c>
      <c r="M48" s="121"/>
      <c r="N48" s="120"/>
      <c r="O48" s="120"/>
      <c r="P48" s="131"/>
      <c r="Q48" s="495"/>
    </row>
    <row r="49" spans="1:17" s="122" customFormat="1" ht="12.75" customHeight="1" x14ac:dyDescent="0.2">
      <c r="A49" s="117"/>
      <c r="B49" s="118"/>
      <c r="C49" s="392"/>
      <c r="D49" s="396" t="s">
        <v>122</v>
      </c>
      <c r="E49" s="367" t="s">
        <v>18</v>
      </c>
      <c r="F49" s="119">
        <v>2</v>
      </c>
      <c r="G49" s="120">
        <v>0.27</v>
      </c>
      <c r="H49" s="120">
        <v>0.2</v>
      </c>
      <c r="I49" s="120"/>
      <c r="J49" s="119">
        <v>1</v>
      </c>
      <c r="K49" s="121"/>
      <c r="L49" s="121">
        <f>+PRODUCT(F49:J49)</f>
        <v>0.10800000000000001</v>
      </c>
      <c r="M49" s="121"/>
      <c r="N49" s="120"/>
      <c r="O49" s="120"/>
      <c r="P49" s="131"/>
      <c r="Q49" s="495"/>
    </row>
    <row r="50" spans="1:17" s="122" customFormat="1" ht="12.75" customHeight="1" x14ac:dyDescent="0.2">
      <c r="A50" s="117"/>
      <c r="B50" s="118"/>
      <c r="C50" s="392"/>
      <c r="D50" s="396" t="s">
        <v>131</v>
      </c>
      <c r="E50" s="367" t="s">
        <v>18</v>
      </c>
      <c r="F50" s="119">
        <v>1</v>
      </c>
      <c r="G50" s="120">
        <v>0.2</v>
      </c>
      <c r="H50" s="120">
        <v>0.12</v>
      </c>
      <c r="I50" s="120"/>
      <c r="J50" s="119">
        <v>1</v>
      </c>
      <c r="K50" s="121"/>
      <c r="L50" s="121">
        <f>+PRODUCT(F50:J50)</f>
        <v>2.4E-2</v>
      </c>
      <c r="M50" s="121"/>
      <c r="N50" s="120"/>
      <c r="O50" s="120"/>
      <c r="P50" s="131"/>
      <c r="Q50" s="495"/>
    </row>
    <row r="51" spans="1:17" s="122" customFormat="1" ht="12.75" customHeight="1" x14ac:dyDescent="0.2">
      <c r="A51" s="117"/>
      <c r="B51" s="118"/>
      <c r="C51" s="392"/>
      <c r="D51" s="396" t="s">
        <v>188</v>
      </c>
      <c r="E51" s="367" t="s">
        <v>18</v>
      </c>
      <c r="F51" s="119">
        <v>1</v>
      </c>
      <c r="G51" s="120">
        <v>0.6</v>
      </c>
      <c r="H51" s="120">
        <v>0.4</v>
      </c>
      <c r="I51" s="120"/>
      <c r="J51" s="119">
        <v>1</v>
      </c>
      <c r="K51" s="121"/>
      <c r="L51" s="121">
        <f>+PRODUCT(F51:J51)</f>
        <v>0.24</v>
      </c>
      <c r="M51" s="121"/>
      <c r="N51" s="120"/>
      <c r="O51" s="120"/>
      <c r="P51" s="131">
        <f>L51</f>
        <v>0.24</v>
      </c>
      <c r="Q51" s="496">
        <f>P51*$Q$44</f>
        <v>0.96</v>
      </c>
    </row>
    <row r="52" spans="1:17" s="122" customFormat="1" ht="12.75" customHeight="1" x14ac:dyDescent="0.2">
      <c r="A52" s="117"/>
      <c r="B52" s="118"/>
      <c r="C52" s="392"/>
      <c r="D52" s="384" t="s">
        <v>102</v>
      </c>
      <c r="E52" s="130" t="s">
        <v>19</v>
      </c>
      <c r="F52" s="119"/>
      <c r="G52" s="120"/>
      <c r="H52" s="120"/>
      <c r="I52" s="120"/>
      <c r="J52" s="119"/>
      <c r="K52" s="120"/>
      <c r="L52" s="121"/>
      <c r="M52" s="121"/>
      <c r="N52" s="120"/>
      <c r="O52" s="120"/>
      <c r="P52" s="131">
        <f>Anexo!D53</f>
        <v>2.8932150000000001</v>
      </c>
      <c r="Q52" s="496">
        <f>P52*$Q$44</f>
        <v>11.57286</v>
      </c>
    </row>
    <row r="53" spans="1:17" s="122" customFormat="1" ht="12.75" customHeight="1" x14ac:dyDescent="0.2">
      <c r="A53" s="117"/>
      <c r="B53" s="118"/>
      <c r="C53" s="392"/>
      <c r="D53" s="384" t="s">
        <v>124</v>
      </c>
      <c r="E53" s="130" t="s">
        <v>19</v>
      </c>
      <c r="F53" s="119"/>
      <c r="G53" s="120"/>
      <c r="H53" s="120"/>
      <c r="I53" s="120"/>
      <c r="J53" s="119"/>
      <c r="K53" s="120"/>
      <c r="L53" s="121"/>
      <c r="M53" s="121"/>
      <c r="N53" s="120"/>
      <c r="O53" s="120"/>
      <c r="P53" s="131">
        <f>Anexo!D54</f>
        <v>0.44862750000000001</v>
      </c>
      <c r="Q53" s="496">
        <f>P53*$Q$44</f>
        <v>1.79451</v>
      </c>
    </row>
    <row r="54" spans="1:17" s="122" customFormat="1" ht="12.75" customHeight="1" x14ac:dyDescent="0.2">
      <c r="A54" s="117"/>
      <c r="B54" s="118"/>
      <c r="C54" s="390" t="s">
        <v>157</v>
      </c>
      <c r="D54" s="385" t="s">
        <v>176</v>
      </c>
      <c r="E54" s="114" t="s">
        <v>22</v>
      </c>
      <c r="F54" s="134">
        <v>4</v>
      </c>
      <c r="G54" s="120"/>
      <c r="H54" s="120"/>
      <c r="I54" s="120"/>
      <c r="J54" s="134">
        <v>1</v>
      </c>
      <c r="K54" s="131"/>
      <c r="L54" s="115"/>
      <c r="M54" s="135"/>
      <c r="N54" s="131"/>
      <c r="O54" s="131"/>
      <c r="P54" s="131"/>
      <c r="Q54" s="115">
        <f>PRODUCT(F54:J54)</f>
        <v>4</v>
      </c>
    </row>
    <row r="55" spans="1:17" s="122" customFormat="1" ht="12.75" customHeight="1" x14ac:dyDescent="0.2">
      <c r="A55" s="117"/>
      <c r="B55" s="118"/>
      <c r="C55" s="390"/>
      <c r="D55" s="383" t="s">
        <v>127</v>
      </c>
      <c r="E55" s="370" t="s">
        <v>21</v>
      </c>
      <c r="F55" s="119">
        <v>1</v>
      </c>
      <c r="G55" s="120">
        <v>5.5</v>
      </c>
      <c r="H55" s="120"/>
      <c r="I55" s="120"/>
      <c r="J55" s="134">
        <v>1</v>
      </c>
      <c r="K55" s="121">
        <f>+PRODUCT(F55:J55)</f>
        <v>5.5</v>
      </c>
      <c r="L55" s="115"/>
      <c r="M55" s="135"/>
      <c r="N55" s="131"/>
      <c r="O55" s="131"/>
      <c r="P55" s="131">
        <f>+K55*$U$14</f>
        <v>5.7750000000000004</v>
      </c>
      <c r="Q55" s="496">
        <f>P55*$Q$54</f>
        <v>23.1</v>
      </c>
    </row>
    <row r="56" spans="1:17" s="122" customFormat="1" ht="12.75" customHeight="1" x14ac:dyDescent="0.2">
      <c r="A56" s="117"/>
      <c r="B56" s="118"/>
      <c r="C56" s="392"/>
      <c r="D56" s="382" t="s">
        <v>129</v>
      </c>
      <c r="E56" s="367" t="s">
        <v>18</v>
      </c>
      <c r="F56" s="315">
        <v>1</v>
      </c>
      <c r="G56" s="316"/>
      <c r="H56" s="316"/>
      <c r="I56" s="316"/>
      <c r="J56" s="315">
        <v>1</v>
      </c>
      <c r="K56" s="316"/>
      <c r="L56" s="121"/>
      <c r="M56" s="121"/>
      <c r="N56" s="120"/>
      <c r="O56" s="120"/>
      <c r="P56" s="131">
        <f>+SUM(L57:L60)*$U$14</f>
        <v>0.44950500000000004</v>
      </c>
      <c r="Q56" s="496">
        <f>P56*$Q$54</f>
        <v>1.7980200000000002</v>
      </c>
    </row>
    <row r="57" spans="1:17" s="122" customFormat="1" ht="12.75" customHeight="1" x14ac:dyDescent="0.2">
      <c r="A57" s="117"/>
      <c r="B57" s="118"/>
      <c r="C57" s="392"/>
      <c r="D57" s="396" t="s">
        <v>128</v>
      </c>
      <c r="E57" s="367" t="s">
        <v>18</v>
      </c>
      <c r="F57" s="119">
        <v>1</v>
      </c>
      <c r="G57" s="120">
        <v>0.6</v>
      </c>
      <c r="H57" s="120">
        <v>0.4</v>
      </c>
      <c r="I57" s="120"/>
      <c r="J57" s="119">
        <v>1</v>
      </c>
      <c r="K57" s="121"/>
      <c r="L57" s="121">
        <f>+PRODUCT(F57:J57)</f>
        <v>0.24</v>
      </c>
      <c r="M57" s="121"/>
      <c r="N57" s="120"/>
      <c r="O57" s="120"/>
      <c r="P57" s="131"/>
      <c r="Q57" s="495"/>
    </row>
    <row r="58" spans="1:17" s="122" customFormat="1" ht="12.75" customHeight="1" x14ac:dyDescent="0.2">
      <c r="A58" s="117"/>
      <c r="B58" s="118"/>
      <c r="C58" s="392"/>
      <c r="D58" s="396" t="s">
        <v>130</v>
      </c>
      <c r="E58" s="367" t="s">
        <v>18</v>
      </c>
      <c r="F58" s="119">
        <v>3</v>
      </c>
      <c r="G58" s="120">
        <v>0.17</v>
      </c>
      <c r="H58" s="120">
        <v>0.11</v>
      </c>
      <c r="I58" s="120"/>
      <c r="J58" s="119">
        <v>1</v>
      </c>
      <c r="K58" s="121"/>
      <c r="L58" s="121">
        <f>+PRODUCT(F58:J58)</f>
        <v>5.6100000000000004E-2</v>
      </c>
      <c r="M58" s="121"/>
      <c r="N58" s="120"/>
      <c r="O58" s="120"/>
      <c r="P58" s="131"/>
      <c r="Q58" s="495"/>
    </row>
    <row r="59" spans="1:17" s="122" customFormat="1" ht="12.75" customHeight="1" x14ac:dyDescent="0.2">
      <c r="A59" s="117"/>
      <c r="B59" s="118"/>
      <c r="C59" s="392"/>
      <c r="D59" s="396" t="s">
        <v>122</v>
      </c>
      <c r="E59" s="367" t="s">
        <v>18</v>
      </c>
      <c r="F59" s="119">
        <v>2</v>
      </c>
      <c r="G59" s="120">
        <v>0.27</v>
      </c>
      <c r="H59" s="120">
        <v>0.2</v>
      </c>
      <c r="I59" s="120"/>
      <c r="J59" s="119">
        <v>1</v>
      </c>
      <c r="K59" s="121"/>
      <c r="L59" s="121">
        <f>+PRODUCT(F59:J59)</f>
        <v>0.10800000000000001</v>
      </c>
      <c r="M59" s="121"/>
      <c r="N59" s="120"/>
      <c r="O59" s="120"/>
      <c r="P59" s="131"/>
      <c r="Q59" s="495"/>
    </row>
    <row r="60" spans="1:17" s="122" customFormat="1" ht="12.75" customHeight="1" x14ac:dyDescent="0.2">
      <c r="A60" s="117"/>
      <c r="B60" s="118"/>
      <c r="C60" s="392"/>
      <c r="D60" s="396" t="s">
        <v>131</v>
      </c>
      <c r="E60" s="367" t="s">
        <v>18</v>
      </c>
      <c r="F60" s="119">
        <v>1</v>
      </c>
      <c r="G60" s="120">
        <v>0.2</v>
      </c>
      <c r="H60" s="120">
        <v>0.12</v>
      </c>
      <c r="I60" s="120"/>
      <c r="J60" s="119">
        <v>1</v>
      </c>
      <c r="K60" s="121"/>
      <c r="L60" s="121">
        <f>+PRODUCT(F60:J60)</f>
        <v>2.4E-2</v>
      </c>
      <c r="M60" s="121"/>
      <c r="N60" s="120"/>
      <c r="O60" s="120"/>
      <c r="P60" s="131"/>
      <c r="Q60" s="495"/>
    </row>
    <row r="61" spans="1:17" s="122" customFormat="1" ht="12.75" customHeight="1" x14ac:dyDescent="0.2">
      <c r="A61" s="117"/>
      <c r="B61" s="118"/>
      <c r="C61" s="392"/>
      <c r="D61" s="396" t="s">
        <v>188</v>
      </c>
      <c r="E61" s="367" t="s">
        <v>18</v>
      </c>
      <c r="F61" s="119">
        <v>1</v>
      </c>
      <c r="G61" s="120">
        <v>0.6</v>
      </c>
      <c r="H61" s="120">
        <v>0.4</v>
      </c>
      <c r="I61" s="120"/>
      <c r="J61" s="119">
        <v>1</v>
      </c>
      <c r="K61" s="121"/>
      <c r="L61" s="121">
        <f>+PRODUCT(F61:J61)</f>
        <v>0.24</v>
      </c>
      <c r="M61" s="121"/>
      <c r="N61" s="120"/>
      <c r="O61" s="120"/>
      <c r="P61" s="131">
        <f>L61</f>
        <v>0.24</v>
      </c>
      <c r="Q61" s="496">
        <f>P61*$Q$54</f>
        <v>0.96</v>
      </c>
    </row>
    <row r="62" spans="1:17" s="122" customFormat="1" ht="12.75" customHeight="1" x14ac:dyDescent="0.2">
      <c r="A62" s="117"/>
      <c r="B62" s="118"/>
      <c r="C62" s="392"/>
      <c r="D62" s="384" t="s">
        <v>102</v>
      </c>
      <c r="E62" s="130" t="s">
        <v>19</v>
      </c>
      <c r="F62" s="119"/>
      <c r="G62" s="120"/>
      <c r="H62" s="120"/>
      <c r="I62" s="120"/>
      <c r="J62" s="119"/>
      <c r="K62" s="120"/>
      <c r="L62" s="121"/>
      <c r="M62" s="121"/>
      <c r="N62" s="120"/>
      <c r="O62" s="120"/>
      <c r="P62" s="131">
        <f>Anexo!D109</f>
        <v>2.2950450000000004</v>
      </c>
      <c r="Q62" s="496">
        <f>P62*$Q$54</f>
        <v>9.1801800000000018</v>
      </c>
    </row>
    <row r="63" spans="1:17" s="122" customFormat="1" ht="12.75" customHeight="1" x14ac:dyDescent="0.2">
      <c r="A63" s="117"/>
      <c r="B63" s="118"/>
      <c r="C63" s="392"/>
      <c r="D63" s="384" t="s">
        <v>124</v>
      </c>
      <c r="E63" s="130" t="s">
        <v>19</v>
      </c>
      <c r="F63" s="119"/>
      <c r="G63" s="120"/>
      <c r="H63" s="120"/>
      <c r="I63" s="120"/>
      <c r="J63" s="119"/>
      <c r="K63" s="120"/>
      <c r="L63" s="121"/>
      <c r="M63" s="121"/>
      <c r="N63" s="120"/>
      <c r="O63" s="120"/>
      <c r="P63" s="131">
        <f>Anexo!D110</f>
        <v>0.29908499999999999</v>
      </c>
      <c r="Q63" s="496">
        <f>P63*$Q$44</f>
        <v>1.19634</v>
      </c>
    </row>
    <row r="64" spans="1:17" s="122" customFormat="1" ht="12.75" customHeight="1" x14ac:dyDescent="0.2">
      <c r="A64" s="117"/>
      <c r="B64" s="118"/>
      <c r="C64" s="390" t="s">
        <v>158</v>
      </c>
      <c r="D64" s="385" t="s">
        <v>178</v>
      </c>
      <c r="E64" s="114" t="s">
        <v>22</v>
      </c>
      <c r="F64" s="134">
        <v>4</v>
      </c>
      <c r="G64" s="120"/>
      <c r="H64" s="120"/>
      <c r="I64" s="120"/>
      <c r="J64" s="134">
        <v>1</v>
      </c>
      <c r="K64" s="131"/>
      <c r="L64" s="115"/>
      <c r="M64" s="135"/>
      <c r="N64" s="131"/>
      <c r="O64" s="131"/>
      <c r="P64" s="131"/>
      <c r="Q64" s="115">
        <f>PRODUCT(F64:J64)</f>
        <v>4</v>
      </c>
    </row>
    <row r="65" spans="1:17" s="122" customFormat="1" ht="12.75" customHeight="1" x14ac:dyDescent="0.2">
      <c r="A65" s="117"/>
      <c r="B65" s="118"/>
      <c r="C65" s="391"/>
      <c r="D65" s="382" t="s">
        <v>269</v>
      </c>
      <c r="E65" s="130" t="s">
        <v>21</v>
      </c>
      <c r="F65" s="119">
        <v>1</v>
      </c>
      <c r="G65" s="120">
        <v>55.3</v>
      </c>
      <c r="H65" s="120"/>
      <c r="I65" s="120"/>
      <c r="J65" s="119">
        <v>1</v>
      </c>
      <c r="K65" s="121">
        <f>+PRODUCT(F65:J65)</f>
        <v>55.3</v>
      </c>
      <c r="L65" s="121"/>
      <c r="M65" s="121"/>
      <c r="N65" s="120"/>
      <c r="O65" s="120"/>
      <c r="P65" s="131">
        <f>+SUM(K65)*1.18</f>
        <v>65.253999999999991</v>
      </c>
      <c r="Q65" s="495">
        <f>P65*$Q$64</f>
        <v>261.01599999999996</v>
      </c>
    </row>
    <row r="66" spans="1:17" s="122" customFormat="1" ht="12.75" customHeight="1" x14ac:dyDescent="0.2">
      <c r="A66" s="117"/>
      <c r="B66" s="118"/>
      <c r="C66" s="391"/>
      <c r="D66" s="382" t="s">
        <v>179</v>
      </c>
      <c r="E66" s="130" t="s">
        <v>21</v>
      </c>
      <c r="F66" s="119">
        <v>1</v>
      </c>
      <c r="G66" s="120">
        <v>71.61</v>
      </c>
      <c r="H66" s="120"/>
      <c r="I66" s="120"/>
      <c r="J66" s="119">
        <v>1</v>
      </c>
      <c r="K66" s="121">
        <f>+PRODUCT(F66:J66)</f>
        <v>71.61</v>
      </c>
      <c r="L66" s="121"/>
      <c r="M66" s="121"/>
      <c r="N66" s="120"/>
      <c r="O66" s="120"/>
      <c r="P66" s="131">
        <f>+SUM(K66)*1.1</f>
        <v>78.771000000000001</v>
      </c>
      <c r="Q66" s="495">
        <f>P66*$Q$64</f>
        <v>315.084</v>
      </c>
    </row>
    <row r="67" spans="1:17" s="122" customFormat="1" ht="12.75" customHeight="1" x14ac:dyDescent="0.2">
      <c r="A67" s="117"/>
      <c r="B67" s="118"/>
      <c r="C67" s="391"/>
      <c r="D67" s="382" t="s">
        <v>129</v>
      </c>
      <c r="E67" s="367" t="s">
        <v>18</v>
      </c>
      <c r="F67" s="315">
        <v>1</v>
      </c>
      <c r="G67" s="316"/>
      <c r="H67" s="316"/>
      <c r="I67" s="316"/>
      <c r="J67" s="315">
        <v>1</v>
      </c>
      <c r="K67" s="316"/>
      <c r="L67" s="121"/>
      <c r="M67" s="121"/>
      <c r="N67" s="120"/>
      <c r="O67" s="120"/>
      <c r="P67" s="131">
        <f>+SUM(L68:L69)*$U$14</f>
        <v>0.72239999999999993</v>
      </c>
      <c r="Q67" s="495">
        <f>P67*$Q$64</f>
        <v>2.8895999999999997</v>
      </c>
    </row>
    <row r="68" spans="1:17" s="122" customFormat="1" ht="12.75" customHeight="1" x14ac:dyDescent="0.2">
      <c r="A68" s="117"/>
      <c r="B68" s="118"/>
      <c r="C68" s="391"/>
      <c r="D68" s="396" t="s">
        <v>132</v>
      </c>
      <c r="E68" s="367" t="s">
        <v>18</v>
      </c>
      <c r="F68" s="119">
        <v>2</v>
      </c>
      <c r="G68" s="120">
        <v>0.6</v>
      </c>
      <c r="H68" s="120">
        <v>0.4</v>
      </c>
      <c r="I68" s="120"/>
      <c r="J68" s="119">
        <v>1</v>
      </c>
      <c r="K68" s="121"/>
      <c r="L68" s="121">
        <f>+PRODUCT(F68:J68)</f>
        <v>0.48</v>
      </c>
      <c r="M68" s="121"/>
      <c r="N68" s="120"/>
      <c r="O68" s="120"/>
      <c r="P68" s="131"/>
      <c r="Q68" s="495"/>
    </row>
    <row r="69" spans="1:17" s="122" customFormat="1" ht="12.75" customHeight="1" x14ac:dyDescent="0.2">
      <c r="A69" s="117"/>
      <c r="B69" s="118"/>
      <c r="C69" s="391"/>
      <c r="D69" s="396" t="s">
        <v>121</v>
      </c>
      <c r="E69" s="367" t="s">
        <v>18</v>
      </c>
      <c r="F69" s="119">
        <v>10</v>
      </c>
      <c r="G69" s="120">
        <v>0.13</v>
      </c>
      <c r="H69" s="120">
        <v>0.16</v>
      </c>
      <c r="I69" s="120"/>
      <c r="J69" s="119">
        <v>1</v>
      </c>
      <c r="K69" s="121"/>
      <c r="L69" s="121">
        <f>+PRODUCT(F69:J69)</f>
        <v>0.20800000000000002</v>
      </c>
      <c r="M69" s="121"/>
      <c r="N69" s="120"/>
      <c r="O69" s="120"/>
      <c r="P69" s="131"/>
      <c r="Q69" s="495"/>
    </row>
    <row r="70" spans="1:17" s="122" customFormat="1" ht="12.75" customHeight="1" x14ac:dyDescent="0.2">
      <c r="A70" s="117"/>
      <c r="B70" s="118"/>
      <c r="C70" s="391"/>
      <c r="D70" s="382" t="s">
        <v>120</v>
      </c>
      <c r="E70" s="367" t="s">
        <v>18</v>
      </c>
      <c r="F70" s="315">
        <v>1</v>
      </c>
      <c r="G70" s="316"/>
      <c r="H70" s="316"/>
      <c r="I70" s="316"/>
      <c r="J70" s="315">
        <v>1</v>
      </c>
      <c r="K70" s="316"/>
      <c r="L70" s="121"/>
      <c r="M70" s="121"/>
      <c r="N70" s="120"/>
      <c r="O70" s="120"/>
      <c r="P70" s="131">
        <f>+SUM(L71:L72)*$U$14</f>
        <v>2.1524999999999999</v>
      </c>
      <c r="Q70" s="495">
        <f>P70*$Q$64</f>
        <v>8.61</v>
      </c>
    </row>
    <row r="71" spans="1:17" s="122" customFormat="1" ht="12.75" customHeight="1" x14ac:dyDescent="0.2">
      <c r="A71" s="117"/>
      <c r="B71" s="118"/>
      <c r="C71" s="391"/>
      <c r="D71" s="396" t="s">
        <v>180</v>
      </c>
      <c r="E71" s="367" t="s">
        <v>18</v>
      </c>
      <c r="F71" s="119">
        <v>2</v>
      </c>
      <c r="G71" s="120">
        <v>0.5</v>
      </c>
      <c r="H71" s="120">
        <v>0.95</v>
      </c>
      <c r="I71" s="120"/>
      <c r="J71" s="119">
        <v>1</v>
      </c>
      <c r="K71" s="121"/>
      <c r="L71" s="121">
        <f>+PRODUCT(F71:J71)</f>
        <v>0.95</v>
      </c>
      <c r="M71" s="121"/>
      <c r="N71" s="120"/>
      <c r="O71" s="120"/>
      <c r="P71" s="131"/>
      <c r="Q71" s="495"/>
    </row>
    <row r="72" spans="1:17" s="122" customFormat="1" ht="12.75" customHeight="1" x14ac:dyDescent="0.2">
      <c r="A72" s="117"/>
      <c r="B72" s="118"/>
      <c r="C72" s="391"/>
      <c r="D72" s="396" t="s">
        <v>181</v>
      </c>
      <c r="E72" s="367" t="s">
        <v>18</v>
      </c>
      <c r="F72" s="119">
        <v>2</v>
      </c>
      <c r="G72" s="120">
        <v>0.5</v>
      </c>
      <c r="H72" s="120">
        <v>1.1000000000000001</v>
      </c>
      <c r="I72" s="120"/>
      <c r="J72" s="119">
        <v>1</v>
      </c>
      <c r="K72" s="121"/>
      <c r="L72" s="121">
        <f>+PRODUCT(F72:J72)</f>
        <v>1.1000000000000001</v>
      </c>
      <c r="M72" s="121"/>
      <c r="N72" s="120"/>
      <c r="O72" s="120"/>
      <c r="P72" s="131"/>
      <c r="Q72" s="495"/>
    </row>
    <row r="73" spans="1:17" s="122" customFormat="1" ht="25.5" x14ac:dyDescent="0.2">
      <c r="A73" s="117"/>
      <c r="B73" s="118"/>
      <c r="C73" s="391"/>
      <c r="D73" s="534" t="s">
        <v>276</v>
      </c>
      <c r="E73" s="397" t="s">
        <v>22</v>
      </c>
      <c r="F73" s="398">
        <v>16</v>
      </c>
      <c r="G73" s="399"/>
      <c r="H73" s="399"/>
      <c r="I73" s="399"/>
      <c r="J73" s="398">
        <v>1</v>
      </c>
      <c r="K73" s="400"/>
      <c r="L73" s="400"/>
      <c r="M73" s="400"/>
      <c r="N73" s="399"/>
      <c r="O73" s="399">
        <f>+PRODUCT(F73:J73)</f>
        <v>16</v>
      </c>
      <c r="P73" s="401">
        <f>+O73</f>
        <v>16</v>
      </c>
      <c r="Q73" s="495">
        <f>P73*$Q$64</f>
        <v>64</v>
      </c>
    </row>
    <row r="74" spans="1:17" s="122" customFormat="1" ht="12.75" x14ac:dyDescent="0.2">
      <c r="A74" s="117"/>
      <c r="B74" s="118"/>
      <c r="C74" s="391"/>
      <c r="D74" s="402" t="s">
        <v>226</v>
      </c>
      <c r="E74" s="397" t="s">
        <v>22</v>
      </c>
      <c r="F74" s="398">
        <v>16</v>
      </c>
      <c r="G74" s="399"/>
      <c r="H74" s="399"/>
      <c r="I74" s="399"/>
      <c r="J74" s="398">
        <v>1</v>
      </c>
      <c r="K74" s="400"/>
      <c r="L74" s="400"/>
      <c r="M74" s="400"/>
      <c r="N74" s="399"/>
      <c r="O74" s="399">
        <f>+PRODUCT(F74:J74)</f>
        <v>16</v>
      </c>
      <c r="P74" s="401">
        <f>+O74</f>
        <v>16</v>
      </c>
      <c r="Q74" s="495">
        <f>P74*$Q$64</f>
        <v>64</v>
      </c>
    </row>
    <row r="75" spans="1:17" s="122" customFormat="1" ht="12.75" customHeight="1" x14ac:dyDescent="0.2">
      <c r="A75" s="117"/>
      <c r="B75" s="118"/>
      <c r="C75" s="391"/>
      <c r="D75" s="384" t="s">
        <v>133</v>
      </c>
      <c r="E75" s="130" t="s">
        <v>19</v>
      </c>
      <c r="F75" s="119"/>
      <c r="G75" s="120"/>
      <c r="H75" s="120"/>
      <c r="I75" s="120"/>
      <c r="J75" s="119"/>
      <c r="K75" s="120"/>
      <c r="L75" s="121"/>
      <c r="M75" s="121"/>
      <c r="N75" s="120"/>
      <c r="O75" s="120"/>
      <c r="P75" s="131">
        <f>Anexo!D170</f>
        <v>13.165625000000002</v>
      </c>
      <c r="Q75" s="495">
        <f>P75*$Q$64</f>
        <v>52.662500000000009</v>
      </c>
    </row>
    <row r="76" spans="1:17" s="122" customFormat="1" ht="12.75" customHeight="1" x14ac:dyDescent="0.2">
      <c r="A76" s="117"/>
      <c r="B76" s="118"/>
      <c r="C76" s="391"/>
      <c r="D76" s="384" t="s">
        <v>214</v>
      </c>
      <c r="E76" s="130" t="s">
        <v>19</v>
      </c>
      <c r="F76" s="119"/>
      <c r="G76" s="120"/>
      <c r="H76" s="120"/>
      <c r="I76" s="120"/>
      <c r="J76" s="119"/>
      <c r="K76" s="120"/>
      <c r="L76" s="121"/>
      <c r="M76" s="121"/>
      <c r="N76" s="120"/>
      <c r="O76" s="120"/>
      <c r="P76" s="131">
        <f>Anexo!D171</f>
        <v>1.6696428571428572</v>
      </c>
      <c r="Q76" s="120">
        <f>P76*$Q$64</f>
        <v>6.6785714285714288</v>
      </c>
    </row>
    <row r="77" spans="1:17" s="122" customFormat="1" ht="12.75" customHeight="1" x14ac:dyDescent="0.2">
      <c r="A77" s="117"/>
      <c r="B77" s="118"/>
      <c r="C77" s="390" t="s">
        <v>159</v>
      </c>
      <c r="D77" s="385" t="s">
        <v>182</v>
      </c>
      <c r="E77" s="114" t="s">
        <v>22</v>
      </c>
      <c r="F77" s="134">
        <v>3</v>
      </c>
      <c r="G77" s="120"/>
      <c r="H77" s="120"/>
      <c r="I77" s="120"/>
      <c r="J77" s="134">
        <v>1</v>
      </c>
      <c r="K77" s="131"/>
      <c r="L77" s="115"/>
      <c r="M77" s="135"/>
      <c r="N77" s="131"/>
      <c r="O77" s="131"/>
      <c r="P77" s="131"/>
      <c r="Q77" s="115">
        <f>PRODUCT(F77:J77)</f>
        <v>3</v>
      </c>
    </row>
    <row r="78" spans="1:17" s="122" customFormat="1" ht="12.75" customHeight="1" x14ac:dyDescent="0.2">
      <c r="A78" s="117"/>
      <c r="B78" s="118"/>
      <c r="C78" s="391"/>
      <c r="D78" s="382" t="s">
        <v>179</v>
      </c>
      <c r="E78" s="130" t="s">
        <v>21</v>
      </c>
      <c r="F78" s="119">
        <v>1</v>
      </c>
      <c r="G78" s="120">
        <v>35.74</v>
      </c>
      <c r="H78" s="120"/>
      <c r="I78" s="120"/>
      <c r="J78" s="119">
        <v>1</v>
      </c>
      <c r="K78" s="121">
        <f>+PRODUCT(F78:J78)</f>
        <v>35.74</v>
      </c>
      <c r="L78" s="121"/>
      <c r="M78" s="121"/>
      <c r="N78" s="120"/>
      <c r="O78" s="120"/>
      <c r="P78" s="131">
        <f>+SUM(K78)*$U$14</f>
        <v>37.527000000000001</v>
      </c>
      <c r="Q78" s="495">
        <f>P78*$Q$77</f>
        <v>112.581</v>
      </c>
    </row>
    <row r="79" spans="1:17" s="122" customFormat="1" ht="12.75" customHeight="1" x14ac:dyDescent="0.2">
      <c r="A79" s="117"/>
      <c r="B79" s="118"/>
      <c r="C79" s="391"/>
      <c r="D79" s="384" t="s">
        <v>124</v>
      </c>
      <c r="E79" s="130" t="s">
        <v>19</v>
      </c>
      <c r="F79" s="119"/>
      <c r="G79" s="120"/>
      <c r="H79" s="120"/>
      <c r="I79" s="120"/>
      <c r="J79" s="119"/>
      <c r="K79" s="120"/>
      <c r="L79" s="121"/>
      <c r="M79" s="121"/>
      <c r="N79" s="120"/>
      <c r="O79" s="120"/>
      <c r="P79" s="131">
        <f>Anexo!D212</f>
        <v>1.473214285714286</v>
      </c>
      <c r="Q79" s="495">
        <f>P79*$Q$77</f>
        <v>4.4196428571428577</v>
      </c>
    </row>
    <row r="80" spans="1:17" s="122" customFormat="1" ht="12.75" customHeight="1" x14ac:dyDescent="0.2">
      <c r="A80" s="117"/>
      <c r="B80" s="118"/>
      <c r="C80" s="390" t="s">
        <v>160</v>
      </c>
      <c r="D80" s="385" t="s">
        <v>186</v>
      </c>
      <c r="E80" s="114" t="s">
        <v>22</v>
      </c>
      <c r="F80" s="134">
        <v>3</v>
      </c>
      <c r="G80" s="120"/>
      <c r="H80" s="120"/>
      <c r="I80" s="120"/>
      <c r="J80" s="134">
        <v>1</v>
      </c>
      <c r="K80" s="131"/>
      <c r="L80" s="115"/>
      <c r="M80" s="135"/>
      <c r="N80" s="131"/>
      <c r="O80" s="131"/>
      <c r="P80" s="131"/>
      <c r="Q80" s="115">
        <f>PRODUCT(F80:J80)</f>
        <v>3</v>
      </c>
    </row>
    <row r="81" spans="1:17" s="122" customFormat="1" ht="12.75" customHeight="1" x14ac:dyDescent="0.2">
      <c r="A81" s="117"/>
      <c r="B81" s="118"/>
      <c r="C81" s="391"/>
      <c r="D81" s="382" t="s">
        <v>179</v>
      </c>
      <c r="E81" s="130" t="s">
        <v>21</v>
      </c>
      <c r="F81" s="119">
        <v>1</v>
      </c>
      <c r="G81" s="120">
        <v>33.950000000000003</v>
      </c>
      <c r="H81" s="120"/>
      <c r="I81" s="120"/>
      <c r="J81" s="119">
        <v>1</v>
      </c>
      <c r="K81" s="121">
        <f>+PRODUCT(F81:J81)</f>
        <v>33.950000000000003</v>
      </c>
      <c r="L81" s="121"/>
      <c r="M81" s="121"/>
      <c r="N81" s="120"/>
      <c r="O81" s="120"/>
      <c r="P81" s="131">
        <f>+SUM(K81)*$U$14</f>
        <v>35.647500000000008</v>
      </c>
      <c r="Q81" s="495">
        <f>P81*$Q$80</f>
        <v>106.94250000000002</v>
      </c>
    </row>
    <row r="82" spans="1:17" s="122" customFormat="1" ht="12.75" customHeight="1" x14ac:dyDescent="0.2">
      <c r="A82" s="117"/>
      <c r="B82" s="118"/>
      <c r="C82" s="391"/>
      <c r="D82" s="384" t="s">
        <v>124</v>
      </c>
      <c r="E82" s="130" t="s">
        <v>19</v>
      </c>
      <c r="F82" s="119"/>
      <c r="G82" s="120"/>
      <c r="H82" s="120"/>
      <c r="I82" s="120"/>
      <c r="J82" s="119"/>
      <c r="K82" s="120"/>
      <c r="L82" s="121"/>
      <c r="M82" s="121"/>
      <c r="N82" s="120"/>
      <c r="O82" s="120"/>
      <c r="P82" s="131">
        <f>Anexo!D253</f>
        <v>1.473214285714286</v>
      </c>
      <c r="Q82" s="495">
        <f>P82*$Q$80</f>
        <v>4.4196428571428577</v>
      </c>
    </row>
    <row r="83" spans="1:17" s="122" customFormat="1" ht="12.75" customHeight="1" x14ac:dyDescent="0.2">
      <c r="A83" s="117"/>
      <c r="B83" s="118"/>
      <c r="C83" s="427" t="s">
        <v>161</v>
      </c>
      <c r="D83" s="418" t="s">
        <v>187</v>
      </c>
      <c r="E83" s="419" t="s">
        <v>21</v>
      </c>
      <c r="F83" s="420">
        <v>22</v>
      </c>
      <c r="G83" s="425">
        <v>28.42</v>
      </c>
      <c r="H83" s="425"/>
      <c r="I83" s="425"/>
      <c r="J83" s="420">
        <v>1</v>
      </c>
      <c r="K83" s="422">
        <f>+PRODUCT(F83:J83)</f>
        <v>625.24</v>
      </c>
      <c r="L83" s="422"/>
      <c r="M83" s="428"/>
      <c r="N83" s="421"/>
      <c r="O83" s="421"/>
      <c r="P83" s="421"/>
      <c r="Q83" s="422">
        <f>+K83</f>
        <v>625.24</v>
      </c>
    </row>
    <row r="84" spans="1:17" s="122" customFormat="1" ht="12.75" customHeight="1" x14ac:dyDescent="0.2">
      <c r="A84" s="117"/>
      <c r="B84" s="682"/>
      <c r="C84" s="673"/>
      <c r="D84" s="423" t="s">
        <v>270</v>
      </c>
      <c r="E84" s="429" t="s">
        <v>21</v>
      </c>
      <c r="F84" s="424">
        <v>1</v>
      </c>
      <c r="G84" s="425">
        <v>1.01</v>
      </c>
      <c r="H84" s="425"/>
      <c r="I84" s="425"/>
      <c r="J84" s="424">
        <v>1</v>
      </c>
      <c r="K84" s="426">
        <f>+PRODUCT(F84:J84)</f>
        <v>1.01</v>
      </c>
      <c r="L84" s="426"/>
      <c r="M84" s="426"/>
      <c r="N84" s="425"/>
      <c r="O84" s="425"/>
      <c r="P84" s="421">
        <f>+K84*$U$14</f>
        <v>1.0605</v>
      </c>
      <c r="Q84" s="496">
        <f>P84*$Q$83</f>
        <v>663.06701999999996</v>
      </c>
    </row>
    <row r="85" spans="1:17" s="122" customFormat="1" ht="12.75" customHeight="1" x14ac:dyDescent="0.2">
      <c r="A85" s="117"/>
      <c r="B85" s="682"/>
      <c r="D85" s="423" t="s">
        <v>271</v>
      </c>
      <c r="E85" s="429" t="s">
        <v>21</v>
      </c>
      <c r="F85" s="424">
        <v>60</v>
      </c>
      <c r="G85" s="425">
        <v>1.23</v>
      </c>
      <c r="H85" s="425"/>
      <c r="I85" s="425"/>
      <c r="J85" s="424">
        <v>1</v>
      </c>
      <c r="K85" s="426">
        <f>+PRODUCT(F85:J85)</f>
        <v>73.8</v>
      </c>
      <c r="L85" s="426"/>
      <c r="M85" s="426"/>
      <c r="N85" s="425"/>
      <c r="O85" s="425"/>
      <c r="P85" s="421">
        <f>+K85*$U$14/K83</f>
        <v>0.12393640841916703</v>
      </c>
      <c r="Q85" s="496">
        <f>P85*$Q$83</f>
        <v>77.489999999999995</v>
      </c>
    </row>
    <row r="86" spans="1:17" s="122" customFormat="1" ht="12.75" customHeight="1" x14ac:dyDescent="0.2">
      <c r="A86" s="117"/>
      <c r="B86" s="682"/>
      <c r="C86" s="681"/>
      <c r="D86" s="384" t="s">
        <v>124</v>
      </c>
      <c r="E86" s="130" t="s">
        <v>19</v>
      </c>
      <c r="F86" s="119"/>
      <c r="G86" s="120"/>
      <c r="H86" s="120"/>
      <c r="I86" s="120"/>
      <c r="J86" s="119"/>
      <c r="K86" s="120"/>
      <c r="L86" s="121"/>
      <c r="M86" s="121"/>
      <c r="N86" s="120"/>
      <c r="O86" s="120"/>
      <c r="P86" s="131">
        <f>Anexo!D299</f>
        <v>2.3405298079823066E-2</v>
      </c>
      <c r="Q86" s="496">
        <f>P86*$Q$83</f>
        <v>14.633928571428575</v>
      </c>
    </row>
    <row r="87" spans="1:17" s="122" customFormat="1" ht="12.75" customHeight="1" x14ac:dyDescent="0.2">
      <c r="A87" s="117"/>
      <c r="B87" s="118"/>
      <c r="C87" s="390" t="s">
        <v>162</v>
      </c>
      <c r="D87" s="385" t="s">
        <v>248</v>
      </c>
      <c r="E87" s="114" t="s">
        <v>21</v>
      </c>
      <c r="F87" s="134">
        <v>1</v>
      </c>
      <c r="G87" s="120">
        <v>327</v>
      </c>
      <c r="H87" s="120"/>
      <c r="I87" s="120"/>
      <c r="J87" s="134">
        <v>1</v>
      </c>
      <c r="K87" s="115">
        <f>+PRODUCT(F87:J87)</f>
        <v>327</v>
      </c>
      <c r="L87" s="115"/>
      <c r="M87" s="135"/>
      <c r="N87" s="131"/>
      <c r="O87" s="131"/>
      <c r="P87" s="131"/>
      <c r="Q87" s="115">
        <f>+K87</f>
        <v>327</v>
      </c>
    </row>
    <row r="88" spans="1:17" s="122" customFormat="1" ht="12.75" customHeight="1" x14ac:dyDescent="0.2">
      <c r="A88" s="117"/>
      <c r="B88" s="682"/>
      <c r="C88" s="673"/>
      <c r="D88" s="423" t="s">
        <v>249</v>
      </c>
      <c r="E88" s="429" t="s">
        <v>21</v>
      </c>
      <c r="F88" s="424">
        <v>1</v>
      </c>
      <c r="G88" s="425">
        <v>1.05</v>
      </c>
      <c r="H88" s="425"/>
      <c r="I88" s="425"/>
      <c r="J88" s="424">
        <v>1</v>
      </c>
      <c r="K88" s="426">
        <f>+PRODUCT(F88:J88)</f>
        <v>1.05</v>
      </c>
      <c r="L88" s="426"/>
      <c r="M88" s="426"/>
      <c r="N88" s="425"/>
      <c r="O88" s="425"/>
      <c r="P88" s="421">
        <f>+K88*$U$14</f>
        <v>1.1025</v>
      </c>
      <c r="Q88" s="496">
        <f>P88*$Q$87</f>
        <v>360.51749999999998</v>
      </c>
    </row>
    <row r="89" spans="1:17" s="122" customFormat="1" ht="12.75" customHeight="1" x14ac:dyDescent="0.2">
      <c r="A89" s="117"/>
      <c r="B89" s="682"/>
      <c r="D89" s="423" t="s">
        <v>285</v>
      </c>
      <c r="E89" s="429" t="s">
        <v>21</v>
      </c>
      <c r="F89" s="424">
        <v>36</v>
      </c>
      <c r="G89" s="425">
        <v>0.1</v>
      </c>
      <c r="H89" s="425"/>
      <c r="I89" s="425"/>
      <c r="J89" s="424">
        <v>1</v>
      </c>
      <c r="K89" s="426">
        <f>+PRODUCT(F89:J89)*1.05</f>
        <v>3.7800000000000002</v>
      </c>
      <c r="L89" s="426"/>
      <c r="M89" s="426"/>
      <c r="N89" s="425"/>
      <c r="O89" s="425"/>
      <c r="P89" s="421">
        <f>+K89*$U$14/K87</f>
        <v>1.2137614678899084E-2</v>
      </c>
      <c r="Q89" s="496">
        <f>P89*$Q$87</f>
        <v>3.9690000000000007</v>
      </c>
    </row>
    <row r="90" spans="1:17" s="122" customFormat="1" ht="12.75" customHeight="1" x14ac:dyDescent="0.2">
      <c r="A90" s="117"/>
      <c r="B90" s="118"/>
      <c r="C90" s="391"/>
      <c r="D90" s="387" t="s">
        <v>250</v>
      </c>
      <c r="E90" s="429" t="s">
        <v>21</v>
      </c>
      <c r="F90" s="424">
        <v>18</v>
      </c>
      <c r="G90" s="425">
        <v>0.06</v>
      </c>
      <c r="H90" s="425"/>
      <c r="I90" s="425"/>
      <c r="J90" s="424">
        <v>1</v>
      </c>
      <c r="K90" s="426">
        <f>F90*G90*1.3</f>
        <v>1.4040000000000001</v>
      </c>
      <c r="L90" s="426"/>
      <c r="M90" s="426"/>
      <c r="N90" s="425"/>
      <c r="O90" s="425"/>
      <c r="P90" s="521">
        <f>K90/K87</f>
        <v>4.2935779816513763E-3</v>
      </c>
      <c r="Q90" s="496">
        <f t="shared" ref="Q90:Q93" si="1">P90*$Q$87</f>
        <v>1.4040000000000001</v>
      </c>
    </row>
    <row r="91" spans="1:17" s="122" customFormat="1" ht="12.75" customHeight="1" x14ac:dyDescent="0.2">
      <c r="A91" s="117"/>
      <c r="B91" s="118"/>
      <c r="C91" s="391"/>
      <c r="D91" s="384" t="s">
        <v>251</v>
      </c>
      <c r="E91" s="367" t="s">
        <v>18</v>
      </c>
      <c r="F91" s="315">
        <v>24</v>
      </c>
      <c r="G91" s="316">
        <v>0.1</v>
      </c>
      <c r="H91" s="316">
        <v>0.06</v>
      </c>
      <c r="I91" s="316"/>
      <c r="J91" s="315">
        <v>1</v>
      </c>
      <c r="K91" s="317"/>
      <c r="L91" s="317">
        <f>PRODUCT(F91:J91)*1.1</f>
        <v>0.15840000000000004</v>
      </c>
      <c r="M91" s="317"/>
      <c r="N91" s="316"/>
      <c r="O91" s="316"/>
      <c r="P91" s="318">
        <f>+SUM(L91)*$U$14/K87</f>
        <v>5.0862385321100937E-4</v>
      </c>
      <c r="Q91" s="496">
        <f t="shared" si="1"/>
        <v>0.16632000000000005</v>
      </c>
    </row>
    <row r="92" spans="1:17" s="122" customFormat="1" ht="12.75" customHeight="1" x14ac:dyDescent="0.2">
      <c r="A92" s="117"/>
      <c r="B92" s="118"/>
      <c r="C92" s="391"/>
      <c r="D92" s="402" t="s">
        <v>252</v>
      </c>
      <c r="E92" s="397" t="s">
        <v>22</v>
      </c>
      <c r="F92" s="398">
        <v>50</v>
      </c>
      <c r="G92" s="399"/>
      <c r="H92" s="399"/>
      <c r="I92" s="399"/>
      <c r="J92" s="398">
        <v>1</v>
      </c>
      <c r="K92" s="400"/>
      <c r="L92" s="400"/>
      <c r="M92" s="400"/>
      <c r="N92" s="399"/>
      <c r="O92" s="399">
        <f>+PRODUCT(F92:J92)*1.15</f>
        <v>57.499999999999993</v>
      </c>
      <c r="P92" s="401">
        <f>O92/K87</f>
        <v>0.17584097859327216</v>
      </c>
      <c r="Q92" s="496">
        <f t="shared" si="1"/>
        <v>57.5</v>
      </c>
    </row>
    <row r="93" spans="1:17" s="122" customFormat="1" ht="12.75" customHeight="1" x14ac:dyDescent="0.2">
      <c r="A93" s="117"/>
      <c r="B93" s="118"/>
      <c r="C93" s="391"/>
      <c r="D93" s="402" t="s">
        <v>253</v>
      </c>
      <c r="E93" s="397" t="s">
        <v>22</v>
      </c>
      <c r="F93" s="398">
        <v>50</v>
      </c>
      <c r="G93" s="399"/>
      <c r="H93" s="399"/>
      <c r="I93" s="399"/>
      <c r="J93" s="398">
        <v>1</v>
      </c>
      <c r="K93" s="400"/>
      <c r="L93" s="400"/>
      <c r="M93" s="400"/>
      <c r="N93" s="399"/>
      <c r="O93" s="399">
        <f>+PRODUCT(F93:J93)*1.15</f>
        <v>57.499999999999993</v>
      </c>
      <c r="P93" s="401">
        <f>O93/K87</f>
        <v>0.17584097859327216</v>
      </c>
      <c r="Q93" s="496">
        <f t="shared" si="1"/>
        <v>57.5</v>
      </c>
    </row>
    <row r="94" spans="1:17" s="122" customFormat="1" ht="12.75" customHeight="1" x14ac:dyDescent="0.2">
      <c r="A94" s="117"/>
      <c r="B94" s="118"/>
      <c r="C94" s="427" t="s">
        <v>163</v>
      </c>
      <c r="D94" s="379" t="s">
        <v>165</v>
      </c>
      <c r="E94" s="155" t="s">
        <v>21</v>
      </c>
      <c r="F94" s="319">
        <v>2</v>
      </c>
      <c r="G94" s="316">
        <v>28.42</v>
      </c>
      <c r="H94" s="316"/>
      <c r="I94" s="316"/>
      <c r="J94" s="319">
        <v>1</v>
      </c>
      <c r="K94" s="318"/>
      <c r="L94" s="320"/>
      <c r="M94" s="320">
        <f>PRODUCT(F94:J94)</f>
        <v>56.84</v>
      </c>
      <c r="N94" s="318"/>
      <c r="O94" s="318"/>
      <c r="P94" s="318"/>
      <c r="Q94" s="320">
        <f>M94</f>
        <v>56.84</v>
      </c>
    </row>
    <row r="95" spans="1:17" s="122" customFormat="1" ht="12.75" customHeight="1" x14ac:dyDescent="0.2">
      <c r="A95" s="117"/>
      <c r="B95" s="118"/>
      <c r="C95" s="478"/>
      <c r="D95" s="387" t="s">
        <v>166</v>
      </c>
      <c r="E95" s="367" t="s">
        <v>18</v>
      </c>
      <c r="F95" s="315">
        <v>1</v>
      </c>
      <c r="G95" s="316">
        <v>1.05</v>
      </c>
      <c r="H95" s="316">
        <f>0.58</f>
        <v>0.57999999999999996</v>
      </c>
      <c r="I95" s="316"/>
      <c r="J95" s="315">
        <v>1</v>
      </c>
      <c r="K95" s="316"/>
      <c r="L95" s="317">
        <f>+PRODUCT(F95:J95)</f>
        <v>0.60899999999999999</v>
      </c>
      <c r="M95" s="317"/>
      <c r="N95" s="316"/>
      <c r="O95" s="316"/>
      <c r="P95" s="318">
        <f>+SUM(L95*$U$14)</f>
        <v>0.63944999999999996</v>
      </c>
      <c r="Q95" s="497">
        <f>P95*$Q$94</f>
        <v>36.346338000000003</v>
      </c>
    </row>
    <row r="96" spans="1:17" s="122" customFormat="1" ht="12.75" customHeight="1" x14ac:dyDescent="0.2">
      <c r="A96" s="117"/>
      <c r="B96" s="118"/>
      <c r="C96" s="478"/>
      <c r="D96" s="387" t="s">
        <v>167</v>
      </c>
      <c r="E96" s="367" t="s">
        <v>21</v>
      </c>
      <c r="F96" s="315">
        <v>21</v>
      </c>
      <c r="G96" s="316">
        <v>0.8</v>
      </c>
      <c r="H96" s="316"/>
      <c r="I96" s="316"/>
      <c r="J96" s="315">
        <v>1</v>
      </c>
      <c r="K96" s="317">
        <f>+PRODUCT(F96:J96)</f>
        <v>16.8</v>
      </c>
      <c r="L96" s="317"/>
      <c r="M96" s="317">
        <f>+L96</f>
        <v>0</v>
      </c>
      <c r="N96" s="316"/>
      <c r="O96" s="316"/>
      <c r="P96" s="318">
        <f>+SUM(K96)*$U$14/M94</f>
        <v>0.31034482758620691</v>
      </c>
      <c r="Q96" s="497">
        <f t="shared" ref="Q96:Q98" si="2">P96*$Q$94</f>
        <v>17.64</v>
      </c>
    </row>
    <row r="97" spans="1:17" s="122" customFormat="1" ht="12.75" customHeight="1" x14ac:dyDescent="0.2">
      <c r="A97" s="117"/>
      <c r="B97" s="118"/>
      <c r="C97" s="478"/>
      <c r="D97" s="479" t="s">
        <v>168</v>
      </c>
      <c r="E97" s="367" t="s">
        <v>22</v>
      </c>
      <c r="F97" s="315">
        <v>2</v>
      </c>
      <c r="G97" s="316"/>
      <c r="H97" s="316"/>
      <c r="I97" s="316"/>
      <c r="J97" s="315">
        <v>1</v>
      </c>
      <c r="K97" s="316"/>
      <c r="L97" s="317"/>
      <c r="M97" s="317"/>
      <c r="N97" s="316"/>
      <c r="O97" s="316"/>
      <c r="P97" s="318">
        <f>+F97/M94</f>
        <v>3.5186488388458829E-2</v>
      </c>
      <c r="Q97" s="497">
        <f t="shared" si="2"/>
        <v>2</v>
      </c>
    </row>
    <row r="98" spans="1:17" s="122" customFormat="1" ht="12.75" customHeight="1" x14ac:dyDescent="0.2">
      <c r="A98" s="117"/>
      <c r="B98" s="118"/>
      <c r="C98" s="478"/>
      <c r="D98" s="479" t="s">
        <v>242</v>
      </c>
      <c r="E98" s="367" t="s">
        <v>164</v>
      </c>
      <c r="F98" s="315">
        <v>2</v>
      </c>
      <c r="G98" s="316"/>
      <c r="H98" s="316"/>
      <c r="I98" s="316"/>
      <c r="J98" s="315">
        <v>1</v>
      </c>
      <c r="K98" s="316"/>
      <c r="L98" s="317"/>
      <c r="M98" s="317"/>
      <c r="N98" s="316"/>
      <c r="O98" s="316"/>
      <c r="P98" s="318">
        <f>+F98/M94</f>
        <v>3.5186488388458829E-2</v>
      </c>
      <c r="Q98" s="497">
        <f t="shared" si="2"/>
        <v>2</v>
      </c>
    </row>
    <row r="99" spans="1:17" s="122" customFormat="1" ht="12.6" customHeight="1" x14ac:dyDescent="0.2">
      <c r="A99" s="117"/>
      <c r="B99" s="118"/>
      <c r="C99" s="389" t="s">
        <v>139</v>
      </c>
      <c r="D99" s="378" t="s">
        <v>96</v>
      </c>
      <c r="E99" s="139"/>
      <c r="F99" s="136"/>
      <c r="G99" s="137"/>
      <c r="H99" s="137"/>
      <c r="I99" s="137"/>
      <c r="J99" s="136"/>
      <c r="K99" s="137"/>
      <c r="L99" s="138"/>
      <c r="M99" s="138"/>
      <c r="N99" s="137"/>
      <c r="O99" s="137"/>
      <c r="P99" s="140"/>
      <c r="Q99" s="137"/>
    </row>
    <row r="100" spans="1:17" s="122" customFormat="1" ht="13.9" customHeight="1" x14ac:dyDescent="0.2">
      <c r="A100" s="117"/>
      <c r="B100" s="118"/>
      <c r="C100" s="393" t="s">
        <v>140</v>
      </c>
      <c r="D100" s="381" t="s">
        <v>103</v>
      </c>
      <c r="E100" s="126" t="str">
        <f>+E38</f>
        <v>und</v>
      </c>
      <c r="F100" s="127">
        <f>+F38</f>
        <v>8</v>
      </c>
      <c r="G100" s="137"/>
      <c r="H100" s="137"/>
      <c r="I100" s="137"/>
      <c r="J100" s="136"/>
      <c r="K100" s="137"/>
      <c r="L100" s="138"/>
      <c r="M100" s="138"/>
      <c r="N100" s="137"/>
      <c r="O100" s="137"/>
      <c r="P100" s="140"/>
      <c r="Q100" s="128">
        <f t="shared" ref="Q100:Q102" si="3">PRODUCT(F100:J100)</f>
        <v>8</v>
      </c>
    </row>
    <row r="101" spans="1:17" s="122" customFormat="1" ht="25.5" x14ac:dyDescent="0.2">
      <c r="A101" s="117"/>
      <c r="B101" s="118"/>
      <c r="C101" s="393" t="s">
        <v>152</v>
      </c>
      <c r="D101" s="386" t="s">
        <v>189</v>
      </c>
      <c r="E101" s="114" t="str">
        <f>+E44</f>
        <v>und</v>
      </c>
      <c r="F101" s="134">
        <f>+F44</f>
        <v>4</v>
      </c>
      <c r="G101" s="149"/>
      <c r="H101" s="149"/>
      <c r="I101" s="149"/>
      <c r="J101" s="127"/>
      <c r="K101" s="111"/>
      <c r="L101" s="128"/>
      <c r="M101" s="129"/>
      <c r="N101" s="111"/>
      <c r="O101" s="111"/>
      <c r="P101" s="111"/>
      <c r="Q101" s="128">
        <f t="shared" si="3"/>
        <v>4</v>
      </c>
    </row>
    <row r="102" spans="1:17" s="122" customFormat="1" ht="25.5" x14ac:dyDescent="0.2">
      <c r="A102" s="117"/>
      <c r="B102" s="118"/>
      <c r="C102" s="393" t="s">
        <v>201</v>
      </c>
      <c r="D102" s="386" t="s">
        <v>190</v>
      </c>
      <c r="E102" s="114" t="str">
        <f>E54</f>
        <v>und</v>
      </c>
      <c r="F102" s="524">
        <f>F54</f>
        <v>4</v>
      </c>
      <c r="G102" s="149"/>
      <c r="H102" s="149"/>
      <c r="I102" s="149"/>
      <c r="J102" s="127"/>
      <c r="K102" s="111"/>
      <c r="L102" s="128"/>
      <c r="M102" s="129"/>
      <c r="N102" s="111"/>
      <c r="O102" s="111"/>
      <c r="P102" s="111"/>
      <c r="Q102" s="128">
        <f t="shared" si="3"/>
        <v>4</v>
      </c>
    </row>
    <row r="103" spans="1:17" s="122" customFormat="1" ht="12.6" customHeight="1" x14ac:dyDescent="0.2">
      <c r="A103" s="117"/>
      <c r="B103" s="118"/>
      <c r="C103" s="393" t="s">
        <v>202</v>
      </c>
      <c r="D103" s="385" t="s">
        <v>191</v>
      </c>
      <c r="E103" s="114" t="str">
        <f>+E64</f>
        <v>und</v>
      </c>
      <c r="F103" s="524">
        <f>+F64</f>
        <v>4</v>
      </c>
      <c r="G103" s="149"/>
      <c r="H103" s="149"/>
      <c r="I103" s="149"/>
      <c r="J103" s="127"/>
      <c r="K103" s="111"/>
      <c r="L103" s="128"/>
      <c r="M103" s="129"/>
      <c r="N103" s="111"/>
      <c r="O103" s="111"/>
      <c r="P103" s="111"/>
      <c r="Q103" s="128">
        <f t="shared" ref="Q103" si="4">PRODUCT(F103:J103)</f>
        <v>4</v>
      </c>
    </row>
    <row r="104" spans="1:17" s="122" customFormat="1" ht="12.75" x14ac:dyDescent="0.2">
      <c r="A104" s="117"/>
      <c r="B104" s="118"/>
      <c r="C104" s="393" t="s">
        <v>203</v>
      </c>
      <c r="D104" s="386" t="s">
        <v>192</v>
      </c>
      <c r="E104" s="114" t="str">
        <f>E77</f>
        <v>und</v>
      </c>
      <c r="F104" s="524">
        <f>F77</f>
        <v>3</v>
      </c>
      <c r="G104" s="149"/>
      <c r="H104" s="149"/>
      <c r="I104" s="149"/>
      <c r="J104" s="127"/>
      <c r="K104" s="111"/>
      <c r="L104" s="128"/>
      <c r="M104" s="129"/>
      <c r="N104" s="111"/>
      <c r="O104" s="111"/>
      <c r="P104" s="111"/>
      <c r="Q104" s="128">
        <f t="shared" ref="Q104" si="5">PRODUCT(F104:J104)</f>
        <v>3</v>
      </c>
    </row>
    <row r="105" spans="1:17" s="432" customFormat="1" ht="12.6" customHeight="1" x14ac:dyDescent="0.2">
      <c r="A105" s="430"/>
      <c r="B105" s="431"/>
      <c r="C105" s="393" t="s">
        <v>204</v>
      </c>
      <c r="D105" s="418" t="s">
        <v>193</v>
      </c>
      <c r="E105" s="419" t="str">
        <f>E80</f>
        <v>und</v>
      </c>
      <c r="F105" s="525">
        <f>F80</f>
        <v>3</v>
      </c>
      <c r="G105" s="433"/>
      <c r="H105" s="433"/>
      <c r="I105" s="433"/>
      <c r="J105" s="434"/>
      <c r="K105" s="435"/>
      <c r="L105" s="436"/>
      <c r="M105" s="437"/>
      <c r="N105" s="435"/>
      <c r="O105" s="435"/>
      <c r="P105" s="435"/>
      <c r="Q105" s="436">
        <f t="shared" ref="Q105" si="6">PRODUCT(F105:J105)</f>
        <v>3</v>
      </c>
    </row>
    <row r="106" spans="1:17" s="122" customFormat="1" ht="12.75" x14ac:dyDescent="0.2">
      <c r="A106" s="117"/>
      <c r="B106" s="118"/>
      <c r="C106" s="393" t="s">
        <v>205</v>
      </c>
      <c r="D106" s="385" t="s">
        <v>194</v>
      </c>
      <c r="E106" s="114" t="str">
        <f>+E83</f>
        <v>m</v>
      </c>
      <c r="F106" s="524">
        <f>+F83</f>
        <v>22</v>
      </c>
      <c r="G106" s="120"/>
      <c r="H106" s="120"/>
      <c r="I106" s="120"/>
      <c r="J106" s="134"/>
      <c r="K106" s="131"/>
      <c r="L106" s="115"/>
      <c r="M106" s="135"/>
      <c r="N106" s="131"/>
      <c r="O106" s="131"/>
      <c r="P106" s="131"/>
      <c r="Q106" s="115">
        <f>Q83</f>
        <v>625.24</v>
      </c>
    </row>
    <row r="107" spans="1:17" s="122" customFormat="1" ht="12.75" x14ac:dyDescent="0.2">
      <c r="A107" s="117"/>
      <c r="B107" s="118"/>
      <c r="C107" s="393" t="s">
        <v>206</v>
      </c>
      <c r="D107" s="522" t="s">
        <v>255</v>
      </c>
      <c r="E107" s="481" t="str">
        <f>E87</f>
        <v>m</v>
      </c>
      <c r="F107" s="526">
        <f>F87</f>
        <v>1</v>
      </c>
      <c r="G107" s="481"/>
      <c r="H107" s="481"/>
      <c r="I107" s="481"/>
      <c r="J107" s="481"/>
      <c r="K107" s="484"/>
      <c r="L107" s="485"/>
      <c r="M107" s="523"/>
      <c r="N107" s="484"/>
      <c r="O107" s="484"/>
      <c r="P107" s="484"/>
      <c r="Q107" s="115">
        <f>Q87</f>
        <v>327</v>
      </c>
    </row>
    <row r="108" spans="1:17" s="122" customFormat="1" ht="12.75" x14ac:dyDescent="0.2">
      <c r="A108" s="117"/>
      <c r="B108" s="118"/>
      <c r="C108" s="393" t="s">
        <v>254</v>
      </c>
      <c r="D108" s="480" t="s">
        <v>169</v>
      </c>
      <c r="E108" s="481" t="str">
        <f>E94</f>
        <v>m</v>
      </c>
      <c r="F108" s="527">
        <f>F94</f>
        <v>2</v>
      </c>
      <c r="G108" s="483"/>
      <c r="H108" s="483"/>
      <c r="I108" s="483"/>
      <c r="J108" s="482"/>
      <c r="K108" s="484"/>
      <c r="L108" s="485"/>
      <c r="M108" s="486"/>
      <c r="N108" s="484"/>
      <c r="O108" s="484"/>
      <c r="P108" s="484"/>
      <c r="Q108" s="115">
        <f>Q94</f>
        <v>56.84</v>
      </c>
    </row>
    <row r="109" spans="1:17" s="122" customFormat="1" ht="12.75" x14ac:dyDescent="0.2">
      <c r="A109" s="117"/>
      <c r="B109" s="118"/>
      <c r="C109" s="456" t="s">
        <v>153</v>
      </c>
      <c r="D109" s="457" t="s">
        <v>85</v>
      </c>
      <c r="E109" s="458"/>
      <c r="F109" s="459"/>
      <c r="G109" s="460"/>
      <c r="H109" s="460"/>
      <c r="I109" s="460"/>
      <c r="J109" s="461"/>
      <c r="K109" s="462"/>
      <c r="L109" s="462"/>
      <c r="M109" s="462"/>
      <c r="N109" s="462"/>
      <c r="O109" s="462"/>
      <c r="P109" s="462"/>
      <c r="Q109" s="463"/>
    </row>
    <row r="110" spans="1:17" s="122" customFormat="1" ht="12.75" x14ac:dyDescent="0.2">
      <c r="A110" s="117"/>
      <c r="B110" s="118"/>
      <c r="C110" s="394" t="s">
        <v>154</v>
      </c>
      <c r="D110" s="379" t="s">
        <v>86</v>
      </c>
      <c r="E110" s="155" t="s">
        <v>135</v>
      </c>
      <c r="F110" s="321">
        <v>1</v>
      </c>
      <c r="G110" s="322"/>
      <c r="H110" s="322"/>
      <c r="I110" s="322"/>
      <c r="J110" s="319"/>
      <c r="K110" s="318"/>
      <c r="L110" s="318"/>
      <c r="M110" s="318"/>
      <c r="N110" s="318"/>
      <c r="O110" s="318"/>
      <c r="P110" s="318"/>
      <c r="Q110" s="320">
        <f>PRODUCT(F110:J110)</f>
        <v>1</v>
      </c>
    </row>
    <row r="111" spans="1:17" s="122" customFormat="1" ht="12.75" x14ac:dyDescent="0.2">
      <c r="A111" s="117"/>
      <c r="B111" s="118"/>
      <c r="C111" s="456" t="s">
        <v>171</v>
      </c>
      <c r="D111" s="457" t="s">
        <v>170</v>
      </c>
      <c r="E111" s="472"/>
      <c r="F111" s="473"/>
      <c r="G111" s="474"/>
      <c r="H111" s="474"/>
      <c r="I111" s="474"/>
      <c r="J111" s="473"/>
      <c r="K111" s="475"/>
      <c r="L111" s="476"/>
      <c r="M111" s="477"/>
      <c r="N111" s="475"/>
      <c r="O111" s="475"/>
      <c r="P111" s="475"/>
      <c r="Q111" s="476"/>
    </row>
    <row r="112" spans="1:17" s="122" customFormat="1" ht="25.5" x14ac:dyDescent="0.2">
      <c r="A112" s="117"/>
      <c r="B112" s="118"/>
      <c r="C112" s="394" t="s">
        <v>172</v>
      </c>
      <c r="D112" s="386" t="s">
        <v>195</v>
      </c>
      <c r="E112" s="472" t="str">
        <f>E44</f>
        <v>und</v>
      </c>
      <c r="F112" s="473">
        <f>F44</f>
        <v>4</v>
      </c>
      <c r="G112" s="474"/>
      <c r="H112" s="474"/>
      <c r="I112" s="474"/>
      <c r="J112" s="473"/>
      <c r="K112" s="475"/>
      <c r="L112" s="476"/>
      <c r="M112" s="477"/>
      <c r="N112" s="475"/>
      <c r="O112" s="475"/>
      <c r="P112" s="475"/>
      <c r="Q112" s="476">
        <f>F112</f>
        <v>4</v>
      </c>
    </row>
    <row r="113" spans="1:17" s="122" customFormat="1" ht="12.75" x14ac:dyDescent="0.2">
      <c r="A113" s="117"/>
      <c r="B113" s="682"/>
      <c r="D113" s="384" t="s">
        <v>38</v>
      </c>
      <c r="E113" s="130" t="s">
        <v>37</v>
      </c>
      <c r="F113" s="473"/>
      <c r="G113" s="474"/>
      <c r="H113" s="474"/>
      <c r="I113" s="474"/>
      <c r="J113" s="473"/>
      <c r="K113" s="475"/>
      <c r="L113" s="476"/>
      <c r="M113" s="477"/>
      <c r="N113" s="475"/>
      <c r="O113" s="475"/>
      <c r="P113" s="475">
        <f>Anexo!D55</f>
        <v>0.38132433493333334</v>
      </c>
      <c r="Q113" s="498">
        <f>P113*$Q$112</f>
        <v>1.5252973397333334</v>
      </c>
    </row>
    <row r="114" spans="1:17" s="122" customFormat="1" ht="12.75" x14ac:dyDescent="0.2">
      <c r="A114" s="117"/>
      <c r="B114" s="682"/>
      <c r="C114" s="702"/>
      <c r="D114" s="384" t="s">
        <v>39</v>
      </c>
      <c r="E114" s="130" t="s">
        <v>37</v>
      </c>
      <c r="F114" s="473"/>
      <c r="G114" s="474"/>
      <c r="H114" s="474"/>
      <c r="I114" s="474"/>
      <c r="J114" s="473"/>
      <c r="K114" s="475"/>
      <c r="L114" s="476"/>
      <c r="M114" s="477"/>
      <c r="N114" s="475"/>
      <c r="O114" s="475"/>
      <c r="P114" s="475">
        <f>Anexo!D56</f>
        <v>0.49116412662857145</v>
      </c>
      <c r="Q114" s="498">
        <f t="shared" ref="Q114:Q115" si="7">P114*$Q$112</f>
        <v>1.9646565065142858</v>
      </c>
    </row>
    <row r="115" spans="1:17" s="122" customFormat="1" ht="12.75" x14ac:dyDescent="0.2">
      <c r="A115" s="117"/>
      <c r="B115" s="682"/>
      <c r="C115" s="657"/>
      <c r="D115" s="384" t="s">
        <v>40</v>
      </c>
      <c r="E115" s="130" t="s">
        <v>37</v>
      </c>
      <c r="F115" s="473"/>
      <c r="G115" s="474"/>
      <c r="H115" s="474"/>
      <c r="I115" s="474"/>
      <c r="J115" s="473"/>
      <c r="K115" s="475"/>
      <c r="L115" s="476"/>
      <c r="M115" s="477"/>
      <c r="N115" s="475"/>
      <c r="O115" s="475"/>
      <c r="P115" s="475">
        <f>Anexo!D57</f>
        <v>0.21812211539047621</v>
      </c>
      <c r="Q115" s="498">
        <f t="shared" si="7"/>
        <v>0.87248846156190485</v>
      </c>
    </row>
    <row r="116" spans="1:17" s="122" customFormat="1" ht="25.5" x14ac:dyDescent="0.2">
      <c r="A116" s="117"/>
      <c r="B116" s="118"/>
      <c r="C116" s="394" t="s">
        <v>173</v>
      </c>
      <c r="D116" s="386" t="s">
        <v>196</v>
      </c>
      <c r="E116" s="472" t="str">
        <f>E54</f>
        <v>und</v>
      </c>
      <c r="F116" s="473">
        <f>F54</f>
        <v>4</v>
      </c>
      <c r="G116" s="474"/>
      <c r="H116" s="474"/>
      <c r="I116" s="474"/>
      <c r="J116" s="473"/>
      <c r="K116" s="475"/>
      <c r="L116" s="476"/>
      <c r="M116" s="477"/>
      <c r="N116" s="475"/>
      <c r="O116" s="475"/>
      <c r="P116" s="475"/>
      <c r="Q116" s="476">
        <f>F116</f>
        <v>4</v>
      </c>
    </row>
    <row r="117" spans="1:17" s="122" customFormat="1" ht="12.75" x14ac:dyDescent="0.2">
      <c r="A117" s="117"/>
      <c r="B117" s="682"/>
      <c r="C117" s="657"/>
      <c r="D117" s="384" t="s">
        <v>38</v>
      </c>
      <c r="E117" s="130" t="s">
        <v>37</v>
      </c>
      <c r="F117" s="473"/>
      <c r="G117" s="474"/>
      <c r="H117" s="474"/>
      <c r="I117" s="474"/>
      <c r="J117" s="473"/>
      <c r="K117" s="475"/>
      <c r="L117" s="476"/>
      <c r="M117" s="477"/>
      <c r="N117" s="475"/>
      <c r="O117" s="475"/>
      <c r="P117" s="475">
        <f>Anexo!D111</f>
        <v>0.25001405653333331</v>
      </c>
      <c r="Q117" s="498">
        <f>P117*$Q$116</f>
        <v>1.0000562261333332</v>
      </c>
    </row>
    <row r="118" spans="1:17" s="122" customFormat="1" ht="12.75" x14ac:dyDescent="0.2">
      <c r="A118" s="117"/>
      <c r="B118" s="682"/>
      <c r="C118" s="657"/>
      <c r="D118" s="384" t="s">
        <v>39</v>
      </c>
      <c r="E118" s="130" t="s">
        <v>37</v>
      </c>
      <c r="F118" s="473"/>
      <c r="G118" s="474"/>
      <c r="H118" s="474"/>
      <c r="I118" s="474"/>
      <c r="J118" s="473"/>
      <c r="K118" s="475"/>
      <c r="L118" s="476"/>
      <c r="M118" s="477"/>
      <c r="N118" s="475"/>
      <c r="O118" s="475"/>
      <c r="P118" s="475">
        <f>Anexo!D112</f>
        <v>0.32233662582857142</v>
      </c>
      <c r="Q118" s="498">
        <f t="shared" ref="Q118:Q119" si="8">P118*$Q$116</f>
        <v>1.2893465033142857</v>
      </c>
    </row>
    <row r="119" spans="1:17" s="122" customFormat="1" ht="12.75" x14ac:dyDescent="0.2">
      <c r="A119" s="117"/>
      <c r="B119" s="682"/>
      <c r="D119" s="384" t="s">
        <v>40</v>
      </c>
      <c r="E119" s="130" t="s">
        <v>37</v>
      </c>
      <c r="F119" s="473"/>
      <c r="G119" s="474"/>
      <c r="H119" s="474"/>
      <c r="I119" s="474"/>
      <c r="J119" s="473"/>
      <c r="K119" s="475"/>
      <c r="L119" s="476"/>
      <c r="M119" s="477"/>
      <c r="N119" s="475"/>
      <c r="O119" s="475"/>
      <c r="P119" s="475">
        <f>Anexo!D113</f>
        <v>0.14308767059047617</v>
      </c>
      <c r="Q119" s="498">
        <f t="shared" si="8"/>
        <v>0.57235068236190467</v>
      </c>
    </row>
    <row r="120" spans="1:17" s="122" customFormat="1" ht="12.75" x14ac:dyDescent="0.2">
      <c r="A120" s="117"/>
      <c r="B120" s="118"/>
      <c r="C120" s="394" t="s">
        <v>207</v>
      </c>
      <c r="D120" s="385" t="s">
        <v>197</v>
      </c>
      <c r="E120" s="472" t="str">
        <f>E64</f>
        <v>und</v>
      </c>
      <c r="F120" s="472">
        <f>F64</f>
        <v>4</v>
      </c>
      <c r="G120" s="474"/>
      <c r="H120" s="474"/>
      <c r="I120" s="474"/>
      <c r="J120" s="473"/>
      <c r="K120" s="475"/>
      <c r="L120" s="476"/>
      <c r="M120" s="477"/>
      <c r="N120" s="475"/>
      <c r="O120" s="475"/>
      <c r="P120" s="475"/>
      <c r="Q120" s="476">
        <f>F120</f>
        <v>4</v>
      </c>
    </row>
    <row r="121" spans="1:17" s="122" customFormat="1" ht="12.75" x14ac:dyDescent="0.2">
      <c r="A121" s="117"/>
      <c r="B121" s="118"/>
      <c r="C121" s="657"/>
      <c r="D121" s="384" t="s">
        <v>38</v>
      </c>
      <c r="E121" s="130" t="s">
        <v>37</v>
      </c>
      <c r="F121" s="473"/>
      <c r="G121" s="474"/>
      <c r="H121" s="474"/>
      <c r="I121" s="474"/>
      <c r="J121" s="473"/>
      <c r="K121" s="475"/>
      <c r="L121" s="476"/>
      <c r="M121" s="477"/>
      <c r="N121" s="475"/>
      <c r="O121" s="475"/>
      <c r="P121" s="475">
        <f>Anexo!D172</f>
        <v>2.7365002666666673</v>
      </c>
      <c r="Q121" s="498">
        <f>P121*$Q$120</f>
        <v>10.946001066666669</v>
      </c>
    </row>
    <row r="122" spans="1:17" s="122" customFormat="1" ht="12.75" x14ac:dyDescent="0.2">
      <c r="A122" s="117"/>
      <c r="B122" s="118"/>
      <c r="C122" s="394"/>
      <c r="D122" s="384" t="s">
        <v>39</v>
      </c>
      <c r="E122" s="130" t="s">
        <v>37</v>
      </c>
      <c r="F122" s="473"/>
      <c r="G122" s="474"/>
      <c r="H122" s="474"/>
      <c r="I122" s="474"/>
      <c r="J122" s="473"/>
      <c r="K122" s="475"/>
      <c r="L122" s="476"/>
      <c r="M122" s="477"/>
      <c r="N122" s="475"/>
      <c r="O122" s="475"/>
      <c r="P122" s="475">
        <f>Anexo!D173</f>
        <v>3.5183574857142861</v>
      </c>
      <c r="Q122" s="498">
        <f t="shared" ref="Q122:Q123" si="9">P122*$Q$120</f>
        <v>14.073429942857144</v>
      </c>
    </row>
    <row r="123" spans="1:17" s="122" customFormat="1" ht="12.75" x14ac:dyDescent="0.2">
      <c r="A123" s="117"/>
      <c r="B123" s="118"/>
      <c r="C123" s="394"/>
      <c r="D123" s="384" t="s">
        <v>40</v>
      </c>
      <c r="E123" s="130" t="s">
        <v>37</v>
      </c>
      <c r="F123" s="473"/>
      <c r="G123" s="474"/>
      <c r="H123" s="474"/>
      <c r="I123" s="474"/>
      <c r="J123" s="473"/>
      <c r="K123" s="475"/>
      <c r="L123" s="476"/>
      <c r="M123" s="477"/>
      <c r="N123" s="475"/>
      <c r="O123" s="475"/>
      <c r="P123" s="475">
        <f>Anexo!D174</f>
        <v>1.5637144380952384</v>
      </c>
      <c r="Q123" s="498">
        <f t="shared" si="9"/>
        <v>6.2548577523809534</v>
      </c>
    </row>
    <row r="124" spans="1:17" s="122" customFormat="1" ht="12.75" x14ac:dyDescent="0.2">
      <c r="A124" s="117"/>
      <c r="B124" s="118"/>
      <c r="C124" s="394" t="s">
        <v>208</v>
      </c>
      <c r="D124" s="385" t="s">
        <v>198</v>
      </c>
      <c r="E124" s="472" t="str">
        <f>E77</f>
        <v>und</v>
      </c>
      <c r="F124" s="472">
        <f>F77</f>
        <v>3</v>
      </c>
      <c r="G124" s="474"/>
      <c r="H124" s="474"/>
      <c r="I124" s="474"/>
      <c r="J124" s="473"/>
      <c r="K124" s="475"/>
      <c r="L124" s="476"/>
      <c r="M124" s="477"/>
      <c r="N124" s="475"/>
      <c r="O124" s="475"/>
      <c r="P124" s="475"/>
      <c r="Q124" s="476">
        <f>F124</f>
        <v>3</v>
      </c>
    </row>
    <row r="125" spans="1:17" s="122" customFormat="1" ht="12.75" x14ac:dyDescent="0.2">
      <c r="A125" s="117"/>
      <c r="B125" s="118"/>
      <c r="C125" s="657"/>
      <c r="D125" s="384" t="s">
        <v>38</v>
      </c>
      <c r="E125" s="130" t="s">
        <v>37</v>
      </c>
      <c r="F125" s="473"/>
      <c r="G125" s="474"/>
      <c r="H125" s="474"/>
      <c r="I125" s="474"/>
      <c r="J125" s="473"/>
      <c r="K125" s="475"/>
      <c r="L125" s="476"/>
      <c r="M125" s="477"/>
      <c r="N125" s="475"/>
      <c r="O125" s="475"/>
      <c r="P125" s="475">
        <f>Anexo!D213</f>
        <v>0.44031680000000006</v>
      </c>
      <c r="Q125" s="498">
        <f>P125*$Q$124</f>
        <v>1.3209504000000001</v>
      </c>
    </row>
    <row r="126" spans="1:17" s="122" customFormat="1" ht="12.75" x14ac:dyDescent="0.2">
      <c r="A126" s="117"/>
      <c r="B126" s="118"/>
      <c r="C126" s="394"/>
      <c r="D126" s="384" t="s">
        <v>39</v>
      </c>
      <c r="E126" s="130" t="s">
        <v>37</v>
      </c>
      <c r="F126" s="473"/>
      <c r="G126" s="474"/>
      <c r="H126" s="474"/>
      <c r="I126" s="474"/>
      <c r="J126" s="473"/>
      <c r="K126" s="475"/>
      <c r="L126" s="476"/>
      <c r="M126" s="477"/>
      <c r="N126" s="475"/>
      <c r="O126" s="475"/>
      <c r="P126" s="475">
        <f>Anexo!D214</f>
        <v>0.5661216</v>
      </c>
      <c r="Q126" s="498">
        <f t="shared" ref="Q126:Q127" si="10">P126*$Q$124</f>
        <v>1.6983648</v>
      </c>
    </row>
    <row r="127" spans="1:17" s="122" customFormat="1" ht="12.75" x14ac:dyDescent="0.2">
      <c r="A127" s="117"/>
      <c r="B127" s="118"/>
      <c r="C127" s="394"/>
      <c r="D127" s="384" t="s">
        <v>40</v>
      </c>
      <c r="E127" s="130" t="s">
        <v>37</v>
      </c>
      <c r="F127" s="473"/>
      <c r="G127" s="474"/>
      <c r="H127" s="474"/>
      <c r="I127" s="474"/>
      <c r="J127" s="473"/>
      <c r="K127" s="475"/>
      <c r="L127" s="476"/>
      <c r="M127" s="477"/>
      <c r="N127" s="475"/>
      <c r="O127" s="475"/>
      <c r="P127" s="475">
        <f>Anexo!D215</f>
        <v>0.25160959999999999</v>
      </c>
      <c r="Q127" s="498">
        <f t="shared" si="10"/>
        <v>0.75482879999999997</v>
      </c>
    </row>
    <row r="128" spans="1:17" s="122" customFormat="1" ht="12.75" x14ac:dyDescent="0.2">
      <c r="A128" s="117"/>
      <c r="B128" s="118"/>
      <c r="C128" s="394" t="s">
        <v>209</v>
      </c>
      <c r="D128" s="385" t="s">
        <v>199</v>
      </c>
      <c r="E128" s="472" t="str">
        <f>E80</f>
        <v>und</v>
      </c>
      <c r="F128" s="490">
        <f>F80</f>
        <v>3</v>
      </c>
      <c r="G128" s="474"/>
      <c r="H128" s="474"/>
      <c r="I128" s="474"/>
      <c r="J128" s="473"/>
      <c r="K128" s="475"/>
      <c r="L128" s="476"/>
      <c r="M128" s="477"/>
      <c r="N128" s="475"/>
      <c r="O128" s="475"/>
      <c r="P128" s="475"/>
      <c r="Q128" s="476">
        <f>F128</f>
        <v>3</v>
      </c>
    </row>
    <row r="129" spans="1:17" s="122" customFormat="1" ht="12.75" x14ac:dyDescent="0.2">
      <c r="A129" s="117"/>
      <c r="B129" s="682"/>
      <c r="C129" s="673"/>
      <c r="D129" s="384" t="s">
        <v>38</v>
      </c>
      <c r="E129" s="130" t="s">
        <v>37</v>
      </c>
      <c r="F129" s="473"/>
      <c r="G129" s="474"/>
      <c r="H129" s="474"/>
      <c r="I129" s="474"/>
      <c r="J129" s="473"/>
      <c r="K129" s="475"/>
      <c r="L129" s="476"/>
      <c r="M129" s="477"/>
      <c r="N129" s="475"/>
      <c r="O129" s="475"/>
      <c r="P129" s="475">
        <f>Anexo!D254</f>
        <v>0.41826400000000019</v>
      </c>
      <c r="Q129" s="498">
        <f>P129*$Q$128</f>
        <v>1.2547920000000006</v>
      </c>
    </row>
    <row r="130" spans="1:17" s="122" customFormat="1" ht="12.75" x14ac:dyDescent="0.2">
      <c r="A130" s="117"/>
      <c r="B130" s="118"/>
      <c r="C130" s="394"/>
      <c r="D130" s="384" t="s">
        <v>39</v>
      </c>
      <c r="E130" s="130" t="s">
        <v>37</v>
      </c>
      <c r="F130" s="473"/>
      <c r="G130" s="474"/>
      <c r="H130" s="474"/>
      <c r="I130" s="474"/>
      <c r="J130" s="473"/>
      <c r="K130" s="475"/>
      <c r="L130" s="476"/>
      <c r="M130" s="477"/>
      <c r="N130" s="475"/>
      <c r="O130" s="475"/>
      <c r="P130" s="475">
        <f>Anexo!D255</f>
        <v>0.53776800000000013</v>
      </c>
      <c r="Q130" s="498">
        <f t="shared" ref="Q130:Q131" si="11">P130*$Q$128</f>
        <v>1.6133040000000003</v>
      </c>
    </row>
    <row r="131" spans="1:17" s="122" customFormat="1" ht="12.75" x14ac:dyDescent="0.2">
      <c r="A131" s="117"/>
      <c r="B131" s="118"/>
      <c r="C131" s="394"/>
      <c r="D131" s="384" t="s">
        <v>40</v>
      </c>
      <c r="E131" s="130" t="s">
        <v>37</v>
      </c>
      <c r="F131" s="473"/>
      <c r="G131" s="474"/>
      <c r="H131" s="474"/>
      <c r="I131" s="474"/>
      <c r="J131" s="473"/>
      <c r="K131" s="475"/>
      <c r="L131" s="476"/>
      <c r="M131" s="477"/>
      <c r="N131" s="475"/>
      <c r="O131" s="475"/>
      <c r="P131" s="475">
        <f>Anexo!D256</f>
        <v>0.23900800000000008</v>
      </c>
      <c r="Q131" s="498">
        <f t="shared" si="11"/>
        <v>0.71702400000000022</v>
      </c>
    </row>
    <row r="132" spans="1:17" s="122" customFormat="1" ht="12.75" x14ac:dyDescent="0.2">
      <c r="A132" s="117"/>
      <c r="B132" s="118"/>
      <c r="C132" s="394" t="s">
        <v>210</v>
      </c>
      <c r="D132" s="487" t="s">
        <v>200</v>
      </c>
      <c r="E132" s="472" t="str">
        <f>E83</f>
        <v>m</v>
      </c>
      <c r="F132" s="472">
        <f>F83</f>
        <v>22</v>
      </c>
      <c r="G132" s="474">
        <f>G83</f>
        <v>28.42</v>
      </c>
      <c r="H132" s="474"/>
      <c r="I132" s="474"/>
      <c r="J132" s="473"/>
      <c r="K132" s="422">
        <f>+PRODUCT(F132:J132)</f>
        <v>625.24</v>
      </c>
      <c r="L132" s="476"/>
      <c r="M132" s="477"/>
      <c r="N132" s="475"/>
      <c r="O132" s="475"/>
      <c r="P132" s="475"/>
      <c r="Q132" s="422">
        <f>+K132</f>
        <v>625.24</v>
      </c>
    </row>
    <row r="133" spans="1:17" s="122" customFormat="1" ht="12.75" x14ac:dyDescent="0.2">
      <c r="A133" s="117"/>
      <c r="B133" s="118"/>
      <c r="C133" s="394"/>
      <c r="D133" s="384" t="s">
        <v>38</v>
      </c>
      <c r="E133" s="130" t="s">
        <v>37</v>
      </c>
      <c r="F133" s="473"/>
      <c r="G133" s="474"/>
      <c r="H133" s="474"/>
      <c r="I133" s="474"/>
      <c r="J133" s="473"/>
      <c r="K133" s="475"/>
      <c r="L133" s="476"/>
      <c r="M133" s="477"/>
      <c r="N133" s="475"/>
      <c r="O133" s="475"/>
      <c r="P133" s="475">
        <f>Anexo!D300</f>
        <v>3.2584076941121275E-2</v>
      </c>
      <c r="Q133" s="498">
        <f>P133*$Q$132</f>
        <v>20.372868266666668</v>
      </c>
    </row>
    <row r="134" spans="1:17" s="122" customFormat="1" ht="12.75" x14ac:dyDescent="0.2">
      <c r="A134" s="117"/>
      <c r="B134" s="118"/>
      <c r="C134" s="394"/>
      <c r="D134" s="384" t="s">
        <v>39</v>
      </c>
      <c r="E134" s="130" t="s">
        <v>37</v>
      </c>
      <c r="F134" s="473"/>
      <c r="G134" s="474"/>
      <c r="H134" s="474"/>
      <c r="I134" s="474"/>
      <c r="J134" s="473"/>
      <c r="K134" s="475"/>
      <c r="L134" s="476"/>
      <c r="M134" s="477"/>
      <c r="N134" s="475"/>
      <c r="O134" s="475"/>
      <c r="P134" s="475">
        <f>Anexo!D301</f>
        <v>2.2282384638584497E-2</v>
      </c>
      <c r="Q134" s="498">
        <f t="shared" ref="Q134:Q135" si="12">P134*$Q$132</f>
        <v>13.931838171428572</v>
      </c>
    </row>
    <row r="135" spans="1:17" s="122" customFormat="1" ht="12.75" x14ac:dyDescent="0.2">
      <c r="A135" s="117"/>
      <c r="B135" s="118"/>
      <c r="C135" s="394"/>
      <c r="D135" s="384" t="s">
        <v>40</v>
      </c>
      <c r="E135" s="130" t="s">
        <v>37</v>
      </c>
      <c r="F135" s="473"/>
      <c r="G135" s="474"/>
      <c r="H135" s="474"/>
      <c r="I135" s="474"/>
      <c r="J135" s="473"/>
      <c r="K135" s="475"/>
      <c r="L135" s="476"/>
      <c r="M135" s="477"/>
      <c r="N135" s="475"/>
      <c r="O135" s="475"/>
      <c r="P135" s="475">
        <f>Anexo!D302</f>
        <v>1.3716615394926444E-2</v>
      </c>
      <c r="Q135" s="498">
        <f t="shared" si="12"/>
        <v>8.5761766095238094</v>
      </c>
    </row>
    <row r="136" spans="1:17" s="122" customFormat="1" ht="12.6" customHeight="1" x14ac:dyDescent="0.2">
      <c r="A136" s="117"/>
      <c r="B136" s="118"/>
      <c r="C136" s="447" t="s">
        <v>211</v>
      </c>
      <c r="D136" s="448" t="s">
        <v>97</v>
      </c>
      <c r="E136" s="449"/>
      <c r="F136" s="450"/>
      <c r="G136" s="451"/>
      <c r="H136" s="451"/>
      <c r="I136" s="451"/>
      <c r="J136" s="450"/>
      <c r="K136" s="451"/>
      <c r="L136" s="452"/>
      <c r="M136" s="452"/>
      <c r="N136" s="451"/>
      <c r="O136" s="451"/>
      <c r="P136" s="453"/>
      <c r="Q136" s="451"/>
    </row>
    <row r="137" spans="1:17" s="122" customFormat="1" ht="12.75" x14ac:dyDescent="0.25">
      <c r="B137" s="403"/>
      <c r="C137" s="427" t="s">
        <v>212</v>
      </c>
      <c r="D137" s="438" t="s">
        <v>286</v>
      </c>
      <c r="E137" s="439" t="s">
        <v>18</v>
      </c>
      <c r="F137" s="440">
        <v>1</v>
      </c>
      <c r="G137" s="464">
        <v>28.42</v>
      </c>
      <c r="H137" s="441">
        <v>25.36</v>
      </c>
      <c r="I137" s="441"/>
      <c r="J137" s="442">
        <v>1</v>
      </c>
      <c r="K137" s="443"/>
      <c r="L137" s="444">
        <f>G137*H137</f>
        <v>720.73120000000006</v>
      </c>
      <c r="M137" s="445"/>
      <c r="N137" s="445"/>
      <c r="O137" s="445"/>
      <c r="P137" s="445"/>
      <c r="Q137" s="446">
        <f>L137</f>
        <v>720.73120000000006</v>
      </c>
    </row>
    <row r="138" spans="1:17" ht="12.6" customHeight="1" x14ac:dyDescent="0.25">
      <c r="C138" s="694"/>
      <c r="D138" s="695" t="s">
        <v>287</v>
      </c>
      <c r="E138" s="696" t="s">
        <v>18</v>
      </c>
      <c r="F138" s="697">
        <v>1</v>
      </c>
      <c r="G138" s="697">
        <v>26.97</v>
      </c>
      <c r="H138" s="698">
        <v>1.07</v>
      </c>
      <c r="I138" s="697"/>
      <c r="J138" s="697">
        <v>29</v>
      </c>
      <c r="K138" s="697"/>
      <c r="L138" s="699">
        <f>PRODUCT(F138:J138)</f>
        <v>836.87909999999999</v>
      </c>
      <c r="M138" s="697"/>
      <c r="N138" s="697"/>
      <c r="O138" s="700"/>
      <c r="P138" s="701">
        <f>(L138*7.55%+L138)/L137</f>
        <v>1.2488199096278889</v>
      </c>
      <c r="Q138" s="544">
        <f>Q137*P138</f>
        <v>900.06347204999997</v>
      </c>
    </row>
    <row r="139" spans="1:17" ht="12.6" customHeight="1" x14ac:dyDescent="0.25">
      <c r="C139" s="694"/>
      <c r="D139" s="695" t="s">
        <v>288</v>
      </c>
      <c r="E139" s="696" t="s">
        <v>22</v>
      </c>
      <c r="F139" s="697">
        <v>4</v>
      </c>
      <c r="G139" s="697"/>
      <c r="H139" s="698"/>
      <c r="I139" s="697"/>
      <c r="J139" s="697"/>
      <c r="K139" s="697"/>
      <c r="L139" s="697"/>
      <c r="M139" s="697"/>
      <c r="N139" s="697"/>
      <c r="O139" s="700"/>
      <c r="P139" s="700">
        <f>F139</f>
        <v>4</v>
      </c>
      <c r="Q139" s="544">
        <f>P139*Q138</f>
        <v>3600.2538881999999</v>
      </c>
    </row>
    <row r="140" spans="1:17" ht="12.6" customHeight="1" x14ac:dyDescent="0.2">
      <c r="C140" s="683"/>
      <c r="D140" s="687" t="s">
        <v>289</v>
      </c>
      <c r="E140" s="684" t="s">
        <v>22</v>
      </c>
      <c r="F140" s="688">
        <v>6.4000000000000001E-2</v>
      </c>
      <c r="G140" s="689"/>
      <c r="H140" s="685"/>
      <c r="I140" s="689"/>
      <c r="J140" s="690"/>
      <c r="K140" s="691"/>
      <c r="L140" s="691"/>
      <c r="M140" s="689"/>
      <c r="N140" s="689"/>
      <c r="O140" s="692"/>
      <c r="P140" s="686">
        <f>F140+10%*F140</f>
        <v>7.0400000000000004E-2</v>
      </c>
      <c r="Q140" s="544">
        <f>P140*Q138</f>
        <v>63.364468432320002</v>
      </c>
    </row>
    <row r="141" spans="1:17" ht="12.6" customHeight="1" x14ac:dyDescent="0.25">
      <c r="C141" s="395"/>
      <c r="O141" s="693"/>
    </row>
    <row r="142" spans="1:17" ht="12.6" customHeight="1" x14ac:dyDescent="0.25">
      <c r="C142" s="395"/>
    </row>
    <row r="143" spans="1:17" ht="12.6" customHeight="1" x14ac:dyDescent="0.25">
      <c r="C143" s="395"/>
    </row>
    <row r="144" spans="1:17" ht="12.6" customHeight="1" x14ac:dyDescent="0.25">
      <c r="C144" s="395"/>
    </row>
    <row r="145" spans="1:17" ht="12.6" customHeight="1" x14ac:dyDescent="0.25">
      <c r="C145" s="395"/>
    </row>
    <row r="146" spans="1:17" ht="12.6" customHeight="1" x14ac:dyDescent="0.25">
      <c r="C146" s="395"/>
    </row>
    <row r="147" spans="1:17" ht="12.6" customHeight="1" x14ac:dyDescent="0.25">
      <c r="A147" s="55"/>
      <c r="C147" s="39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</row>
    <row r="148" spans="1:17" ht="12.6" customHeight="1" x14ac:dyDescent="0.25">
      <c r="A148" s="55"/>
      <c r="C148" s="39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ht="12.6" customHeight="1" x14ac:dyDescent="0.25">
      <c r="A149" s="55"/>
      <c r="C149" s="39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ht="12.6" customHeight="1" x14ac:dyDescent="0.25">
      <c r="A150" s="55"/>
      <c r="C150" s="39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</row>
    <row r="151" spans="1:17" ht="12.6" customHeight="1" x14ac:dyDescent="0.25">
      <c r="A151" s="55"/>
      <c r="C151" s="39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</row>
  </sheetData>
  <autoFilter ref="D14:D137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1" type="noConversion"/>
  <conditionalFormatting sqref="N37">
    <cfRule type="colorScale" priority="1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0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1:N102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0:N42">
    <cfRule type="colorScale" priority="2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7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colorScale" priority="2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4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:N10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3">
    <cfRule type="colorScale" priority="2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1">
    <cfRule type="colorScale" priority="2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:N6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2">
    <cfRule type="colorScale" priority="2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45">
    <cfRule type="colorScale" priority="2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6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N5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6">
    <cfRule type="colorScale" priority="2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6:N1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8:N1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1:N115 N108 N120:N127 N132:N135">
    <cfRule type="colorScale" priority="2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39370078740157483" right="0" top="0.19685039370078741" bottom="0.78740157480314965" header="0.19685039370078741" footer="0.39370078740157483"/>
  <pageSetup paperSize="9" scale="70" fitToHeight="0" orientation="portrait" r:id="rId1"/>
  <headerFooter alignWithMargins="0">
    <oddFooter>&amp;C&amp;6Página &amp;P</oddFooter>
  </headerFooter>
  <rowBreaks count="2" manualBreakCount="2">
    <brk id="82" min="1" max="16" man="1"/>
    <brk id="140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40"/>
  <sheetViews>
    <sheetView zoomScale="120" zoomScaleNormal="120" workbookViewId="0">
      <pane ySplit="1830" activePane="bottomLeft"/>
      <selection activeCell="E1" sqref="E1:E1048576"/>
      <selection pane="bottomLeft" activeCell="E17" sqref="E17"/>
    </sheetView>
  </sheetViews>
  <sheetFormatPr baseColWidth="10" defaultColWidth="11.5703125" defaultRowHeight="15" x14ac:dyDescent="0.25"/>
  <cols>
    <col min="1" max="2" width="11.5703125" style="160"/>
    <col min="3" max="3" width="34.28515625" style="159" customWidth="1"/>
    <col min="4" max="4" width="22.7109375" style="160" customWidth="1"/>
    <col min="5" max="5" width="11.5703125" style="159"/>
    <col min="6" max="6" width="11.5703125" style="160"/>
    <col min="7" max="8" width="15.7109375" style="160" customWidth="1"/>
    <col min="9" max="9" width="10.5703125" style="159" customWidth="1"/>
    <col min="10" max="10" width="9.140625" style="160" customWidth="1"/>
    <col min="11" max="11" width="23" style="160" customWidth="1"/>
    <col min="12" max="16384" width="11.5703125" style="160"/>
  </cols>
  <sheetData>
    <row r="2" spans="2:11" ht="18.75" x14ac:dyDescent="0.3">
      <c r="B2" s="631" t="s">
        <v>220</v>
      </c>
      <c r="C2" s="631"/>
      <c r="D2" s="631"/>
      <c r="E2" s="631"/>
      <c r="F2" s="631"/>
      <c r="G2" s="631"/>
      <c r="H2" s="631"/>
      <c r="I2" s="631"/>
      <c r="J2" s="631"/>
      <c r="K2" s="631"/>
    </row>
    <row r="3" spans="2:11" ht="14.45" customHeight="1" x14ac:dyDescent="0.25">
      <c r="B3" s="628" t="s">
        <v>5</v>
      </c>
      <c r="C3" s="628" t="s">
        <v>223</v>
      </c>
      <c r="D3" s="628" t="s">
        <v>224</v>
      </c>
      <c r="E3" s="628" t="s">
        <v>11</v>
      </c>
      <c r="F3" s="632" t="s">
        <v>215</v>
      </c>
      <c r="G3" s="629" t="s">
        <v>235</v>
      </c>
      <c r="H3" s="629"/>
      <c r="I3" s="630" t="s">
        <v>218</v>
      </c>
      <c r="J3" s="628" t="s">
        <v>219</v>
      </c>
      <c r="K3" s="628"/>
    </row>
    <row r="4" spans="2:11" x14ac:dyDescent="0.25">
      <c r="B4" s="628"/>
      <c r="C4" s="628"/>
      <c r="D4" s="628"/>
      <c r="E4" s="628"/>
      <c r="F4" s="632"/>
      <c r="G4" s="508" t="s">
        <v>217</v>
      </c>
      <c r="H4" s="508" t="s">
        <v>216</v>
      </c>
      <c r="I4" s="630"/>
      <c r="J4" s="628"/>
      <c r="K4" s="628"/>
    </row>
    <row r="5" spans="2:11" x14ac:dyDescent="0.25">
      <c r="B5" s="509">
        <v>1</v>
      </c>
      <c r="C5" s="510" t="s">
        <v>222</v>
      </c>
      <c r="D5" s="511" t="s">
        <v>260</v>
      </c>
      <c r="E5" s="515">
        <f>Metrado!Q39</f>
        <v>1.0550400000000002</v>
      </c>
      <c r="F5" s="516" t="s">
        <v>18</v>
      </c>
      <c r="G5" s="516" t="s">
        <v>236</v>
      </c>
      <c r="H5" s="516" t="s">
        <v>237</v>
      </c>
      <c r="I5" s="518">
        <v>1</v>
      </c>
      <c r="J5" s="519" t="s">
        <v>247</v>
      </c>
      <c r="K5" s="511"/>
    </row>
    <row r="6" spans="2:11" x14ac:dyDescent="0.25">
      <c r="B6" s="509">
        <v>2</v>
      </c>
      <c r="C6" s="510" t="s">
        <v>221</v>
      </c>
      <c r="D6" s="511" t="s">
        <v>260</v>
      </c>
      <c r="E6" s="515">
        <f>Metrado!Q70+Metrado!Q91</f>
        <v>8.7763200000000001</v>
      </c>
      <c r="F6" s="516" t="s">
        <v>18</v>
      </c>
      <c r="G6" s="516" t="s">
        <v>236</v>
      </c>
      <c r="H6" s="516" t="s">
        <v>237</v>
      </c>
      <c r="I6" s="518">
        <f>E6/2.88+2</f>
        <v>5.0473333333333334</v>
      </c>
      <c r="J6" s="519" t="s">
        <v>247</v>
      </c>
      <c r="K6" s="511"/>
    </row>
    <row r="7" spans="2:11" x14ac:dyDescent="0.25">
      <c r="B7" s="509">
        <v>3</v>
      </c>
      <c r="C7" s="510" t="s">
        <v>256</v>
      </c>
      <c r="D7" s="511" t="s">
        <v>260</v>
      </c>
      <c r="E7" s="515">
        <f>Metrado!Q46+Metrado!Q56+Metrado!Q67</f>
        <v>6.4856400000000001</v>
      </c>
      <c r="F7" s="516" t="s">
        <v>18</v>
      </c>
      <c r="G7" s="516" t="s">
        <v>236</v>
      </c>
      <c r="H7" s="516" t="s">
        <v>237</v>
      </c>
      <c r="I7" s="518">
        <v>4</v>
      </c>
      <c r="J7" s="519" t="s">
        <v>247</v>
      </c>
      <c r="K7" s="511"/>
    </row>
    <row r="8" spans="2:11" x14ac:dyDescent="0.25">
      <c r="B8" s="509">
        <v>4</v>
      </c>
      <c r="C8" s="513" t="s">
        <v>166</v>
      </c>
      <c r="D8" s="511" t="s">
        <v>261</v>
      </c>
      <c r="E8" s="515">
        <f>Metrado!Q95</f>
        <v>36.346338000000003</v>
      </c>
      <c r="F8" s="516" t="s">
        <v>18</v>
      </c>
      <c r="G8" s="516" t="s">
        <v>236</v>
      </c>
      <c r="H8" s="516" t="s">
        <v>237</v>
      </c>
      <c r="I8" s="518">
        <f>E8/2.88</f>
        <v>12.620256250000001</v>
      </c>
      <c r="J8" s="519" t="s">
        <v>247</v>
      </c>
      <c r="K8" s="511" t="s">
        <v>262</v>
      </c>
    </row>
    <row r="9" spans="2:11" x14ac:dyDescent="0.25">
      <c r="B9" s="509">
        <v>5</v>
      </c>
      <c r="C9" s="513" t="s">
        <v>167</v>
      </c>
      <c r="D9" s="511" t="s">
        <v>239</v>
      </c>
      <c r="E9" s="515">
        <f>Metrado!Q96</f>
        <v>17.64</v>
      </c>
      <c r="F9" s="516" t="s">
        <v>21</v>
      </c>
      <c r="G9" s="516" t="s">
        <v>238</v>
      </c>
      <c r="H9" s="516" t="s">
        <v>240</v>
      </c>
      <c r="I9" s="518">
        <f>E9/6</f>
        <v>2.94</v>
      </c>
      <c r="J9" s="519" t="s">
        <v>245</v>
      </c>
      <c r="K9" s="511"/>
    </row>
    <row r="10" spans="2:11" x14ac:dyDescent="0.25">
      <c r="B10" s="509">
        <v>6</v>
      </c>
      <c r="C10" s="513" t="s">
        <v>249</v>
      </c>
      <c r="D10" s="511" t="s">
        <v>239</v>
      </c>
      <c r="E10" s="515">
        <f>Metrado!Q88</f>
        <v>360.51749999999998</v>
      </c>
      <c r="F10" s="516" t="s">
        <v>21</v>
      </c>
      <c r="G10" s="516" t="s">
        <v>238</v>
      </c>
      <c r="H10" s="516" t="s">
        <v>240</v>
      </c>
      <c r="I10" s="518">
        <f>E10/6</f>
        <v>60.08625</v>
      </c>
      <c r="J10" s="519" t="s">
        <v>245</v>
      </c>
      <c r="K10" s="511"/>
    </row>
    <row r="11" spans="2:11" x14ac:dyDescent="0.25">
      <c r="B11" s="509">
        <v>7</v>
      </c>
      <c r="C11" s="513" t="s">
        <v>275</v>
      </c>
      <c r="D11" s="511" t="s">
        <v>239</v>
      </c>
      <c r="E11" s="515">
        <f>Metrado!Q89</f>
        <v>3.9690000000000007</v>
      </c>
      <c r="F11" s="516" t="s">
        <v>21</v>
      </c>
      <c r="G11" s="516">
        <v>1.8</v>
      </c>
      <c r="H11" s="516" t="s">
        <v>240</v>
      </c>
      <c r="I11" s="518">
        <f>E11/1.8+1</f>
        <v>3.2050000000000005</v>
      </c>
      <c r="J11" s="519" t="s">
        <v>245</v>
      </c>
      <c r="K11" s="511"/>
    </row>
    <row r="12" spans="2:11" x14ac:dyDescent="0.25">
      <c r="B12" s="509">
        <v>8</v>
      </c>
      <c r="C12" s="512" t="s">
        <v>188</v>
      </c>
      <c r="D12" s="516" t="s">
        <v>240</v>
      </c>
      <c r="E12" s="515">
        <f>Metrado!Q51+Metrado!Q61</f>
        <v>1.92</v>
      </c>
      <c r="F12" s="516" t="s">
        <v>18</v>
      </c>
      <c r="G12" s="509" t="s">
        <v>240</v>
      </c>
      <c r="H12" s="516" t="s">
        <v>240</v>
      </c>
      <c r="I12" s="520">
        <v>2.4</v>
      </c>
      <c r="J12" s="519" t="s">
        <v>18</v>
      </c>
      <c r="K12" s="511"/>
    </row>
    <row r="13" spans="2:11" x14ac:dyDescent="0.25">
      <c r="B13" s="509">
        <v>9</v>
      </c>
      <c r="C13" s="514" t="s">
        <v>231</v>
      </c>
      <c r="D13" s="511" t="s">
        <v>263</v>
      </c>
      <c r="E13" s="515">
        <f>Metrado!Q45+Metrado!Q55</f>
        <v>60.900000000000006</v>
      </c>
      <c r="F13" s="516" t="s">
        <v>21</v>
      </c>
      <c r="G13" s="516" t="s">
        <v>238</v>
      </c>
      <c r="H13" s="516" t="s">
        <v>240</v>
      </c>
      <c r="I13" s="520">
        <v>13</v>
      </c>
      <c r="J13" s="519" t="s">
        <v>246</v>
      </c>
      <c r="K13" s="511"/>
    </row>
    <row r="14" spans="2:11" x14ac:dyDescent="0.25">
      <c r="B14" s="509">
        <v>10</v>
      </c>
      <c r="C14" s="512" t="s">
        <v>269</v>
      </c>
      <c r="D14" s="511" t="s">
        <v>264</v>
      </c>
      <c r="E14" s="515">
        <f>Metrado!Q65</f>
        <v>261.01599999999996</v>
      </c>
      <c r="F14" s="516" t="s">
        <v>21</v>
      </c>
      <c r="G14" s="516" t="s">
        <v>238</v>
      </c>
      <c r="H14" s="516" t="s">
        <v>240</v>
      </c>
      <c r="I14" s="518">
        <f>E14/6</f>
        <v>43.502666666666663</v>
      </c>
      <c r="J14" s="519" t="s">
        <v>246</v>
      </c>
      <c r="K14" s="511"/>
    </row>
    <row r="15" spans="2:11" x14ac:dyDescent="0.25">
      <c r="B15" s="509">
        <v>11</v>
      </c>
      <c r="C15" s="512" t="s">
        <v>179</v>
      </c>
      <c r="D15" s="511" t="s">
        <v>264</v>
      </c>
      <c r="E15" s="515">
        <f>Metrado!Q66+Metrado!Q78+Metrado!Q81+Metrado!Q85</f>
        <v>612.09750000000008</v>
      </c>
      <c r="F15" s="516" t="s">
        <v>21</v>
      </c>
      <c r="G15" s="516" t="s">
        <v>238</v>
      </c>
      <c r="H15" s="516" t="s">
        <v>240</v>
      </c>
      <c r="I15" s="518">
        <f t="shared" ref="I15:I16" si="0">E15/6</f>
        <v>102.01625000000001</v>
      </c>
      <c r="J15" s="519" t="s">
        <v>246</v>
      </c>
      <c r="K15" s="511"/>
    </row>
    <row r="16" spans="2:11" x14ac:dyDescent="0.25">
      <c r="B16" s="509">
        <v>12</v>
      </c>
      <c r="C16" s="512" t="s">
        <v>270</v>
      </c>
      <c r="D16" s="511" t="s">
        <v>239</v>
      </c>
      <c r="E16" s="515">
        <f>Metrado!Q84</f>
        <v>663.06701999999996</v>
      </c>
      <c r="F16" s="516" t="s">
        <v>21</v>
      </c>
      <c r="G16" s="516" t="s">
        <v>238</v>
      </c>
      <c r="H16" s="516" t="s">
        <v>240</v>
      </c>
      <c r="I16" s="518">
        <f t="shared" si="0"/>
        <v>110.51116999999999</v>
      </c>
      <c r="J16" s="519" t="s">
        <v>273</v>
      </c>
      <c r="K16" s="511"/>
    </row>
    <row r="17" spans="2:11" x14ac:dyDescent="0.25">
      <c r="B17" s="509">
        <v>13</v>
      </c>
      <c r="C17" s="528" t="s">
        <v>257</v>
      </c>
      <c r="D17" s="511" t="s">
        <v>239</v>
      </c>
      <c r="E17" s="515">
        <f>Metrado!Q90</f>
        <v>1.4040000000000001</v>
      </c>
      <c r="F17" s="516" t="s">
        <v>21</v>
      </c>
      <c r="G17" s="516" t="s">
        <v>238</v>
      </c>
      <c r="H17" s="516" t="s">
        <v>240</v>
      </c>
      <c r="I17" s="518">
        <f>E17/6+1</f>
        <v>1.234</v>
      </c>
      <c r="J17" s="519" t="s">
        <v>245</v>
      </c>
      <c r="K17" s="511"/>
    </row>
    <row r="18" spans="2:11" x14ac:dyDescent="0.25">
      <c r="B18" s="509">
        <v>14</v>
      </c>
      <c r="C18" s="512" t="s">
        <v>232</v>
      </c>
      <c r="D18" s="511" t="s">
        <v>258</v>
      </c>
      <c r="E18" s="515">
        <f>Metrado!Q40</f>
        <v>50.400000000000006</v>
      </c>
      <c r="F18" s="516" t="s">
        <v>21</v>
      </c>
      <c r="G18" s="516" t="s">
        <v>272</v>
      </c>
      <c r="H18" s="516" t="s">
        <v>240</v>
      </c>
      <c r="I18" s="518">
        <f>E18/9</f>
        <v>5.6000000000000005</v>
      </c>
      <c r="J18" s="519" t="s">
        <v>245</v>
      </c>
      <c r="K18" s="511" t="s">
        <v>259</v>
      </c>
    </row>
    <row r="19" spans="2:11" x14ac:dyDescent="0.25">
      <c r="B19" s="509">
        <v>15</v>
      </c>
      <c r="C19" s="512" t="s">
        <v>175</v>
      </c>
      <c r="D19" s="511" t="s">
        <v>267</v>
      </c>
      <c r="E19" s="515">
        <f>Metrado!Q41</f>
        <v>96</v>
      </c>
      <c r="F19" s="516" t="s">
        <v>93</v>
      </c>
      <c r="G19" s="516" t="s">
        <v>240</v>
      </c>
      <c r="H19" s="516" t="s">
        <v>240</v>
      </c>
      <c r="I19" s="518">
        <f>E19*1.1</f>
        <v>105.60000000000001</v>
      </c>
      <c r="J19" s="519" t="str">
        <f>F19</f>
        <v>und.</v>
      </c>
      <c r="K19" s="511"/>
    </row>
    <row r="20" spans="2:11" ht="30" x14ac:dyDescent="0.25">
      <c r="B20" s="509">
        <v>16</v>
      </c>
      <c r="C20" s="529" t="s">
        <v>274</v>
      </c>
      <c r="D20" s="511" t="s">
        <v>267</v>
      </c>
      <c r="E20" s="515">
        <f>Metrado!Q92</f>
        <v>57.5</v>
      </c>
      <c r="F20" s="516" t="s">
        <v>93</v>
      </c>
      <c r="G20" s="516"/>
      <c r="H20" s="516"/>
      <c r="I20" s="518">
        <f>E20</f>
        <v>57.5</v>
      </c>
      <c r="J20" s="519" t="str">
        <f t="shared" ref="J20:J24" si="1">F20</f>
        <v>und.</v>
      </c>
      <c r="K20" s="511"/>
    </row>
    <row r="21" spans="2:11" x14ac:dyDescent="0.25">
      <c r="B21" s="509">
        <v>17</v>
      </c>
      <c r="C21" s="512" t="s">
        <v>225</v>
      </c>
      <c r="D21" s="511" t="s">
        <v>268</v>
      </c>
      <c r="E21" s="515">
        <f>Metrado!Q42</f>
        <v>48</v>
      </c>
      <c r="F21" s="516" t="s">
        <v>93</v>
      </c>
      <c r="G21" s="516" t="s">
        <v>240</v>
      </c>
      <c r="H21" s="516" t="s">
        <v>240</v>
      </c>
      <c r="I21" s="518">
        <f t="shared" ref="I21:I24" si="2">E21*1.1</f>
        <v>52.800000000000004</v>
      </c>
      <c r="J21" s="519" t="str">
        <f t="shared" si="1"/>
        <v>und.</v>
      </c>
      <c r="K21" s="511"/>
    </row>
    <row r="22" spans="2:11" x14ac:dyDescent="0.25">
      <c r="B22" s="509">
        <v>18</v>
      </c>
      <c r="C22" s="529" t="s">
        <v>226</v>
      </c>
      <c r="D22" s="511" t="s">
        <v>268</v>
      </c>
      <c r="E22" s="515">
        <f>Metrado!Q74</f>
        <v>64</v>
      </c>
      <c r="F22" s="516" t="s">
        <v>93</v>
      </c>
      <c r="G22" s="516" t="s">
        <v>240</v>
      </c>
      <c r="H22" s="516" t="s">
        <v>240</v>
      </c>
      <c r="I22" s="518">
        <f t="shared" si="2"/>
        <v>70.400000000000006</v>
      </c>
      <c r="J22" s="519" t="str">
        <f t="shared" si="1"/>
        <v>und.</v>
      </c>
      <c r="K22" s="511"/>
    </row>
    <row r="23" spans="2:11" x14ac:dyDescent="0.25">
      <c r="B23" s="509">
        <v>19</v>
      </c>
      <c r="C23" s="529" t="s">
        <v>253</v>
      </c>
      <c r="D23" s="511" t="s">
        <v>268</v>
      </c>
      <c r="E23" s="515">
        <f>Metrado!Q93</f>
        <v>57.5</v>
      </c>
      <c r="F23" s="516" t="s">
        <v>93</v>
      </c>
      <c r="G23" s="516"/>
      <c r="H23" s="516"/>
      <c r="I23" s="518">
        <f>E23</f>
        <v>57.5</v>
      </c>
      <c r="J23" s="519" t="str">
        <f t="shared" si="1"/>
        <v>und.</v>
      </c>
      <c r="K23" s="511"/>
    </row>
    <row r="24" spans="2:11" s="536" customFormat="1" ht="30" x14ac:dyDescent="0.25">
      <c r="B24" s="509">
        <v>20</v>
      </c>
      <c r="C24" s="535" t="s">
        <v>277</v>
      </c>
      <c r="D24" s="537" t="s">
        <v>278</v>
      </c>
      <c r="E24" s="538">
        <f>Metrado!Q73</f>
        <v>64</v>
      </c>
      <c r="F24" s="509" t="s">
        <v>93</v>
      </c>
      <c r="G24" s="509" t="s">
        <v>241</v>
      </c>
      <c r="H24" s="509" t="s">
        <v>240</v>
      </c>
      <c r="I24" s="539">
        <f t="shared" si="2"/>
        <v>70.400000000000006</v>
      </c>
      <c r="J24" s="540" t="str">
        <f t="shared" si="1"/>
        <v>und.</v>
      </c>
      <c r="K24" s="537"/>
    </row>
    <row r="25" spans="2:11" x14ac:dyDescent="0.25">
      <c r="B25" s="509">
        <v>21</v>
      </c>
      <c r="C25" s="530" t="s">
        <v>233</v>
      </c>
      <c r="D25" s="511" t="s">
        <v>265</v>
      </c>
      <c r="E25" s="515">
        <f>Metrado!Q75+Metrado!Q79+Metrado!Q82+Metrado!Q86+Metrado!Q53+Metrado!Q63</f>
        <v>79.126564285714309</v>
      </c>
      <c r="F25" s="516" t="s">
        <v>19</v>
      </c>
      <c r="G25" s="516" t="s">
        <v>240</v>
      </c>
      <c r="H25" s="516" t="s">
        <v>240</v>
      </c>
      <c r="I25" s="518">
        <f>E25</f>
        <v>79.126564285714309</v>
      </c>
      <c r="J25" s="519" t="s">
        <v>19</v>
      </c>
      <c r="K25" s="511"/>
    </row>
    <row r="26" spans="2:11" x14ac:dyDescent="0.25">
      <c r="B26" s="509">
        <v>22</v>
      </c>
      <c r="C26" s="530" t="s">
        <v>234</v>
      </c>
      <c r="D26" s="511" t="s">
        <v>266</v>
      </c>
      <c r="E26" s="515">
        <f>Metrado!Q52+Metrado!Q62+Metrado!Q76</f>
        <v>27.431611428571429</v>
      </c>
      <c r="F26" s="516" t="s">
        <v>19</v>
      </c>
      <c r="G26" s="516" t="s">
        <v>240</v>
      </c>
      <c r="H26" s="516" t="s">
        <v>240</v>
      </c>
      <c r="I26" s="518">
        <f t="shared" ref="I26:I37" si="3">E26</f>
        <v>27.431611428571429</v>
      </c>
      <c r="J26" s="519" t="s">
        <v>19</v>
      </c>
      <c r="K26" s="511"/>
    </row>
    <row r="27" spans="2:11" x14ac:dyDescent="0.25">
      <c r="B27" s="509">
        <v>23</v>
      </c>
      <c r="C27" s="531" t="s">
        <v>168</v>
      </c>
      <c r="D27" s="516" t="s">
        <v>240</v>
      </c>
      <c r="E27" s="515">
        <f>Metrado!Q97</f>
        <v>2</v>
      </c>
      <c r="F27" s="516" t="s">
        <v>93</v>
      </c>
      <c r="G27" s="516" t="s">
        <v>240</v>
      </c>
      <c r="H27" s="516" t="s">
        <v>240</v>
      </c>
      <c r="I27" s="518">
        <f t="shared" si="3"/>
        <v>2</v>
      </c>
      <c r="J27" s="519" t="str">
        <f>F27</f>
        <v>und.</v>
      </c>
      <c r="K27" s="511"/>
    </row>
    <row r="28" spans="2:11" x14ac:dyDescent="0.25">
      <c r="B28" s="509">
        <v>24</v>
      </c>
      <c r="C28" s="531" t="s">
        <v>243</v>
      </c>
      <c r="D28" s="516" t="s">
        <v>240</v>
      </c>
      <c r="E28" s="515">
        <f>Metrado!Q98</f>
        <v>2</v>
      </c>
      <c r="F28" s="516" t="s">
        <v>164</v>
      </c>
      <c r="G28" s="516" t="s">
        <v>240</v>
      </c>
      <c r="H28" s="516" t="s">
        <v>240</v>
      </c>
      <c r="I28" s="518">
        <f t="shared" si="3"/>
        <v>2</v>
      </c>
      <c r="J28" s="519" t="str">
        <f>F28</f>
        <v>ciento</v>
      </c>
      <c r="K28" s="511"/>
    </row>
    <row r="29" spans="2:11" x14ac:dyDescent="0.25">
      <c r="B29" s="509">
        <v>25</v>
      </c>
      <c r="C29" s="530" t="s">
        <v>227</v>
      </c>
      <c r="D29" s="516" t="s">
        <v>240</v>
      </c>
      <c r="E29" s="515">
        <f>Metrado!Q31</f>
        <v>40</v>
      </c>
      <c r="F29" s="516" t="s">
        <v>19</v>
      </c>
      <c r="G29" s="516" t="s">
        <v>240</v>
      </c>
      <c r="H29" s="516" t="s">
        <v>240</v>
      </c>
      <c r="I29" s="518">
        <f t="shared" si="3"/>
        <v>40</v>
      </c>
      <c r="J29" s="519" t="s">
        <v>19</v>
      </c>
      <c r="K29" s="511"/>
    </row>
    <row r="30" spans="2:11" x14ac:dyDescent="0.25">
      <c r="B30" s="509">
        <v>26</v>
      </c>
      <c r="C30" s="530" t="s">
        <v>282</v>
      </c>
      <c r="D30" s="516" t="s">
        <v>240</v>
      </c>
      <c r="E30" s="515">
        <f>Metrado!Q32</f>
        <v>30</v>
      </c>
      <c r="F30" s="516" t="s">
        <v>19</v>
      </c>
      <c r="G30" s="516" t="s">
        <v>240</v>
      </c>
      <c r="H30" s="516" t="s">
        <v>240</v>
      </c>
      <c r="I30" s="518">
        <f t="shared" si="3"/>
        <v>30</v>
      </c>
      <c r="J30" s="519" t="s">
        <v>19</v>
      </c>
      <c r="K30" s="511"/>
    </row>
    <row r="31" spans="2:11" x14ac:dyDescent="0.25">
      <c r="B31" s="509">
        <v>27</v>
      </c>
      <c r="C31" s="530" t="s">
        <v>228</v>
      </c>
      <c r="D31" s="516" t="s">
        <v>240</v>
      </c>
      <c r="E31" s="515">
        <f>Metrado!Q34</f>
        <v>20</v>
      </c>
      <c r="F31" s="516" t="s">
        <v>93</v>
      </c>
      <c r="G31" s="516" t="s">
        <v>240</v>
      </c>
      <c r="H31" s="516" t="s">
        <v>240</v>
      </c>
      <c r="I31" s="518">
        <f t="shared" si="3"/>
        <v>20</v>
      </c>
      <c r="J31" s="519" t="str">
        <f>F31</f>
        <v>und.</v>
      </c>
      <c r="K31" s="511"/>
    </row>
    <row r="32" spans="2:11" x14ac:dyDescent="0.25">
      <c r="B32" s="509">
        <v>28</v>
      </c>
      <c r="C32" s="530" t="s">
        <v>229</v>
      </c>
      <c r="D32" s="516" t="s">
        <v>240</v>
      </c>
      <c r="E32" s="517">
        <f>Metrado!Q35</f>
        <v>60</v>
      </c>
      <c r="F32" s="516" t="s">
        <v>93</v>
      </c>
      <c r="G32" s="516" t="s">
        <v>240</v>
      </c>
      <c r="H32" s="516" t="s">
        <v>240</v>
      </c>
      <c r="I32" s="518">
        <f t="shared" si="3"/>
        <v>60</v>
      </c>
      <c r="J32" s="519" t="str">
        <f t="shared" ref="J32:J37" si="4">F32</f>
        <v>und.</v>
      </c>
      <c r="K32" s="511"/>
    </row>
    <row r="33" spans="2:11" x14ac:dyDescent="0.25">
      <c r="B33" s="509">
        <v>29</v>
      </c>
      <c r="C33" s="531" t="s">
        <v>283</v>
      </c>
      <c r="D33" s="516" t="s">
        <v>240</v>
      </c>
      <c r="E33" s="517">
        <f>Metrado!Q36</f>
        <v>10</v>
      </c>
      <c r="F33" s="516" t="s">
        <v>93</v>
      </c>
      <c r="G33" s="516" t="s">
        <v>240</v>
      </c>
      <c r="H33" s="516" t="s">
        <v>240</v>
      </c>
      <c r="I33" s="518">
        <f t="shared" ref="I33" si="5">E33</f>
        <v>10</v>
      </c>
      <c r="J33" s="519" t="str">
        <f t="shared" ref="J33" si="6">F33</f>
        <v>und.</v>
      </c>
      <c r="K33" s="511"/>
    </row>
    <row r="34" spans="2:11" x14ac:dyDescent="0.25">
      <c r="B34" s="509">
        <v>30</v>
      </c>
      <c r="C34" s="530" t="s">
        <v>38</v>
      </c>
      <c r="D34" s="516" t="s">
        <v>240</v>
      </c>
      <c r="E34" s="515">
        <f>Metrado!Q113+Metrado!Q117+Metrado!Q121+Metrado!Q125+Metrado!Q129+Metrado!Q133</f>
        <v>36.419965299200001</v>
      </c>
      <c r="F34" s="516" t="s">
        <v>37</v>
      </c>
      <c r="G34" s="516" t="s">
        <v>240</v>
      </c>
      <c r="H34" s="516" t="s">
        <v>240</v>
      </c>
      <c r="I34" s="518">
        <f t="shared" si="3"/>
        <v>36.419965299200001</v>
      </c>
      <c r="J34" s="519" t="str">
        <f t="shared" si="4"/>
        <v>gln</v>
      </c>
      <c r="K34" s="511"/>
    </row>
    <row r="35" spans="2:11" x14ac:dyDescent="0.25">
      <c r="B35" s="509">
        <v>31</v>
      </c>
      <c r="C35" s="530" t="s">
        <v>39</v>
      </c>
      <c r="D35" s="516" t="s">
        <v>240</v>
      </c>
      <c r="E35" s="515">
        <f>Metrado!Q114+Metrado!Q118+Metrado!Q122+Metrado!Q126+Metrado!Q130+Metrado!Q134</f>
        <v>34.570939924114285</v>
      </c>
      <c r="F35" s="516" t="s">
        <v>37</v>
      </c>
      <c r="G35" s="516" t="s">
        <v>240</v>
      </c>
      <c r="H35" s="516" t="s">
        <v>240</v>
      </c>
      <c r="I35" s="518">
        <f t="shared" si="3"/>
        <v>34.570939924114285</v>
      </c>
      <c r="J35" s="519" t="str">
        <f t="shared" si="4"/>
        <v>gln</v>
      </c>
      <c r="K35" s="511"/>
    </row>
    <row r="36" spans="2:11" x14ac:dyDescent="0.25">
      <c r="B36" s="509">
        <v>32</v>
      </c>
      <c r="C36" s="530" t="s">
        <v>40</v>
      </c>
      <c r="D36" s="516" t="s">
        <v>240</v>
      </c>
      <c r="E36" s="515">
        <f>Metrado!Q135+Metrado!Q131+Metrado!Q127+Metrado!Q123+Metrado!Q119+Metrado!Q115</f>
        <v>17.747726305828571</v>
      </c>
      <c r="F36" s="516" t="s">
        <v>37</v>
      </c>
      <c r="G36" s="516" t="s">
        <v>240</v>
      </c>
      <c r="H36" s="516" t="s">
        <v>240</v>
      </c>
      <c r="I36" s="518">
        <f t="shared" si="3"/>
        <v>17.747726305828571</v>
      </c>
      <c r="J36" s="519" t="str">
        <f t="shared" si="4"/>
        <v>gln</v>
      </c>
      <c r="K36" s="511"/>
    </row>
    <row r="37" spans="2:11" x14ac:dyDescent="0.25">
      <c r="B37" s="509">
        <v>33</v>
      </c>
      <c r="C37" s="531" t="s">
        <v>284</v>
      </c>
      <c r="D37" s="516" t="s">
        <v>240</v>
      </c>
      <c r="E37" s="515">
        <f>Metrado!Q43</f>
        <v>46.446399999999997</v>
      </c>
      <c r="F37" s="516" t="s">
        <v>19</v>
      </c>
      <c r="G37" s="516"/>
      <c r="H37" s="516"/>
      <c r="I37" s="518">
        <f t="shared" si="3"/>
        <v>46.446399999999997</v>
      </c>
      <c r="J37" s="519" t="str">
        <f t="shared" si="4"/>
        <v>kg</v>
      </c>
      <c r="K37" s="511"/>
    </row>
    <row r="38" spans="2:11" x14ac:dyDescent="0.25">
      <c r="B38" s="509">
        <v>34</v>
      </c>
      <c r="C38" s="530" t="s">
        <v>230</v>
      </c>
      <c r="D38" s="516" t="s">
        <v>240</v>
      </c>
      <c r="E38" s="515">
        <f>Metrado!Q138</f>
        <v>900.06347204999997</v>
      </c>
      <c r="F38" s="516" t="s">
        <v>18</v>
      </c>
      <c r="G38" s="516" t="s">
        <v>244</v>
      </c>
      <c r="H38" s="516" t="s">
        <v>290</v>
      </c>
      <c r="I38" s="518">
        <f>E38</f>
        <v>900.06347204999997</v>
      </c>
      <c r="J38" s="519" t="s">
        <v>18</v>
      </c>
      <c r="K38" s="511"/>
    </row>
    <row r="39" spans="2:11" x14ac:dyDescent="0.25">
      <c r="B39" s="509">
        <v>35</v>
      </c>
      <c r="C39" s="530" t="s">
        <v>288</v>
      </c>
      <c r="D39" s="516" t="s">
        <v>240</v>
      </c>
      <c r="E39" s="546">
        <f>Metrado!Q139</f>
        <v>3600.2538881999999</v>
      </c>
      <c r="F39" s="516" t="s">
        <v>93</v>
      </c>
      <c r="G39" s="516" t="s">
        <v>240</v>
      </c>
      <c r="H39" s="516" t="s">
        <v>240</v>
      </c>
      <c r="I39" s="518">
        <f>E39</f>
        <v>3600.2538881999999</v>
      </c>
      <c r="J39" s="519" t="s">
        <v>93</v>
      </c>
      <c r="K39" s="511"/>
    </row>
    <row r="40" spans="2:11" ht="30" x14ac:dyDescent="0.25">
      <c r="B40" s="509">
        <v>36</v>
      </c>
      <c r="C40" s="545" t="s">
        <v>289</v>
      </c>
      <c r="D40" s="516" t="s">
        <v>240</v>
      </c>
      <c r="E40" s="546">
        <f>Metrado!Q140</f>
        <v>63.364468432320002</v>
      </c>
      <c r="F40" s="516" t="s">
        <v>93</v>
      </c>
      <c r="G40" s="516" t="s">
        <v>240</v>
      </c>
      <c r="H40" s="516" t="s">
        <v>240</v>
      </c>
      <c r="I40" s="518">
        <f>E40</f>
        <v>63.364468432320002</v>
      </c>
      <c r="J40" s="519" t="s">
        <v>93</v>
      </c>
      <c r="K40" s="511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K129"/>
  <sheetViews>
    <sheetView tabSelected="1" view="pageBreakPreview" topLeftCell="B1" zoomScale="70" zoomScaleNormal="70" zoomScaleSheetLayoutView="70" workbookViewId="0">
      <pane ySplit="1" topLeftCell="A2" activePane="bottomLeft" state="frozen"/>
      <selection activeCell="F19" sqref="F19:G21"/>
      <selection pane="bottomLeft" activeCell="J62" sqref="J62"/>
    </sheetView>
  </sheetViews>
  <sheetFormatPr baseColWidth="10" defaultColWidth="11.42578125" defaultRowHeight="12.75" x14ac:dyDescent="0.25"/>
  <cols>
    <col min="1" max="1" width="1.42578125" style="2" hidden="1" customWidth="1"/>
    <col min="2" max="2" width="1.42578125" style="2" customWidth="1"/>
    <col min="3" max="3" width="12" style="575" customWidth="1"/>
    <col min="4" max="4" width="49" style="2" customWidth="1"/>
    <col min="5" max="5" width="5.28515625" style="24" customWidth="1"/>
    <col min="6" max="6" width="8.28515625" style="25" customWidth="1"/>
    <col min="7" max="7" width="10.140625" style="24" customWidth="1"/>
    <col min="8" max="8" width="1.28515625" style="2" customWidth="1"/>
    <col min="9" max="9" width="3.140625" style="2" customWidth="1"/>
    <col min="10" max="10" width="39" style="2" customWidth="1"/>
    <col min="11" max="12" width="11.42578125" style="2" customWidth="1"/>
    <col min="13" max="16384" width="11.42578125" style="2"/>
  </cols>
  <sheetData>
    <row r="1" spans="1:11" ht="25.5" customHeight="1" x14ac:dyDescent="0.25">
      <c r="A1" s="1"/>
      <c r="B1" s="1"/>
      <c r="C1" s="554"/>
      <c r="D1" s="1"/>
      <c r="E1" s="8"/>
      <c r="F1" s="9"/>
      <c r="G1" s="8"/>
      <c r="H1" s="1"/>
    </row>
    <row r="2" spans="1:11" s="4" customFormat="1" ht="9.75" customHeight="1" thickBot="1" x14ac:dyDescent="0.3">
      <c r="A2" s="3"/>
      <c r="B2" s="3"/>
      <c r="C2" s="555"/>
      <c r="D2" s="3"/>
      <c r="E2" s="3"/>
      <c r="F2" s="10"/>
      <c r="G2" s="10"/>
      <c r="H2" s="3"/>
    </row>
    <row r="3" spans="1:11" ht="22.5" customHeight="1" thickBot="1" x14ac:dyDescent="0.3">
      <c r="A3" s="1"/>
      <c r="B3" s="1"/>
      <c r="C3" s="634" t="str">
        <f>IF(Metrado!C3="","","RESUMEN DE "&amp;Metrado!C3)</f>
        <v>RESUMEN DE METRADOS DE ESTRUCTURA METALICA</v>
      </c>
      <c r="D3" s="635"/>
      <c r="E3" s="635"/>
      <c r="F3" s="635"/>
      <c r="G3" s="636"/>
      <c r="H3" s="1"/>
    </row>
    <row r="4" spans="1:11" s="4" customFormat="1" ht="15" customHeight="1" thickBot="1" x14ac:dyDescent="0.3">
      <c r="A4" s="3"/>
      <c r="B4" s="3"/>
      <c r="C4" s="555"/>
      <c r="D4" s="3"/>
      <c r="E4" s="10"/>
      <c r="F4" s="10"/>
      <c r="G4" s="10"/>
      <c r="H4" s="3"/>
    </row>
    <row r="5" spans="1:11" s="4" customFormat="1" ht="11.25" customHeight="1" x14ac:dyDescent="0.25">
      <c r="A5" s="3"/>
      <c r="B5" s="3"/>
      <c r="C5" s="556"/>
      <c r="D5" s="11"/>
      <c r="E5" s="12"/>
      <c r="F5" s="12"/>
      <c r="G5" s="13"/>
      <c r="H5" s="3"/>
    </row>
    <row r="6" spans="1:11" ht="36.75" customHeight="1" x14ac:dyDescent="0.25">
      <c r="A6" s="1"/>
      <c r="B6" s="1"/>
      <c r="C6" s="557" t="s">
        <v>23</v>
      </c>
      <c r="D6" s="637" t="str">
        <f>IF(Metrado!D6="","",Metrado!D6)</f>
        <v>"CONSTRUCCION DE COBERTURA EN LA I.E.S SANTA ROSA - ABANCAY EN LA LOCALIDAD DE ABANCAY, DISTRITO DE ABANCAY, PROVINCIA DE ABANCAY, DEPARTAMENTO APURIMAC"</v>
      </c>
      <c r="E6" s="637"/>
      <c r="F6" s="637"/>
      <c r="G6" s="638"/>
      <c r="H6" s="1"/>
    </row>
    <row r="7" spans="1:11" ht="13.9" customHeight="1" x14ac:dyDescent="0.25">
      <c r="A7" s="1"/>
      <c r="B7" s="1"/>
      <c r="C7" s="557"/>
      <c r="D7" s="637"/>
      <c r="E7" s="637"/>
      <c r="F7" s="637"/>
      <c r="G7" s="638"/>
      <c r="H7" s="1"/>
    </row>
    <row r="8" spans="1:11" x14ac:dyDescent="0.25">
      <c r="A8" s="1"/>
      <c r="B8" s="1"/>
      <c r="C8" s="557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x14ac:dyDescent="0.25">
      <c r="A9" s="1"/>
      <c r="B9" s="1"/>
      <c r="C9" s="557" t="s">
        <v>25</v>
      </c>
      <c r="D9" s="470">
        <f>+Metrado!D9</f>
        <v>44599</v>
      </c>
      <c r="E9" s="14"/>
      <c r="F9" s="17" t="s">
        <v>26</v>
      </c>
      <c r="G9" s="15" t="str">
        <f>+Metrado!O8</f>
        <v>RAC</v>
      </c>
      <c r="H9" s="1"/>
    </row>
    <row r="10" spans="1:11" x14ac:dyDescent="0.25">
      <c r="A10" s="1"/>
      <c r="B10" s="1"/>
      <c r="C10" s="557" t="s">
        <v>27</v>
      </c>
      <c r="D10" s="14" t="str">
        <f>IF(Metrado!D10="","",Metrado!D10)</f>
        <v xml:space="preserve">  ESTRUCTURAS METALICAS</v>
      </c>
      <c r="E10" s="16"/>
      <c r="F10" s="17"/>
      <c r="G10" s="15" t="str">
        <f>IF(Metrado!M9="","",Metrado!M9)</f>
        <v/>
      </c>
      <c r="H10" s="1"/>
    </row>
    <row r="11" spans="1:11" x14ac:dyDescent="0.25">
      <c r="A11" s="1"/>
      <c r="B11" s="1"/>
      <c r="C11" s="557" t="s">
        <v>28</v>
      </c>
      <c r="D11" s="14" t="str">
        <f>IF(Metrado!D11="","",Metrado!D11)</f>
        <v>PATIO SECUNDARIA</v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5" customHeight="1" thickBot="1" x14ac:dyDescent="0.3">
      <c r="A12" s="3"/>
      <c r="B12" s="3"/>
      <c r="C12" s="558"/>
      <c r="D12" s="406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">
      <c r="A13" s="3"/>
      <c r="B13" s="3"/>
      <c r="C13" s="559"/>
      <c r="D13" s="20"/>
      <c r="E13" s="21"/>
      <c r="F13" s="21"/>
      <c r="G13" s="21"/>
      <c r="H13" s="3"/>
      <c r="J13" s="41"/>
      <c r="K13" s="5"/>
    </row>
    <row r="14" spans="1:11" x14ac:dyDescent="0.25">
      <c r="A14" s="1"/>
      <c r="B14" s="1"/>
      <c r="C14" s="639" t="s">
        <v>5</v>
      </c>
      <c r="D14" s="641" t="s">
        <v>30</v>
      </c>
      <c r="E14" s="643" t="s">
        <v>17</v>
      </c>
      <c r="F14" s="645" t="s">
        <v>31</v>
      </c>
      <c r="G14" s="647" t="s">
        <v>12</v>
      </c>
      <c r="H14" s="1"/>
      <c r="J14" s="633"/>
      <c r="K14" s="23"/>
    </row>
    <row r="15" spans="1:11" ht="13.9" customHeight="1" thickBot="1" x14ac:dyDescent="0.3">
      <c r="A15" s="1"/>
      <c r="B15" s="1"/>
      <c r="C15" s="640"/>
      <c r="D15" s="642"/>
      <c r="E15" s="644"/>
      <c r="F15" s="646"/>
      <c r="G15" s="648"/>
      <c r="H15" s="1"/>
      <c r="J15" s="633"/>
      <c r="K15" s="23"/>
    </row>
    <row r="16" spans="1:11" s="4" customFormat="1" ht="17.45" customHeight="1" x14ac:dyDescent="0.25">
      <c r="A16" s="5" t="s">
        <v>32</v>
      </c>
      <c r="B16" s="5"/>
      <c r="C16" s="560"/>
      <c r="D16" s="416"/>
      <c r="E16" s="22"/>
      <c r="F16" s="22"/>
      <c r="G16" s="22"/>
      <c r="H16" s="5"/>
      <c r="I16" s="5"/>
      <c r="J16" s="41"/>
      <c r="K16" s="5"/>
    </row>
    <row r="17" spans="1:10" s="32" customFormat="1" ht="13.5" x14ac:dyDescent="0.25">
      <c r="A17" s="29"/>
      <c r="B17" s="30"/>
      <c r="C17" s="359" t="str">
        <f>Metrado!C17</f>
        <v>01</v>
      </c>
      <c r="D17" s="359" t="str">
        <f>Metrado!D17</f>
        <v>CUBIERTA METALICA DE LOSA DEPORTIVA</v>
      </c>
      <c r="E17" s="31"/>
      <c r="F17" s="326"/>
      <c r="G17" s="326"/>
      <c r="J17" s="26"/>
    </row>
    <row r="18" spans="1:10" s="32" customFormat="1" ht="13.5" x14ac:dyDescent="0.25">
      <c r="A18" s="29"/>
      <c r="B18" s="30"/>
      <c r="C18" s="561" t="str">
        <f>+Metrado!C18</f>
        <v>01.01</v>
      </c>
      <c r="D18" s="360" t="str">
        <f>+Metrado!D18</f>
        <v>TRABAJOS PRELIMINARES</v>
      </c>
      <c r="E18" s="31"/>
      <c r="F18" s="326"/>
      <c r="G18" s="326"/>
      <c r="J18" s="26"/>
    </row>
    <row r="19" spans="1:10" s="32" customFormat="1" ht="13.5" x14ac:dyDescent="0.25">
      <c r="A19" s="29"/>
      <c r="B19" s="30"/>
      <c r="C19" s="562" t="str">
        <f>+Metrado!C19</f>
        <v>01.01.01</v>
      </c>
      <c r="D19" s="113" t="str">
        <f>+Metrado!D19</f>
        <v>TRAZO Y REPLANTEO DE ESTRUCTURAS METALICAS</v>
      </c>
      <c r="E19" s="126" t="str">
        <f>Metrado!E19</f>
        <v>m2</v>
      </c>
      <c r="F19" s="469">
        <f>Metrado!Q19</f>
        <v>543.4</v>
      </c>
      <c r="G19" s="469">
        <f>+F19</f>
        <v>543.4</v>
      </c>
      <c r="J19" s="26"/>
    </row>
    <row r="20" spans="1:10" s="32" customFormat="1" ht="13.5" x14ac:dyDescent="0.25">
      <c r="A20" s="29"/>
      <c r="B20" s="30"/>
      <c r="C20" s="561" t="str">
        <f>Metrado!C20</f>
        <v>01.02</v>
      </c>
      <c r="D20" s="360" t="str">
        <f>Metrado!D20</f>
        <v>OBRAS DE CONCRETO ARMADO</v>
      </c>
      <c r="E20" s="126"/>
      <c r="F20" s="469"/>
      <c r="G20" s="469"/>
      <c r="J20" s="26"/>
    </row>
    <row r="21" spans="1:10" s="32" customFormat="1" ht="13.5" x14ac:dyDescent="0.25">
      <c r="A21" s="29"/>
      <c r="B21" s="30"/>
      <c r="C21" s="562" t="s">
        <v>111</v>
      </c>
      <c r="D21" s="113" t="str">
        <f>+Metrado!D21</f>
        <v>ZAPATAS</v>
      </c>
      <c r="E21" s="126"/>
      <c r="F21" s="469"/>
      <c r="G21" s="469"/>
      <c r="J21" s="26"/>
    </row>
    <row r="22" spans="1:10" s="32" customFormat="1" ht="13.5" x14ac:dyDescent="0.25">
      <c r="A22" s="29"/>
      <c r="B22" s="30"/>
      <c r="C22" s="562" t="s">
        <v>293</v>
      </c>
      <c r="D22" s="113" t="str">
        <f>+Metrado!D22</f>
        <v>ZAPATAS - CONCRETO F´c=210 Kg/cm2</v>
      </c>
      <c r="E22" s="126" t="str">
        <f>+Metrado!E22</f>
        <v>m3</v>
      </c>
      <c r="F22" s="469">
        <f>+Metrado!Q22</f>
        <v>5.76</v>
      </c>
      <c r="G22" s="469">
        <f>+F22</f>
        <v>5.76</v>
      </c>
      <c r="J22" s="26"/>
    </row>
    <row r="23" spans="1:10" s="32" customFormat="1" ht="13.5" x14ac:dyDescent="0.25">
      <c r="A23" s="29"/>
      <c r="B23" s="30"/>
      <c r="C23" s="562" t="s">
        <v>294</v>
      </c>
      <c r="D23" s="113" t="str">
        <f>+Metrado!D23</f>
        <v>ZAPATAS - ACERO f'y=4200 Kg/cm2</v>
      </c>
      <c r="E23" s="126" t="str">
        <f>+Metrado!E23</f>
        <v>kg</v>
      </c>
      <c r="F23" s="469">
        <f>+Metrado!Q23</f>
        <v>295.12</v>
      </c>
      <c r="G23" s="469">
        <f t="shared" ref="G23:G27" si="0">+F23</f>
        <v>295.12</v>
      </c>
      <c r="J23" s="26"/>
    </row>
    <row r="24" spans="1:10" s="32" customFormat="1" ht="13.5" x14ac:dyDescent="0.25">
      <c r="A24" s="29"/>
      <c r="B24" s="30"/>
      <c r="C24" s="562" t="s">
        <v>112</v>
      </c>
      <c r="D24" s="113" t="str">
        <f>+Metrado!D25</f>
        <v>COLUMNAS</v>
      </c>
      <c r="E24" s="114"/>
      <c r="F24" s="469"/>
      <c r="G24" s="469"/>
      <c r="J24" s="26"/>
    </row>
    <row r="25" spans="1:10" s="32" customFormat="1" ht="13.5" x14ac:dyDescent="0.25">
      <c r="A25" s="29"/>
      <c r="B25" s="30"/>
      <c r="C25" s="562" t="s">
        <v>293</v>
      </c>
      <c r="D25" s="113" t="str">
        <f>+Metrado!D26</f>
        <v>COLUMNAS - CONCRETO f'c=210 Kg/cm2</v>
      </c>
      <c r="E25" s="126" t="str">
        <f>+Metrado!E26</f>
        <v>m3</v>
      </c>
      <c r="F25" s="469">
        <f>+Metrado!Q26</f>
        <v>2.7142560000000002</v>
      </c>
      <c r="G25" s="469">
        <f t="shared" si="0"/>
        <v>2.7142560000000002</v>
      </c>
      <c r="J25" s="26"/>
    </row>
    <row r="26" spans="1:10" s="32" customFormat="1" ht="13.5" x14ac:dyDescent="0.25">
      <c r="A26" s="29"/>
      <c r="B26" s="30"/>
      <c r="C26" s="562" t="s">
        <v>294</v>
      </c>
      <c r="D26" s="113" t="str">
        <f>+Metrado!D27</f>
        <v>COLUMNAS - ENCOFRADO Y DESENCOFRADO</v>
      </c>
      <c r="E26" s="126" t="str">
        <f>+Metrado!E27</f>
        <v>m2</v>
      </c>
      <c r="F26" s="469">
        <f>+Metrado!Q27</f>
        <v>27.14256</v>
      </c>
      <c r="G26" s="469">
        <f t="shared" si="0"/>
        <v>27.14256</v>
      </c>
      <c r="J26" s="26"/>
    </row>
    <row r="27" spans="1:10" s="32" customFormat="1" ht="13.5" x14ac:dyDescent="0.25">
      <c r="A27" s="29"/>
      <c r="B27" s="30"/>
      <c r="C27" s="562" t="s">
        <v>295</v>
      </c>
      <c r="D27" s="113" t="str">
        <f>+Metrado!D28</f>
        <v>COLUMNAS - ACERO f'y=4200 Kg/cm2</v>
      </c>
      <c r="E27" s="126" t="str">
        <f>+Metrado!E28</f>
        <v>kg</v>
      </c>
      <c r="F27" s="469">
        <f>+Metrado!Q28</f>
        <v>473.08800000000002</v>
      </c>
      <c r="G27" s="469">
        <f t="shared" si="0"/>
        <v>473.08800000000002</v>
      </c>
      <c r="J27" s="26"/>
    </row>
    <row r="28" spans="1:10" s="32" customFormat="1" ht="13.5" x14ac:dyDescent="0.25">
      <c r="A28" s="29"/>
      <c r="B28" s="30"/>
      <c r="C28" s="561" t="str">
        <f>Metrado!C30</f>
        <v>01.03</v>
      </c>
      <c r="D28" s="360" t="str">
        <f>Metrado!D30</f>
        <v xml:space="preserve">LIMPIEZA DE TUBOS </v>
      </c>
      <c r="E28" s="155"/>
      <c r="F28" s="499"/>
      <c r="G28" s="499"/>
      <c r="J28" s="26"/>
    </row>
    <row r="29" spans="1:10" s="32" customFormat="1" ht="13.5" x14ac:dyDescent="0.25">
      <c r="A29" s="29"/>
      <c r="B29" s="30"/>
      <c r="C29" s="563" t="str">
        <f>Metrado!C31</f>
        <v>01.03.01</v>
      </c>
      <c r="D29" s="324" t="str">
        <f>Metrado!D31</f>
        <v xml:space="preserve">DETERGENTE </v>
      </c>
      <c r="E29" s="155" t="str">
        <f>Metrado!E31</f>
        <v>kg</v>
      </c>
      <c r="F29" s="499">
        <f>Metrado!Q31</f>
        <v>40</v>
      </c>
      <c r="G29" s="499">
        <f>+Metrado!Q31</f>
        <v>40</v>
      </c>
      <c r="J29" s="26"/>
    </row>
    <row r="30" spans="1:10" s="32" customFormat="1" ht="13.5" x14ac:dyDescent="0.25">
      <c r="A30" s="29"/>
      <c r="B30" s="30"/>
      <c r="C30" s="563" t="str">
        <f>Metrado!C32</f>
        <v>01.03.02</v>
      </c>
      <c r="D30" s="324" t="str">
        <f>Metrado!D32</f>
        <v>TRAPO INDUSTRIAL</v>
      </c>
      <c r="E30" s="155" t="str">
        <f>Metrado!E32</f>
        <v>kg</v>
      </c>
      <c r="F30" s="499">
        <f>Metrado!Q32</f>
        <v>30</v>
      </c>
      <c r="G30" s="499">
        <f>+Metrado!Q32</f>
        <v>30</v>
      </c>
      <c r="J30" s="26"/>
    </row>
    <row r="31" spans="1:10" s="32" customFormat="1" ht="13.5" x14ac:dyDescent="0.25">
      <c r="A31" s="29"/>
      <c r="B31" s="30"/>
      <c r="C31" s="561" t="str">
        <f>Metrado!C33</f>
        <v>01.04</v>
      </c>
      <c r="D31" s="360" t="str">
        <f>Metrado!D33</f>
        <v xml:space="preserve">CORTE DE TUBOS </v>
      </c>
      <c r="E31" s="155"/>
      <c r="F31" s="499"/>
      <c r="G31" s="499"/>
      <c r="J31" s="26"/>
    </row>
    <row r="32" spans="1:10" s="32" customFormat="1" ht="13.5" x14ac:dyDescent="0.25">
      <c r="A32" s="29"/>
      <c r="B32" s="30"/>
      <c r="C32" s="563" t="s">
        <v>117</v>
      </c>
      <c r="D32" s="324" t="str">
        <f>Metrado!D34</f>
        <v>DISCO DE CORTE 14" PARA TRONZADORA</v>
      </c>
      <c r="E32" s="155" t="str">
        <f>Metrado!E34</f>
        <v>und</v>
      </c>
      <c r="F32" s="499">
        <f>Metrado!Q34</f>
        <v>20</v>
      </c>
      <c r="G32" s="499">
        <f>+Metrado!Q34</f>
        <v>20</v>
      </c>
      <c r="J32" s="26"/>
    </row>
    <row r="33" spans="1:10" s="32" customFormat="1" ht="13.5" x14ac:dyDescent="0.25">
      <c r="A33" s="29"/>
      <c r="B33" s="30"/>
      <c r="C33" s="563" t="s">
        <v>134</v>
      </c>
      <c r="D33" s="324" t="str">
        <f>Metrado!D35</f>
        <v>DISCO DE CORTE 4.5" PARA AMOLADORA</v>
      </c>
      <c r="E33" s="155" t="str">
        <f>Metrado!E35</f>
        <v>und</v>
      </c>
      <c r="F33" s="499">
        <f>Metrado!Q35</f>
        <v>60</v>
      </c>
      <c r="G33" s="499">
        <f>+Metrado!Q35</f>
        <v>60</v>
      </c>
      <c r="J33" s="26"/>
    </row>
    <row r="34" spans="1:10" s="6" customFormat="1" ht="13.5" customHeight="1" x14ac:dyDescent="0.25">
      <c r="B34" s="33"/>
      <c r="C34" s="561" t="str">
        <f>+Metrado!C37</f>
        <v>01.05</v>
      </c>
      <c r="D34" s="360" t="s">
        <v>33</v>
      </c>
      <c r="E34" s="153"/>
      <c r="F34" s="499"/>
      <c r="G34" s="499"/>
      <c r="J34" s="34"/>
    </row>
    <row r="35" spans="1:10" s="23" customFormat="1" ht="13.5" customHeight="1" x14ac:dyDescent="0.25">
      <c r="B35" s="37"/>
      <c r="C35" s="562" t="s">
        <v>119</v>
      </c>
      <c r="D35" s="113" t="str">
        <f>+Metrado!D38</f>
        <v>FABRICACION DE ANCLAJE DE COLUMNAS</v>
      </c>
      <c r="E35" s="126" t="str">
        <f>Metrado!E38</f>
        <v>und</v>
      </c>
      <c r="F35" s="499">
        <f>Metrado!Q38</f>
        <v>8</v>
      </c>
      <c r="G35" s="499">
        <f>+F35</f>
        <v>8</v>
      </c>
      <c r="J35" s="38"/>
    </row>
    <row r="36" spans="1:10" s="23" customFormat="1" ht="13.5" customHeight="1" x14ac:dyDescent="0.25">
      <c r="B36" s="37"/>
      <c r="C36" s="562" t="s">
        <v>138</v>
      </c>
      <c r="D36" s="113" t="str">
        <f>+Metrado!D44</f>
        <v>COLUMNA METÁLICA CIRCULAR TIPO 1 - L=9.00 m</v>
      </c>
      <c r="E36" s="114" t="str">
        <f>Metrado!E44</f>
        <v>und</v>
      </c>
      <c r="F36" s="500">
        <f>+Metrado!Q44</f>
        <v>4</v>
      </c>
      <c r="G36" s="499">
        <f t="shared" ref="G36:G45" si="1">+F36</f>
        <v>4</v>
      </c>
      <c r="J36" s="38"/>
    </row>
    <row r="37" spans="1:10" s="23" customFormat="1" ht="13.5" customHeight="1" x14ac:dyDescent="0.25">
      <c r="B37" s="37"/>
      <c r="C37" s="562" t="s">
        <v>157</v>
      </c>
      <c r="D37" s="113" t="str">
        <f>Metrado!D54</f>
        <v>COLUMNA METÁLICA CIRCULAR TIPO 2 -  L=5.50 m</v>
      </c>
      <c r="E37" s="114" t="str">
        <f>Metrado!E64</f>
        <v>und</v>
      </c>
      <c r="F37" s="500">
        <f>Metrado!Q54</f>
        <v>4</v>
      </c>
      <c r="G37" s="499">
        <f t="shared" si="1"/>
        <v>4</v>
      </c>
      <c r="J37" s="38"/>
    </row>
    <row r="38" spans="1:10" s="28" customFormat="1" ht="13.5" customHeight="1" x14ac:dyDescent="0.25">
      <c r="B38" s="35"/>
      <c r="C38" s="562" t="s">
        <v>158</v>
      </c>
      <c r="D38" s="113" t="str">
        <f>Metrado!D64</f>
        <v>CERCHA PRINCIPAL</v>
      </c>
      <c r="E38" s="114" t="str">
        <f>Metrado!E64</f>
        <v>und</v>
      </c>
      <c r="F38" s="505">
        <f>Metrado!F64</f>
        <v>4</v>
      </c>
      <c r="G38" s="499">
        <f t="shared" si="1"/>
        <v>4</v>
      </c>
      <c r="J38" s="36"/>
    </row>
    <row r="39" spans="1:10" s="23" customFormat="1" ht="13.5" customHeight="1" x14ac:dyDescent="0.25">
      <c r="B39" s="37"/>
      <c r="C39" s="562" t="s">
        <v>159</v>
      </c>
      <c r="D39" s="113" t="str">
        <f>Metrado!D77</f>
        <v>CERCHA LATERAL TIPO 1</v>
      </c>
      <c r="E39" s="114" t="str">
        <f>Metrado!E77</f>
        <v>und</v>
      </c>
      <c r="F39" s="505">
        <f>Metrado!F77</f>
        <v>3</v>
      </c>
      <c r="G39" s="499">
        <f t="shared" si="1"/>
        <v>3</v>
      </c>
      <c r="J39" s="38"/>
    </row>
    <row r="40" spans="1:10" s="465" customFormat="1" ht="13.5" customHeight="1" x14ac:dyDescent="0.25">
      <c r="B40" s="466"/>
      <c r="C40" s="562" t="s">
        <v>160</v>
      </c>
      <c r="D40" s="467" t="str">
        <f>Metrado!D80</f>
        <v>CERCHA LATERAL TIPO 2</v>
      </c>
      <c r="E40" s="419" t="str">
        <f>Metrado!E80</f>
        <v>und</v>
      </c>
      <c r="F40" s="506">
        <f>Metrado!F80</f>
        <v>3</v>
      </c>
      <c r="G40" s="499">
        <f t="shared" si="1"/>
        <v>3</v>
      </c>
      <c r="J40" s="468"/>
    </row>
    <row r="41" spans="1:10" s="23" customFormat="1" ht="13.5" customHeight="1" x14ac:dyDescent="0.25">
      <c r="B41" s="37"/>
      <c r="C41" s="562" t="s">
        <v>161</v>
      </c>
      <c r="D41" s="113" t="str">
        <f>Metrado!D83</f>
        <v xml:space="preserve">CORREAS METALICAS </v>
      </c>
      <c r="E41" s="375" t="str">
        <f>Metrado!E83</f>
        <v>m</v>
      </c>
      <c r="F41" s="500">
        <f>Metrado!Q83</f>
        <v>625.24</v>
      </c>
      <c r="G41" s="499">
        <f t="shared" si="1"/>
        <v>625.24</v>
      </c>
      <c r="J41" s="38"/>
    </row>
    <row r="42" spans="1:10" s="23" customFormat="1" ht="13.5" customHeight="1" x14ac:dyDescent="0.25">
      <c r="B42" s="37"/>
      <c r="C42" s="562" t="s">
        <v>162</v>
      </c>
      <c r="D42" s="113" t="str">
        <f>Metrado!D87</f>
        <v>ARRIOSTRAMIENTO</v>
      </c>
      <c r="E42" s="114" t="str">
        <f>Metrado!E87</f>
        <v>m</v>
      </c>
      <c r="F42" s="500">
        <f>Metrado!Q87</f>
        <v>327</v>
      </c>
      <c r="G42" s="499">
        <f t="shared" si="1"/>
        <v>327</v>
      </c>
      <c r="J42" s="38"/>
    </row>
    <row r="43" spans="1:10" s="23" customFormat="1" ht="13.5" customHeight="1" x14ac:dyDescent="0.25">
      <c r="B43" s="37"/>
      <c r="C43" s="562" t="s">
        <v>163</v>
      </c>
      <c r="D43" s="113" t="str">
        <f>Metrado!D94</f>
        <v xml:space="preserve">CANALETA </v>
      </c>
      <c r="E43" s="114" t="str">
        <f>Metrado!E94</f>
        <v>m</v>
      </c>
      <c r="F43" s="500">
        <f>Metrado!Q94</f>
        <v>56.84</v>
      </c>
      <c r="G43" s="499">
        <f t="shared" si="1"/>
        <v>56.84</v>
      </c>
      <c r="J43" s="38"/>
    </row>
    <row r="44" spans="1:10" s="23" customFormat="1" ht="13.5" customHeight="1" x14ac:dyDescent="0.25">
      <c r="B44" s="37"/>
      <c r="C44" s="561" t="str">
        <f>+Metrado!C99</f>
        <v>01.06</v>
      </c>
      <c r="D44" s="360" t="str">
        <f>+Metrado!D99</f>
        <v>INSTALACION Y MONTAJE</v>
      </c>
      <c r="E44" s="139"/>
      <c r="F44" s="501"/>
      <c r="G44" s="499"/>
      <c r="J44" s="38"/>
    </row>
    <row r="45" spans="1:10" s="6" customFormat="1" ht="13.5" customHeight="1" x14ac:dyDescent="0.25">
      <c r="B45" s="33"/>
      <c r="C45" s="564" t="s">
        <v>140</v>
      </c>
      <c r="D45" s="125" t="str">
        <f>Metrado!D100</f>
        <v>INSTALACION DE ANCLAJE DE COLUMNAS</v>
      </c>
      <c r="E45" s="126" t="s">
        <v>22</v>
      </c>
      <c r="F45" s="499">
        <f>+Metrado!Q100</f>
        <v>8</v>
      </c>
      <c r="G45" s="499">
        <f t="shared" si="1"/>
        <v>8</v>
      </c>
      <c r="J45" s="34"/>
    </row>
    <row r="46" spans="1:10" s="27" customFormat="1" ht="13.5" customHeight="1" x14ac:dyDescent="0.25">
      <c r="B46" s="39"/>
      <c r="C46" s="564" t="s">
        <v>152</v>
      </c>
      <c r="D46" s="113" t="str">
        <f>+Metrado!D101</f>
        <v>MONTAJE DE COLUMNA METÁLICA CIRCULAR TIPO 1 - L=9.00 m</v>
      </c>
      <c r="E46" s="114" t="s">
        <v>22</v>
      </c>
      <c r="F46" s="500">
        <f>+Metrado!Q101</f>
        <v>4</v>
      </c>
      <c r="G46" s="499">
        <f>+F46</f>
        <v>4</v>
      </c>
      <c r="J46" s="40"/>
    </row>
    <row r="47" spans="1:10" s="27" customFormat="1" ht="13.5" customHeight="1" x14ac:dyDescent="0.25">
      <c r="B47" s="39"/>
      <c r="C47" s="564" t="s">
        <v>201</v>
      </c>
      <c r="D47" s="113" t="str">
        <f>Metrado!D102</f>
        <v>MONTAJE DE COLUMNA METÁLICA CIRCULAR TIPO 2 -  L=5.50 m</v>
      </c>
      <c r="E47" s="114" t="str">
        <f>Metrado!E103</f>
        <v>und</v>
      </c>
      <c r="F47" s="500">
        <f>Metrado!Q103</f>
        <v>4</v>
      </c>
      <c r="G47" s="499">
        <f t="shared" ref="G47:G50" si="2">+F47</f>
        <v>4</v>
      </c>
      <c r="J47" s="40"/>
    </row>
    <row r="48" spans="1:10" s="27" customFormat="1" ht="13.5" customHeight="1" x14ac:dyDescent="0.25">
      <c r="B48" s="39"/>
      <c r="C48" s="564" t="s">
        <v>202</v>
      </c>
      <c r="D48" s="113" t="str">
        <f>Metrado!D103</f>
        <v>MONTAJE DE CERCHA PRINCIPAL</v>
      </c>
      <c r="E48" s="114" t="str">
        <f>Metrado!E103</f>
        <v>und</v>
      </c>
      <c r="F48" s="505">
        <f>Metrado!F103</f>
        <v>4</v>
      </c>
      <c r="G48" s="499">
        <f t="shared" si="2"/>
        <v>4</v>
      </c>
      <c r="J48" s="40"/>
    </row>
    <row r="49" spans="2:10" s="27" customFormat="1" ht="13.5" customHeight="1" x14ac:dyDescent="0.25">
      <c r="B49" s="39"/>
      <c r="C49" s="564" t="s">
        <v>203</v>
      </c>
      <c r="D49" s="113" t="str">
        <f>Metrado!D104</f>
        <v>MONTAJE DE CERCHA LATERAL TIPO 1</v>
      </c>
      <c r="E49" s="114" t="str">
        <f>Metrado!E104</f>
        <v>und</v>
      </c>
      <c r="F49" s="505">
        <f>Metrado!F104</f>
        <v>3</v>
      </c>
      <c r="G49" s="499">
        <f t="shared" si="2"/>
        <v>3</v>
      </c>
      <c r="J49" s="40"/>
    </row>
    <row r="50" spans="2:10" s="27" customFormat="1" ht="13.5" customHeight="1" x14ac:dyDescent="0.25">
      <c r="B50" s="39"/>
      <c r="C50" s="564" t="s">
        <v>204</v>
      </c>
      <c r="D50" s="113" t="str">
        <f>Metrado!D105</f>
        <v>MONTAJE DE CERCHA LATERAL TIPO 2</v>
      </c>
      <c r="E50" s="114" t="str">
        <f>Metrado!E105</f>
        <v>und</v>
      </c>
      <c r="F50" s="505">
        <f>Metrado!F105</f>
        <v>3</v>
      </c>
      <c r="G50" s="499">
        <f t="shared" si="2"/>
        <v>3</v>
      </c>
      <c r="J50" s="40"/>
    </row>
    <row r="51" spans="2:10" s="23" customFormat="1" ht="13.5" customHeight="1" x14ac:dyDescent="0.25">
      <c r="B51" s="37"/>
      <c r="C51" s="564" t="s">
        <v>205</v>
      </c>
      <c r="D51" s="113" t="str">
        <f>Metrado!D106</f>
        <v xml:space="preserve">MONTAJE DE CORREAS METALICAS </v>
      </c>
      <c r="E51" s="114" t="str">
        <f>Metrado!E106</f>
        <v>m</v>
      </c>
      <c r="F51" s="500">
        <f>Metrado!Q106</f>
        <v>625.24</v>
      </c>
      <c r="G51" s="499">
        <f>+F51</f>
        <v>625.24</v>
      </c>
      <c r="J51" s="38"/>
    </row>
    <row r="52" spans="2:10" s="23" customFormat="1" ht="13.5" customHeight="1" x14ac:dyDescent="0.25">
      <c r="B52" s="37"/>
      <c r="C52" s="564" t="s">
        <v>206</v>
      </c>
      <c r="D52" s="113" t="str">
        <f>Metrado!D107</f>
        <v>MONTAJE DE ARRIOSTRAMIENTO</v>
      </c>
      <c r="E52" s="114" t="str">
        <f>Metrado!E107</f>
        <v>m</v>
      </c>
      <c r="F52" s="500">
        <f>Metrado!Q107</f>
        <v>327</v>
      </c>
      <c r="G52" s="499">
        <f>+F52</f>
        <v>327</v>
      </c>
      <c r="J52" s="38"/>
    </row>
    <row r="53" spans="2:10" s="23" customFormat="1" ht="13.5" customHeight="1" x14ac:dyDescent="0.25">
      <c r="B53" s="37"/>
      <c r="C53" s="564" t="s">
        <v>254</v>
      </c>
      <c r="D53" s="113" t="str">
        <f>Metrado!D108</f>
        <v>MONTAJE DE CANALETA</v>
      </c>
      <c r="E53" s="114" t="str">
        <f>Metrado!E108</f>
        <v>m</v>
      </c>
      <c r="F53" s="500">
        <f>Metrado!Q108</f>
        <v>56.84</v>
      </c>
      <c r="G53" s="499">
        <f t="shared" ref="G53" si="3">+F53</f>
        <v>56.84</v>
      </c>
      <c r="J53" s="38"/>
    </row>
    <row r="54" spans="2:10" s="465" customFormat="1" ht="13.5" customHeight="1" x14ac:dyDescent="0.25">
      <c r="B54" s="466"/>
      <c r="C54" s="488" t="str">
        <f>+Metrado!C109</f>
        <v>01.07</v>
      </c>
      <c r="D54" s="488" t="str">
        <f>+Metrado!D109</f>
        <v>PRUEBAS DE LABORATORIO</v>
      </c>
      <c r="E54" s="323"/>
      <c r="F54" s="499"/>
      <c r="G54" s="499"/>
      <c r="J54" s="468"/>
    </row>
    <row r="55" spans="2:10" s="465" customFormat="1" ht="13.5" customHeight="1" x14ac:dyDescent="0.25">
      <c r="B55" s="466"/>
      <c r="C55" s="563" t="s">
        <v>154</v>
      </c>
      <c r="D55" s="154" t="str">
        <f>+Metrado!D110</f>
        <v>ENSAYOS NO DESTRUCTIVOS</v>
      </c>
      <c r="E55" s="155" t="str">
        <f>Metrado!E110</f>
        <v>Glb</v>
      </c>
      <c r="F55" s="499">
        <f>Metrado!Q110</f>
        <v>1</v>
      </c>
      <c r="G55" s="499">
        <f t="shared" ref="G55" si="4">+F55</f>
        <v>1</v>
      </c>
      <c r="J55" s="468"/>
    </row>
    <row r="56" spans="2:10" x14ac:dyDescent="0.25">
      <c r="C56" s="488" t="str">
        <f>Metrado!C111</f>
        <v>01.08</v>
      </c>
      <c r="D56" s="488" t="str">
        <f>Metrado!D111</f>
        <v>PINTURAS</v>
      </c>
      <c r="E56" s="502"/>
      <c r="F56" s="507"/>
      <c r="G56" s="507"/>
    </row>
    <row r="57" spans="2:10" x14ac:dyDescent="0.25">
      <c r="C57" s="563" t="s">
        <v>172</v>
      </c>
      <c r="D57" s="489" t="str">
        <f>Metrado!D112</f>
        <v>PINTURA - COLUMNA METÁLICA CIRCULAR TIPO 1 - L=9.00 m</v>
      </c>
      <c r="E57" s="503" t="str">
        <f>Metrado!E112</f>
        <v>und</v>
      </c>
      <c r="F57" s="504">
        <f>Metrado!Q112</f>
        <v>4</v>
      </c>
      <c r="G57" s="499">
        <f t="shared" ref="G57:G62" si="5">+F57</f>
        <v>4</v>
      </c>
    </row>
    <row r="58" spans="2:10" x14ac:dyDescent="0.25">
      <c r="C58" s="563" t="s">
        <v>173</v>
      </c>
      <c r="D58" s="489" t="str">
        <f>Metrado!D116</f>
        <v>PINTURA -COLUMNA METÁLICA CIRCULAR TIPO 2 -  L=5.50 m</v>
      </c>
      <c r="E58" s="503" t="str">
        <f>Metrado!E116</f>
        <v>und</v>
      </c>
      <c r="F58" s="504">
        <f>Metrado!F116</f>
        <v>4</v>
      </c>
      <c r="G58" s="499">
        <f t="shared" si="5"/>
        <v>4</v>
      </c>
    </row>
    <row r="59" spans="2:10" x14ac:dyDescent="0.25">
      <c r="C59" s="563" t="s">
        <v>207</v>
      </c>
      <c r="D59" s="489" t="str">
        <f>Metrado!D120</f>
        <v>PINTURA - CERCHA PRINCIPAL</v>
      </c>
      <c r="E59" s="503" t="str">
        <f>Metrado!E120</f>
        <v>und</v>
      </c>
      <c r="F59" s="504">
        <f>Metrado!F120</f>
        <v>4</v>
      </c>
      <c r="G59" s="499">
        <f t="shared" si="5"/>
        <v>4</v>
      </c>
    </row>
    <row r="60" spans="2:10" x14ac:dyDescent="0.25">
      <c r="C60" s="563" t="s">
        <v>208</v>
      </c>
      <c r="D60" s="489" t="str">
        <f>Metrado!D124</f>
        <v>PINTURA - CERCHA LATERAL TIPO 1</v>
      </c>
      <c r="E60" s="503" t="str">
        <f>Metrado!E124</f>
        <v>und</v>
      </c>
      <c r="F60" s="504">
        <f>Metrado!F124</f>
        <v>3</v>
      </c>
      <c r="G60" s="499">
        <f t="shared" si="5"/>
        <v>3</v>
      </c>
    </row>
    <row r="61" spans="2:10" x14ac:dyDescent="0.25">
      <c r="C61" s="563" t="s">
        <v>209</v>
      </c>
      <c r="D61" s="113" t="str">
        <f>Metrado!D128</f>
        <v>PINTURA - CERCHA LATERAL TIPO 2</v>
      </c>
      <c r="E61" s="114" t="str">
        <f>Metrado!E128</f>
        <v>und</v>
      </c>
      <c r="F61" s="505">
        <f>Metrado!F128</f>
        <v>3</v>
      </c>
      <c r="G61" s="499">
        <f t="shared" si="5"/>
        <v>3</v>
      </c>
    </row>
    <row r="62" spans="2:10" x14ac:dyDescent="0.25">
      <c r="C62" s="563" t="s">
        <v>210</v>
      </c>
      <c r="D62" s="113" t="str">
        <f>Metrado!D132</f>
        <v xml:space="preserve">PINTURA - CORREAS METALICAS </v>
      </c>
      <c r="E62" s="114" t="str">
        <f>Metrado!E132</f>
        <v>m</v>
      </c>
      <c r="F62" s="499">
        <f>Metrado!Q132</f>
        <v>625.24</v>
      </c>
      <c r="G62" s="499">
        <f t="shared" si="5"/>
        <v>625.24</v>
      </c>
    </row>
    <row r="63" spans="2:10" x14ac:dyDescent="0.25">
      <c r="C63" s="488" t="str">
        <f>+Metrado!C136</f>
        <v>01.09</v>
      </c>
      <c r="D63" s="360" t="s">
        <v>97</v>
      </c>
      <c r="E63" s="156"/>
      <c r="F63" s="499"/>
      <c r="G63" s="499"/>
    </row>
    <row r="64" spans="2:10" x14ac:dyDescent="0.25">
      <c r="C64" s="563" t="s">
        <v>212</v>
      </c>
      <c r="D64" s="324" t="str">
        <f>Metrado!D137</f>
        <v xml:space="preserve">SUMINISTRO E INSTALACION DE COBERTURA </v>
      </c>
      <c r="E64" s="155" t="str">
        <f>Metrado!E137</f>
        <v>m2</v>
      </c>
      <c r="F64" s="499">
        <f>Metrado!Q137</f>
        <v>720.73120000000006</v>
      </c>
      <c r="G64" s="499">
        <f>+Metrado!Q137</f>
        <v>720.73120000000006</v>
      </c>
    </row>
    <row r="65" spans="3:7" s="23" customFormat="1" x14ac:dyDescent="0.25">
      <c r="C65" s="565"/>
    </row>
    <row r="66" spans="3:7" s="23" customFormat="1" x14ac:dyDescent="0.25">
      <c r="C66" s="565"/>
    </row>
    <row r="67" spans="3:7" s="23" customFormat="1" x14ac:dyDescent="0.25">
      <c r="C67" s="565"/>
    </row>
    <row r="68" spans="3:7" s="23" customFormat="1" x14ac:dyDescent="0.25">
      <c r="C68" s="566"/>
      <c r="D68" s="334"/>
      <c r="E68" s="335"/>
      <c r="F68" s="336"/>
      <c r="G68" s="336"/>
    </row>
    <row r="69" spans="3:7" s="23" customFormat="1" x14ac:dyDescent="0.25">
      <c r="C69" s="566"/>
      <c r="D69" s="337"/>
      <c r="E69" s="338"/>
      <c r="F69" s="339"/>
      <c r="G69" s="339"/>
    </row>
    <row r="70" spans="3:7" s="23" customFormat="1" x14ac:dyDescent="0.25">
      <c r="C70" s="566"/>
      <c r="D70" s="337"/>
      <c r="E70" s="338"/>
      <c r="F70" s="339"/>
      <c r="G70" s="339"/>
    </row>
    <row r="71" spans="3:7" s="23" customFormat="1" x14ac:dyDescent="0.25">
      <c r="C71" s="566"/>
      <c r="D71" s="337"/>
      <c r="E71" s="338"/>
      <c r="F71" s="339"/>
      <c r="G71" s="339"/>
    </row>
    <row r="72" spans="3:7" s="23" customFormat="1" x14ac:dyDescent="0.25">
      <c r="C72" s="566"/>
      <c r="D72" s="337"/>
      <c r="E72" s="338"/>
      <c r="F72" s="339"/>
      <c r="G72" s="339"/>
    </row>
    <row r="73" spans="3:7" s="23" customFormat="1" x14ac:dyDescent="0.25">
      <c r="C73" s="566"/>
      <c r="D73" s="337"/>
      <c r="E73" s="338"/>
      <c r="F73" s="339"/>
      <c r="G73" s="339"/>
    </row>
    <row r="74" spans="3:7" s="23" customFormat="1" x14ac:dyDescent="0.25">
      <c r="C74" s="567"/>
      <c r="D74" s="332"/>
      <c r="E74" s="340"/>
      <c r="F74" s="333"/>
      <c r="G74" s="333"/>
    </row>
    <row r="75" spans="3:7" s="23" customFormat="1" x14ac:dyDescent="0.25">
      <c r="C75" s="568"/>
      <c r="D75" s="341"/>
      <c r="E75" s="338"/>
      <c r="F75" s="342"/>
      <c r="G75" s="342"/>
    </row>
    <row r="76" spans="3:7" s="23" customFormat="1" x14ac:dyDescent="0.25">
      <c r="C76" s="567"/>
      <c r="D76" s="332"/>
      <c r="E76" s="343"/>
      <c r="F76" s="344"/>
      <c r="G76" s="344"/>
    </row>
    <row r="77" spans="3:7" s="23" customFormat="1" x14ac:dyDescent="0.25">
      <c r="C77" s="569"/>
      <c r="D77" s="337"/>
      <c r="E77" s="338"/>
      <c r="F77" s="342"/>
      <c r="G77" s="342"/>
    </row>
    <row r="78" spans="3:7" s="23" customFormat="1" x14ac:dyDescent="0.25">
      <c r="C78" s="567"/>
      <c r="D78" s="332"/>
      <c r="E78" s="340"/>
      <c r="F78" s="333"/>
      <c r="G78" s="333"/>
    </row>
    <row r="79" spans="3:7" s="23" customFormat="1" x14ac:dyDescent="0.25">
      <c r="C79" s="566"/>
      <c r="D79" s="334"/>
      <c r="E79" s="335"/>
      <c r="F79" s="336"/>
      <c r="G79" s="336"/>
    </row>
    <row r="80" spans="3:7" s="23" customFormat="1" x14ac:dyDescent="0.25">
      <c r="C80" s="570"/>
      <c r="D80" s="337"/>
      <c r="E80" s="338"/>
      <c r="F80" s="339"/>
      <c r="G80" s="339"/>
    </row>
    <row r="81" spans="3:7" s="23" customFormat="1" x14ac:dyDescent="0.25">
      <c r="C81" s="566"/>
      <c r="D81" s="337"/>
      <c r="E81" s="338"/>
      <c r="F81" s="339"/>
      <c r="G81" s="339"/>
    </row>
    <row r="82" spans="3:7" s="23" customFormat="1" x14ac:dyDescent="0.25">
      <c r="C82" s="566"/>
      <c r="D82" s="337"/>
      <c r="E82" s="338"/>
      <c r="F82" s="339"/>
      <c r="G82" s="339"/>
    </row>
    <row r="83" spans="3:7" s="23" customFormat="1" x14ac:dyDescent="0.25">
      <c r="C83" s="566"/>
      <c r="D83" s="337"/>
      <c r="E83" s="338"/>
      <c r="F83" s="339"/>
      <c r="G83" s="339"/>
    </row>
    <row r="84" spans="3:7" s="23" customFormat="1" x14ac:dyDescent="0.25">
      <c r="C84" s="566"/>
      <c r="D84" s="337"/>
      <c r="E84" s="338"/>
      <c r="F84" s="339"/>
      <c r="G84" s="339"/>
    </row>
    <row r="85" spans="3:7" s="23" customFormat="1" x14ac:dyDescent="0.25">
      <c r="C85" s="566"/>
      <c r="D85" s="337"/>
      <c r="E85" s="338"/>
      <c r="F85" s="339"/>
      <c r="G85" s="339"/>
    </row>
    <row r="86" spans="3:7" s="23" customFormat="1" x14ac:dyDescent="0.25">
      <c r="C86" s="566"/>
      <c r="D86" s="337"/>
      <c r="E86" s="338"/>
      <c r="F86" s="339"/>
      <c r="G86" s="339"/>
    </row>
    <row r="87" spans="3:7" s="23" customFormat="1" x14ac:dyDescent="0.25">
      <c r="C87" s="566"/>
      <c r="D87" s="345"/>
      <c r="E87" s="338"/>
      <c r="F87" s="339"/>
      <c r="G87" s="339"/>
    </row>
    <row r="88" spans="3:7" s="23" customFormat="1" x14ac:dyDescent="0.25">
      <c r="C88" s="567"/>
      <c r="D88" s="332"/>
      <c r="E88" s="340"/>
      <c r="F88" s="333"/>
      <c r="G88" s="333"/>
    </row>
    <row r="89" spans="3:7" s="23" customFormat="1" x14ac:dyDescent="0.25">
      <c r="C89" s="568"/>
      <c r="D89" s="341"/>
      <c r="E89" s="338"/>
      <c r="F89" s="342"/>
      <c r="G89" s="342"/>
    </row>
    <row r="90" spans="3:7" s="23" customFormat="1" x14ac:dyDescent="0.25">
      <c r="C90" s="567"/>
      <c r="D90" s="332"/>
      <c r="E90" s="343"/>
      <c r="F90" s="344"/>
      <c r="G90" s="344"/>
    </row>
    <row r="91" spans="3:7" s="23" customFormat="1" x14ac:dyDescent="0.25">
      <c r="C91" s="569"/>
      <c r="D91" s="337"/>
      <c r="E91" s="338"/>
      <c r="F91" s="342"/>
      <c r="G91" s="342"/>
    </row>
    <row r="92" spans="3:7" s="23" customFormat="1" ht="13.5" x14ac:dyDescent="0.25">
      <c r="C92" s="571"/>
      <c r="D92" s="357"/>
      <c r="E92" s="357"/>
      <c r="F92" s="358"/>
      <c r="G92" s="358"/>
    </row>
    <row r="93" spans="3:7" s="23" customFormat="1" ht="13.5" x14ac:dyDescent="0.25">
      <c r="C93" s="572"/>
      <c r="D93" s="346"/>
      <c r="E93" s="347"/>
      <c r="F93" s="348"/>
      <c r="G93" s="348"/>
    </row>
    <row r="94" spans="3:7" s="23" customFormat="1" ht="13.5" x14ac:dyDescent="0.25">
      <c r="C94" s="573"/>
      <c r="D94" s="349"/>
      <c r="E94" s="347"/>
      <c r="F94" s="350"/>
      <c r="G94" s="350"/>
    </row>
    <row r="95" spans="3:7" s="23" customFormat="1" ht="13.5" x14ac:dyDescent="0.25">
      <c r="C95" s="572"/>
      <c r="D95" s="346"/>
      <c r="E95" s="347"/>
      <c r="F95" s="351"/>
      <c r="G95" s="351"/>
    </row>
    <row r="96" spans="3:7" s="23" customFormat="1" ht="13.5" x14ac:dyDescent="0.25">
      <c r="C96" s="573"/>
      <c r="D96" s="352"/>
      <c r="E96" s="353"/>
      <c r="F96" s="354"/>
      <c r="G96" s="354"/>
    </row>
    <row r="97" spans="3:7" s="23" customFormat="1" ht="13.5" x14ac:dyDescent="0.25">
      <c r="C97" s="573"/>
      <c r="D97" s="349"/>
      <c r="E97" s="353"/>
      <c r="F97" s="350"/>
      <c r="G97" s="350"/>
    </row>
    <row r="98" spans="3:7" s="23" customFormat="1" ht="13.5" x14ac:dyDescent="0.25">
      <c r="C98" s="573"/>
      <c r="D98" s="349"/>
      <c r="E98" s="353"/>
      <c r="F98" s="350"/>
      <c r="G98" s="350"/>
    </row>
    <row r="99" spans="3:7" s="23" customFormat="1" ht="13.5" x14ac:dyDescent="0.25">
      <c r="C99" s="573"/>
      <c r="D99" s="349"/>
      <c r="E99" s="353"/>
      <c r="F99" s="350"/>
      <c r="G99" s="350"/>
    </row>
    <row r="100" spans="3:7" s="23" customFormat="1" ht="13.5" x14ac:dyDescent="0.25">
      <c r="C100" s="573"/>
      <c r="D100" s="349"/>
      <c r="E100" s="353"/>
      <c r="F100" s="350"/>
      <c r="G100" s="350"/>
    </row>
    <row r="101" spans="3:7" s="23" customFormat="1" ht="13.5" x14ac:dyDescent="0.25">
      <c r="C101" s="573"/>
      <c r="D101" s="349"/>
      <c r="E101" s="353"/>
      <c r="F101" s="350"/>
      <c r="G101" s="350"/>
    </row>
    <row r="102" spans="3:7" s="23" customFormat="1" ht="13.5" x14ac:dyDescent="0.25">
      <c r="C102" s="573"/>
      <c r="D102" s="349"/>
      <c r="E102" s="353"/>
      <c r="F102" s="350"/>
      <c r="G102" s="350"/>
    </row>
    <row r="103" spans="3:7" s="23" customFormat="1" ht="13.5" x14ac:dyDescent="0.25">
      <c r="C103" s="573"/>
      <c r="D103" s="349"/>
      <c r="E103" s="353"/>
      <c r="F103" s="350"/>
      <c r="G103" s="350"/>
    </row>
    <row r="104" spans="3:7" s="23" customFormat="1" ht="13.5" x14ac:dyDescent="0.25">
      <c r="C104" s="573"/>
      <c r="D104" s="349"/>
      <c r="E104" s="353"/>
      <c r="F104" s="350"/>
      <c r="G104" s="350"/>
    </row>
    <row r="105" spans="3:7" s="23" customFormat="1" ht="13.5" x14ac:dyDescent="0.25">
      <c r="C105" s="572"/>
      <c r="D105" s="346"/>
      <c r="E105" s="347"/>
      <c r="F105" s="348"/>
      <c r="G105" s="348"/>
    </row>
    <row r="106" spans="3:7" s="23" customFormat="1" ht="13.5" x14ac:dyDescent="0.25">
      <c r="C106" s="353"/>
      <c r="D106" s="352"/>
      <c r="E106" s="353"/>
      <c r="F106" s="354"/>
      <c r="G106" s="354"/>
    </row>
    <row r="107" spans="3:7" s="23" customFormat="1" ht="13.5" x14ac:dyDescent="0.25">
      <c r="C107" s="353"/>
      <c r="D107" s="349"/>
      <c r="E107" s="353"/>
      <c r="F107" s="350"/>
      <c r="G107" s="350"/>
    </row>
    <row r="108" spans="3:7" s="23" customFormat="1" ht="13.5" x14ac:dyDescent="0.25">
      <c r="C108" s="353"/>
      <c r="D108" s="349"/>
      <c r="E108" s="353"/>
      <c r="F108" s="350"/>
      <c r="G108" s="350"/>
    </row>
    <row r="109" spans="3:7" s="23" customFormat="1" ht="13.5" x14ac:dyDescent="0.25">
      <c r="C109" s="353"/>
      <c r="D109" s="349"/>
      <c r="E109" s="353"/>
      <c r="F109" s="350"/>
      <c r="G109" s="350"/>
    </row>
    <row r="110" spans="3:7" s="23" customFormat="1" ht="13.5" x14ac:dyDescent="0.25">
      <c r="C110" s="353"/>
      <c r="D110" s="349"/>
      <c r="E110" s="353"/>
      <c r="F110" s="350"/>
      <c r="G110" s="350"/>
    </row>
    <row r="111" spans="3:7" s="23" customFormat="1" ht="13.5" x14ac:dyDescent="0.25">
      <c r="C111" s="353"/>
      <c r="D111" s="349"/>
      <c r="E111" s="353"/>
      <c r="F111" s="350"/>
      <c r="G111" s="350"/>
    </row>
    <row r="112" spans="3:7" s="23" customFormat="1" ht="13.5" x14ac:dyDescent="0.25">
      <c r="C112" s="353"/>
      <c r="D112" s="349"/>
      <c r="E112" s="353"/>
      <c r="F112" s="350"/>
      <c r="G112" s="350"/>
    </row>
    <row r="113" spans="3:7" s="23" customFormat="1" ht="13.5" x14ac:dyDescent="0.25">
      <c r="C113" s="353"/>
      <c r="D113" s="349"/>
      <c r="E113" s="353"/>
      <c r="F113" s="350"/>
      <c r="G113" s="350"/>
    </row>
    <row r="114" spans="3:7" s="23" customFormat="1" ht="13.5" x14ac:dyDescent="0.25">
      <c r="C114" s="353"/>
      <c r="D114" s="349"/>
      <c r="E114" s="353"/>
      <c r="F114" s="350"/>
      <c r="G114" s="350"/>
    </row>
    <row r="115" spans="3:7" s="23" customFormat="1" ht="13.5" x14ac:dyDescent="0.25">
      <c r="C115" s="572"/>
      <c r="D115" s="346"/>
      <c r="E115" s="347"/>
      <c r="F115" s="348"/>
      <c r="G115" s="348"/>
    </row>
    <row r="116" spans="3:7" s="23" customFormat="1" ht="13.5" x14ac:dyDescent="0.25">
      <c r="C116" s="574"/>
      <c r="D116" s="355"/>
      <c r="E116" s="347"/>
      <c r="F116" s="350"/>
      <c r="G116" s="350"/>
    </row>
    <row r="117" spans="3:7" s="23" customFormat="1" ht="13.5" x14ac:dyDescent="0.25">
      <c r="C117" s="572"/>
      <c r="D117" s="346"/>
      <c r="E117" s="356"/>
      <c r="F117" s="351"/>
      <c r="G117" s="351"/>
    </row>
    <row r="118" spans="3:7" s="23" customFormat="1" ht="13.5" x14ac:dyDescent="0.25">
      <c r="C118" s="573"/>
      <c r="D118" s="349"/>
      <c r="E118" s="347"/>
      <c r="F118" s="350"/>
      <c r="G118" s="350"/>
    </row>
    <row r="119" spans="3:7" s="23" customFormat="1" ht="13.5" x14ac:dyDescent="0.25">
      <c r="C119" s="347"/>
      <c r="D119" s="347"/>
      <c r="E119" s="347"/>
      <c r="F119" s="348"/>
      <c r="G119" s="348"/>
    </row>
    <row r="120" spans="3:7" s="23" customFormat="1" ht="13.5" x14ac:dyDescent="0.25">
      <c r="C120" s="347"/>
      <c r="D120" s="347"/>
      <c r="E120" s="347"/>
      <c r="F120" s="348"/>
      <c r="G120" s="348"/>
    </row>
    <row r="121" spans="3:7" s="23" customFormat="1" ht="13.5" x14ac:dyDescent="0.25">
      <c r="C121" s="347"/>
      <c r="D121" s="347"/>
      <c r="E121" s="347"/>
      <c r="F121" s="348"/>
      <c r="G121" s="348"/>
    </row>
    <row r="122" spans="3:7" s="23" customFormat="1" ht="13.5" x14ac:dyDescent="0.25">
      <c r="C122" s="347"/>
      <c r="D122" s="347"/>
      <c r="E122" s="347"/>
      <c r="F122" s="348"/>
      <c r="G122" s="348"/>
    </row>
    <row r="123" spans="3:7" s="23" customFormat="1" ht="13.5" x14ac:dyDescent="0.25">
      <c r="C123" s="347"/>
      <c r="D123" s="347"/>
      <c r="E123" s="347"/>
      <c r="F123" s="348"/>
      <c r="G123" s="348"/>
    </row>
    <row r="124" spans="3:7" s="23" customFormat="1" ht="13.5" x14ac:dyDescent="0.25">
      <c r="C124" s="347"/>
      <c r="D124" s="347"/>
      <c r="E124" s="347"/>
      <c r="F124" s="348"/>
      <c r="G124" s="348"/>
    </row>
    <row r="125" spans="3:7" s="23" customFormat="1" ht="13.5" x14ac:dyDescent="0.25">
      <c r="C125" s="347"/>
      <c r="D125" s="347"/>
      <c r="E125" s="347"/>
      <c r="F125" s="348"/>
      <c r="G125" s="348"/>
    </row>
    <row r="126" spans="3:7" s="23" customFormat="1" ht="13.5" x14ac:dyDescent="0.25">
      <c r="C126" s="347"/>
      <c r="D126" s="347"/>
      <c r="E126" s="347"/>
      <c r="F126" s="348"/>
      <c r="G126" s="348"/>
    </row>
    <row r="127" spans="3:7" s="23" customFormat="1" ht="13.5" x14ac:dyDescent="0.25">
      <c r="C127" s="347"/>
      <c r="D127" s="347"/>
      <c r="E127" s="347"/>
      <c r="F127" s="348"/>
      <c r="G127" s="348"/>
    </row>
    <row r="128" spans="3:7" s="23" customFormat="1" ht="13.5" x14ac:dyDescent="0.25">
      <c r="C128" s="347"/>
      <c r="D128" s="347"/>
      <c r="E128" s="347"/>
      <c r="F128" s="348"/>
      <c r="G128" s="348"/>
    </row>
    <row r="129" spans="3:7" s="23" customFormat="1" ht="13.5" x14ac:dyDescent="0.25">
      <c r="C129" s="347"/>
      <c r="D129" s="347"/>
      <c r="E129" s="347"/>
      <c r="F129" s="348"/>
      <c r="G129" s="348"/>
    </row>
  </sheetData>
  <autoFilter ref="D17:D53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1" type="noConversion"/>
  <pageMargins left="1.1811023622047245" right="0" top="0.39370078740157483" bottom="0.78740157480314965" header="0.19685039370078741" footer="0.39370078740157483"/>
  <pageSetup paperSize="9" scale="90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Ronald</cp:lastModifiedBy>
  <cp:lastPrinted>2022-03-01T10:44:51Z</cp:lastPrinted>
  <dcterms:created xsi:type="dcterms:W3CDTF">2016-12-16T13:53:47Z</dcterms:created>
  <dcterms:modified xsi:type="dcterms:W3CDTF">2022-03-01T10:45:36Z</dcterms:modified>
</cp:coreProperties>
</file>